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o Tighe\LSST\On-Telescope_Int.Align.&amp;Testing\Camera Hexapod and Rotator testing\Cam.Hex.Verif_March2022\"/>
    </mc:Choice>
  </mc:AlternateContent>
  <bookViews>
    <workbookView xWindow="0" yWindow="0" windowWidth="28800" windowHeight="14136" tabRatio="801" activeTab="1"/>
  </bookViews>
  <sheets>
    <sheet name="list Moog 3.3.1_+other_07062021" sheetId="1" r:id="rId1"/>
    <sheet name="Pos.3.3.1_Accuracy_Range_300322" sheetId="43" r:id="rId2"/>
    <sheet name="ResZ 20210614" sheetId="4" r:id="rId3"/>
    <sheet name="ResY 20210615" sheetId="7" r:id="rId4"/>
    <sheet name="ResX COR -2758400um" sheetId="24" r:id="rId5"/>
    <sheet name="ResRx COR -2758400um" sheetId="18" r:id="rId6"/>
    <sheet name="ResRy COR -2758400um" sheetId="20" r:id="rId7"/>
    <sheet name="ResRz COR -2758400um" sheetId="21" r:id="rId8"/>
    <sheet name="Repeat.RXRYRZ -2758400um" sheetId="19" r:id="rId9"/>
    <sheet name="RepeatXYZ COR -2758400um" sheetId="28" r:id="rId10"/>
    <sheet name="hexapod summry" sheetId="39" r:id="rId11"/>
    <sheet name="COR from March and June2021" sheetId="40" r:id="rId12"/>
    <sheet name="COR march 2022_comcam mounted" sheetId="35" r:id="rId13"/>
  </sheets>
  <definedNames>
    <definedName name="averXY">'list Moog 3.3.1_+other_07062021'!$X$42</definedName>
    <definedName name="avlaserX0">'list Moog 3.3.1_+other_07062021'!$N$103</definedName>
    <definedName name="avlaserY0">'list Moog 3.3.1_+other_07062021'!$O$103</definedName>
    <definedName name="avlaserZ0">'list Moog 3.3.1_+other_07062021'!$P$103</definedName>
    <definedName name="errX0">'list Moog 3.3.1_+other_07062021'!$N$46</definedName>
    <definedName name="errX01">'list Moog 3.3.1_+other_07062021'!$N$56</definedName>
    <definedName name="errX02">'list Moog 3.3.1_+other_07062021'!#REF!</definedName>
    <definedName name="errX03">'list Moog 3.3.1_+other_07062021'!$N$66</definedName>
    <definedName name="errX04">'list Moog 3.3.1_+other_07062021'!$N$80</definedName>
    <definedName name="errY0">'list Moog 3.3.1_+other_07062021'!$O$46</definedName>
    <definedName name="errY0.1">'list Moog 3.3.1_+other_07062021'!$O$56</definedName>
    <definedName name="errY0.2">'list Moog 3.3.1_+other_07062021'!#REF!</definedName>
    <definedName name="errY0.4">'list Moog 3.3.1_+other_07062021'!$O$80</definedName>
    <definedName name="errY01">'list Moog 3.3.1_+other_07062021'!$O$56</definedName>
    <definedName name="errZ0">'list Moog 3.3.1_+other_07062021'!$P$46</definedName>
    <definedName name="errZ01">'list Moog 3.3.1_+other_07062021'!$P$56</definedName>
    <definedName name="errZ02">'list Moog 3.3.1_+other_07062021'!#REF!</definedName>
    <definedName name="laserX0">'list Moog 3.3.1_+other_07062021'!$N$93</definedName>
    <definedName name="laserY0">'list Moog 3.3.1_+other_07062021'!$O$93</definedName>
    <definedName name="laserZ0">'list Moog 3.3.1_+other_07062021'!$P$93</definedName>
    <definedName name="offCOR">Pos.3.3.1_Accuracy_Range_300322!$Q$45</definedName>
    <definedName name="OffRad">Pos.3.3.1_Accuracy_Range_300322!$Q$48</definedName>
    <definedName name="offset">'list Moog 3.3.1_+other_07062021'!$T$91</definedName>
    <definedName name="offset1">'ResZ 20210614'!$D$5</definedName>
    <definedName name="Offset2">#REF!</definedName>
    <definedName name="offset3">'ResZ 20210614'!$D$11</definedName>
    <definedName name="offset4">'ResZ 20210614'!$D$17</definedName>
    <definedName name="Offset5">#REF!</definedName>
    <definedName name="OffsetRepRx1">#REF!</definedName>
    <definedName name="OffsetRepRy1">#REF!</definedName>
    <definedName name="OffsetRepRz1">#REF!</definedName>
    <definedName name="offsetRot">'list Moog 3.3.1_+other_07062021'!$Q$1</definedName>
    <definedName name="OffsetRx1">#REF!</definedName>
    <definedName name="OffsetRx2">#REF!</definedName>
    <definedName name="OffsetRx3">#REF!</definedName>
    <definedName name="OffsetRy1">#REF!</definedName>
    <definedName name="OffsetRy2">#REF!</definedName>
    <definedName name="OffsetRy3">#REF!</definedName>
    <definedName name="OffsetRz1">#REF!</definedName>
    <definedName name="OffsetRz2">#REF!</definedName>
    <definedName name="OffsetRz4">#REF!</definedName>
    <definedName name="OffsetRz5">#REF!</definedName>
    <definedName name="OffsetRz6">#REF!</definedName>
    <definedName name="OffsetX1">#REF!</definedName>
    <definedName name="OffsetX2">#REF!</definedName>
    <definedName name="OffsetX3">#REF!</definedName>
    <definedName name="offsetX4">#REF!</definedName>
    <definedName name="offsety1">#REF!</definedName>
    <definedName name="Offsety2">#REF!</definedName>
    <definedName name="Offsety3">#REF!</definedName>
    <definedName name="Offsety4">'ResY 20210615'!$E$5</definedName>
    <definedName name="Offsety5">'ResY 20210615'!$E$11</definedName>
    <definedName name="Offsety6">'ResY 20210615'!$E$25</definedName>
    <definedName name="offx1">'list Moog 3.3.1_+other_07062021'!$N$36</definedName>
    <definedName name="offx2">'list Moog 3.3.1_+other_07062021'!$N$41</definedName>
    <definedName name="offy1">'list Moog 3.3.1_+other_07062021'!$O$36</definedName>
    <definedName name="offy2">'list Moog 3.3.1_+other_07062021'!$O$41</definedName>
    <definedName name="offz1">'list Moog 3.3.1_+other_07062021'!$P$36</definedName>
    <definedName name="offz2">'list Moog 3.3.1_+other_07062021'!$P$41</definedName>
    <definedName name="pivot" localSheetId="1">Pos.3.3.1_Accuracy_Range_300322!$Q$43</definedName>
    <definedName name="pivot">#REF!</definedName>
    <definedName name="radius" localSheetId="1">Pos.3.3.1_Accuracy_Range_300322!$Q$46</definedName>
    <definedName name="radius">#REF!</definedName>
    <definedName name="repRx">'Repeat.RXRYRZ -2758400um'!$F$6</definedName>
    <definedName name="RepRXRYRX110">#REF!</definedName>
    <definedName name="RepRxRyRz010">'Repeat.RXRYRZ -2758400um'!$E$6</definedName>
    <definedName name="RepRxRyRz011">'Repeat.RXRYRZ -2758400um'!$E$21</definedName>
    <definedName name="RepRxRyRz012">'Repeat.RXRYRZ -2758400um'!$E$36</definedName>
    <definedName name="RepRXRYRZ100">#REF!</definedName>
    <definedName name="RepRxRyRz111">#REF!</definedName>
    <definedName name="repRxRyRz112">#REF!</definedName>
    <definedName name="RepRy">'Repeat.RXRYRZ -2758400um'!$H$21</definedName>
    <definedName name="REPX1">#REF!</definedName>
    <definedName name="RepX110">'RepeatXYZ COR -2758400um'!$D$7</definedName>
    <definedName name="REPY1">#REF!</definedName>
    <definedName name="RepY110">'RepeatXYZ COR -2758400um'!$D$21</definedName>
    <definedName name="REPZ1">#REF!</definedName>
    <definedName name="RepZ110">'RepeatXYZ COR -2758400um'!$D$35</definedName>
    <definedName name="resAngle">'ResRx COR -2758400um'!$AE$2</definedName>
    <definedName name="ResRx001">#REF!</definedName>
    <definedName name="ResRx002">#REF!</definedName>
    <definedName name="ResRx003">#REF!</definedName>
    <definedName name="ResRx004">#REF!</definedName>
    <definedName name="ResRx010">'ResRx COR -2758400um'!#REF!</definedName>
    <definedName name="ResRx011">'ResRx COR -2758400um'!#REF!</definedName>
    <definedName name="ResRx012">'ResRx COR -2758400um'!#REF!</definedName>
    <definedName name="ResRx013">'ResRx COR -2758400um'!#REF!</definedName>
    <definedName name="ResRx20">'ResRx COR -2758400um'!$E$5</definedName>
    <definedName name="resRx21">'ResRx COR -2758400um'!$E$11</definedName>
    <definedName name="resRx22">'ResRx COR -2758400um'!$E$17</definedName>
    <definedName name="resRX23">'ResRx COR -2758400um'!$E$23</definedName>
    <definedName name="ResRy001">#REF!</definedName>
    <definedName name="ResRy002">#REF!</definedName>
    <definedName name="ResRy003">#REF!</definedName>
    <definedName name="ResRy004">#REF!</definedName>
    <definedName name="ResRy010">'ResRy COR -2758400um'!$E$5</definedName>
    <definedName name="ResRy011">'ResRy COR -2758400um'!$E$11</definedName>
    <definedName name="ResRy012">'ResRy COR -2758400um'!$E$17</definedName>
    <definedName name="ResRy013">'ResRy COR -2758400um'!$E$23</definedName>
    <definedName name="ResRz010">'ResRz COR -2758400um'!$D$4</definedName>
    <definedName name="ResRz011">'ResRz COR -2758400um'!$D$10</definedName>
    <definedName name="ResRz012">'ResRz COR -2758400um'!$D$16</definedName>
    <definedName name="ResRz013">'ResRz COR -2758400um'!$D$22</definedName>
    <definedName name="ResRz100">#REF!</definedName>
    <definedName name="ResRz101">#REF!</definedName>
    <definedName name="ResRz102">#REF!</definedName>
    <definedName name="ResX100">'ResX COR -2758400um'!$D$6</definedName>
    <definedName name="ResX101">'ResX COR -2758400um'!$D$12</definedName>
    <definedName name="ResX110">#REF!</definedName>
    <definedName name="ResX111">#REF!</definedName>
    <definedName name="ResX113">#REF!</definedName>
    <definedName name="ResY110">#REF!</definedName>
    <definedName name="ResY111">#REF!</definedName>
    <definedName name="ResY112">#REF!</definedName>
    <definedName name="ResY113">#REF!</definedName>
    <definedName name="ResY114">#REF!</definedName>
    <definedName name="ResZ103">#REF!</definedName>
    <definedName name="ResZ110">#REF!</definedName>
    <definedName name="ResZ111">#REF!</definedName>
    <definedName name="ResZ112">#REF!</definedName>
    <definedName name="zerox1" localSheetId="1">Pos.3.3.1_Accuracy_Range_300322!$C$6</definedName>
    <definedName name="zerox1">#REF!</definedName>
    <definedName name="zerox12" localSheetId="1">Pos.3.3.1_Accuracy_Range_300322!$C$33</definedName>
    <definedName name="zerox12">#REF!</definedName>
    <definedName name="zerox13" localSheetId="1">Pos.3.3.1_Accuracy_Range_300322!$C$55</definedName>
    <definedName name="zerox13">#REF!</definedName>
    <definedName name="zerox14" localSheetId="1">Pos.3.3.1_Accuracy_Range_300322!$C$82</definedName>
    <definedName name="zerox14">#REF!</definedName>
    <definedName name="zerox15" localSheetId="1">Pos.3.3.1_Accuracy_Range_300322!$C$118</definedName>
    <definedName name="zerox15">#REF!</definedName>
    <definedName name="zerox2" localSheetId="1">Pos.3.3.1_Accuracy_Range_300322!$C$7</definedName>
    <definedName name="zerox2">#REF!</definedName>
    <definedName name="zerox22" localSheetId="1">Pos.3.3.1_Accuracy_Range_300322!$C$34</definedName>
    <definedName name="zerox22">#REF!</definedName>
    <definedName name="zerox23" localSheetId="1">Pos.3.3.1_Accuracy_Range_300322!$C$56</definedName>
    <definedName name="zerox23">#REF!</definedName>
    <definedName name="zerox24" localSheetId="1">Pos.3.3.1_Accuracy_Range_300322!$C$83</definedName>
    <definedName name="zerox24">#REF!</definedName>
    <definedName name="zerox25" localSheetId="1">Pos.3.3.1_Accuracy_Range_300322!$C$119</definedName>
    <definedName name="zerox25">#REF!</definedName>
    <definedName name="zerox3" localSheetId="1">Pos.3.3.1_Accuracy_Range_300322!$C$8</definedName>
    <definedName name="zerox3">#REF!</definedName>
    <definedName name="zerox32" localSheetId="1">Pos.3.3.1_Accuracy_Range_300322!$C$35</definedName>
    <definedName name="zerox32">#REF!</definedName>
    <definedName name="zerox33" localSheetId="1">Pos.3.3.1_Accuracy_Range_300322!$C$57</definedName>
    <definedName name="zerox33">#REF!</definedName>
    <definedName name="zerox34" localSheetId="1">Pos.3.3.1_Accuracy_Range_300322!$C$84</definedName>
    <definedName name="zerox34">#REF!</definedName>
    <definedName name="zerox35" localSheetId="1">Pos.3.3.1_Accuracy_Range_300322!$C$120</definedName>
    <definedName name="zerox35">#REF!</definedName>
    <definedName name="zeroy1" localSheetId="1">Pos.3.3.1_Accuracy_Range_300322!$D$6</definedName>
    <definedName name="zeroy1">#REF!</definedName>
    <definedName name="zeroy12" localSheetId="1">Pos.3.3.1_Accuracy_Range_300322!$D$33</definedName>
    <definedName name="zeroy12">#REF!</definedName>
    <definedName name="zeroy13" localSheetId="1">Pos.3.3.1_Accuracy_Range_300322!$D$55</definedName>
    <definedName name="zeroy13">#REF!</definedName>
    <definedName name="zeroy14" localSheetId="1">Pos.3.3.1_Accuracy_Range_300322!$D$82</definedName>
    <definedName name="zeroy14">#REF!</definedName>
    <definedName name="zeroy15" localSheetId="1">Pos.3.3.1_Accuracy_Range_300322!$D$118</definedName>
    <definedName name="zeroy15">#REF!</definedName>
    <definedName name="zeroy2" localSheetId="1">Pos.3.3.1_Accuracy_Range_300322!$D$7</definedName>
    <definedName name="zeroy2">#REF!</definedName>
    <definedName name="zeroy22" localSheetId="1">Pos.3.3.1_Accuracy_Range_300322!$D$34</definedName>
    <definedName name="zeroy22">#REF!</definedName>
    <definedName name="zeroy23" localSheetId="1">Pos.3.3.1_Accuracy_Range_300322!$D$56</definedName>
    <definedName name="zeroy23">#REF!</definedName>
    <definedName name="zeroy24" localSheetId="1">Pos.3.3.1_Accuracy_Range_300322!$D$83</definedName>
    <definedName name="zeroy24">#REF!</definedName>
    <definedName name="zeroy25" localSheetId="1">Pos.3.3.1_Accuracy_Range_300322!$D$119</definedName>
    <definedName name="zeroy25">#REF!</definedName>
    <definedName name="zeroy3" localSheetId="1">Pos.3.3.1_Accuracy_Range_300322!$D$8</definedName>
    <definedName name="zeroy3">#REF!</definedName>
    <definedName name="zeroy32" localSheetId="1">Pos.3.3.1_Accuracy_Range_300322!$D$35</definedName>
    <definedName name="zeroy32">#REF!</definedName>
    <definedName name="zeroy33" localSheetId="1">Pos.3.3.1_Accuracy_Range_300322!$D$57</definedName>
    <definedName name="zeroy33">#REF!</definedName>
    <definedName name="zeroy34" localSheetId="1">Pos.3.3.1_Accuracy_Range_300322!$D$84</definedName>
    <definedName name="zeroy34">#REF!</definedName>
    <definedName name="zeroy35" localSheetId="1">Pos.3.3.1_Accuracy_Range_300322!$D$120</definedName>
    <definedName name="zeroy35">#REF!</definedName>
    <definedName name="zeroz1" localSheetId="1">Pos.3.3.1_Accuracy_Range_300322!$E$6</definedName>
    <definedName name="zeroz1">#REF!</definedName>
    <definedName name="zeroz12" localSheetId="1">Pos.3.3.1_Accuracy_Range_300322!$E$33</definedName>
    <definedName name="zeroz12">#REF!</definedName>
    <definedName name="zeroz13" localSheetId="1">Pos.3.3.1_Accuracy_Range_300322!$E$55</definedName>
    <definedName name="zeroz13">#REF!</definedName>
    <definedName name="zeroz14" localSheetId="1">Pos.3.3.1_Accuracy_Range_300322!$E$82</definedName>
    <definedName name="zeroz14">#REF!</definedName>
    <definedName name="zeroz15" localSheetId="1">Pos.3.3.1_Accuracy_Range_300322!$E$118</definedName>
    <definedName name="zeroz15">#REF!</definedName>
    <definedName name="zeroz2" localSheetId="1">Pos.3.3.1_Accuracy_Range_300322!$E$7</definedName>
    <definedName name="zeroz2">#REF!</definedName>
    <definedName name="zeroz22" localSheetId="1">Pos.3.3.1_Accuracy_Range_300322!$E$34</definedName>
    <definedName name="zeroz22">#REF!</definedName>
    <definedName name="zeroz23" localSheetId="1">Pos.3.3.1_Accuracy_Range_300322!$E$56</definedName>
    <definedName name="zeroz23">#REF!</definedName>
    <definedName name="zeroz24" localSheetId="1">Pos.3.3.1_Accuracy_Range_300322!$E$83</definedName>
    <definedName name="zeroz24">#REF!</definedName>
    <definedName name="zeroz25" localSheetId="1">Pos.3.3.1_Accuracy_Range_300322!$E$119</definedName>
    <definedName name="zeroz25">#REF!</definedName>
    <definedName name="zeroz3" localSheetId="1">Pos.3.3.1_Accuracy_Range_300322!$E$8</definedName>
    <definedName name="zeroz3">#REF!</definedName>
    <definedName name="zeroz32" localSheetId="1">Pos.3.3.1_Accuracy_Range_300322!$E$35</definedName>
    <definedName name="zeroz32">#REF!</definedName>
    <definedName name="zeroz33" localSheetId="1">Pos.3.3.1_Accuracy_Range_300322!$E$57</definedName>
    <definedName name="zeroz33">#REF!</definedName>
    <definedName name="zeroz34" localSheetId="1">Pos.3.3.1_Accuracy_Range_300322!$E$84</definedName>
    <definedName name="zeroz34">#REF!</definedName>
    <definedName name="zeroz35" localSheetId="1">Pos.3.3.1_Accuracy_Range_300322!$E$120</definedName>
    <definedName name="zeroz35">#REF!</definedName>
  </definedNames>
  <calcPr calcId="162913"/>
</workbook>
</file>

<file path=xl/calcChain.xml><?xml version="1.0" encoding="utf-8"?>
<calcChain xmlns="http://schemas.openxmlformats.org/spreadsheetml/2006/main">
  <c r="BJ43" i="43" l="1"/>
  <c r="BD12" i="43"/>
  <c r="BE12" i="43"/>
  <c r="BF12" i="43"/>
  <c r="BB12" i="43"/>
  <c r="Q21" i="35"/>
  <c r="BB94" i="43"/>
  <c r="AW85" i="43"/>
  <c r="AZ85" i="43"/>
  <c r="AW44" i="43"/>
  <c r="AQ7" i="19"/>
  <c r="AF19" i="28"/>
  <c r="BC12" i="43" l="1"/>
  <c r="AZ16" i="43"/>
  <c r="Q38" i="35" l="1"/>
  <c r="Q37" i="35"/>
  <c r="Q36" i="35"/>
  <c r="Q35" i="35"/>
  <c r="Q34" i="35"/>
  <c r="Q33" i="35"/>
  <c r="Q32" i="35"/>
  <c r="Q31" i="35"/>
  <c r="Q28" i="35"/>
  <c r="Q27" i="35"/>
  <c r="Q26" i="35"/>
  <c r="Q25" i="35"/>
  <c r="Q24" i="35"/>
  <c r="Q23" i="35"/>
  <c r="Q22" i="35"/>
  <c r="H38" i="35"/>
  <c r="H37" i="35"/>
  <c r="H36" i="35"/>
  <c r="H35" i="35"/>
  <c r="H34" i="35"/>
  <c r="H33" i="35"/>
  <c r="H32" i="35"/>
  <c r="H31" i="35"/>
  <c r="H30" i="35"/>
  <c r="H20" i="35"/>
  <c r="H28" i="35"/>
  <c r="H27" i="35"/>
  <c r="H26" i="35"/>
  <c r="H25" i="35"/>
  <c r="H24" i="35"/>
  <c r="H23" i="35"/>
  <c r="H22" i="35"/>
  <c r="H21" i="35"/>
  <c r="BJ44" i="43"/>
  <c r="BJ42" i="43"/>
  <c r="BJ40" i="43"/>
  <c r="BJ39" i="43"/>
  <c r="BJ38" i="43"/>
  <c r="BJ37" i="43"/>
  <c r="BJ36" i="43"/>
  <c r="BJ35" i="43"/>
  <c r="BJ34" i="43"/>
  <c r="BJ33" i="43"/>
  <c r="BJ32" i="43"/>
  <c r="BJ31" i="43"/>
  <c r="BJ30" i="43"/>
  <c r="BJ29" i="43"/>
  <c r="BJ28" i="43"/>
  <c r="BJ27" i="43"/>
  <c r="BJ26" i="43"/>
  <c r="BJ25" i="43"/>
  <c r="BJ24" i="43"/>
  <c r="BJ23" i="43"/>
  <c r="BJ22" i="43"/>
  <c r="BJ21" i="43"/>
  <c r="BJ20" i="43"/>
  <c r="BJ19" i="43"/>
  <c r="BJ18" i="43"/>
  <c r="BJ17" i="43"/>
  <c r="BJ16" i="43"/>
  <c r="BJ15" i="43"/>
  <c r="BJ14" i="43"/>
  <c r="BJ13" i="43"/>
  <c r="BJ12" i="43"/>
  <c r="BB44" i="43"/>
  <c r="BC44" i="43"/>
  <c r="BD44" i="43"/>
  <c r="BG44" i="43"/>
  <c r="BH44" i="43"/>
  <c r="BH42" i="43"/>
  <c r="BH43" i="43"/>
  <c r="BI44" i="43"/>
  <c r="BH25" i="43"/>
  <c r="BH24" i="43"/>
  <c r="BH23" i="43"/>
  <c r="BH22" i="43"/>
  <c r="BH21" i="43"/>
  <c r="BH20" i="43"/>
  <c r="BH19" i="43"/>
  <c r="BH18" i="43"/>
  <c r="BH17" i="43"/>
  <c r="BH16" i="43"/>
  <c r="BH15" i="43"/>
  <c r="BH14" i="43"/>
  <c r="BH13" i="43"/>
  <c r="BH12" i="43"/>
  <c r="BI43" i="43"/>
  <c r="BG43" i="43"/>
  <c r="BD43" i="43"/>
  <c r="BC43" i="43"/>
  <c r="BB43" i="43"/>
  <c r="BD42" i="43"/>
  <c r="BC42" i="43"/>
  <c r="BB42" i="43"/>
  <c r="BD20" i="43"/>
  <c r="BD19" i="43"/>
  <c r="BD18" i="43"/>
  <c r="BD17" i="43"/>
  <c r="BD16" i="43"/>
  <c r="BD15" i="43"/>
  <c r="BD14" i="43"/>
  <c r="BD13" i="43"/>
  <c r="BC20" i="43"/>
  <c r="BC19" i="43"/>
  <c r="BC18" i="43"/>
  <c r="BC17" i="43"/>
  <c r="BC16" i="43"/>
  <c r="BC15" i="43"/>
  <c r="BC14" i="43"/>
  <c r="BC13" i="43"/>
  <c r="BB20" i="43"/>
  <c r="BB19" i="43"/>
  <c r="BB18" i="43"/>
  <c r="BB17" i="43"/>
  <c r="BB16" i="43"/>
  <c r="BB15" i="43"/>
  <c r="BB14" i="43"/>
  <c r="BB13" i="43"/>
  <c r="AD58" i="1"/>
  <c r="AD47" i="1"/>
  <c r="AF7" i="43"/>
  <c r="AX106" i="43" l="1"/>
  <c r="BA106" i="43" s="1"/>
  <c r="AW106" i="43"/>
  <c r="AZ106" i="43" s="1"/>
  <c r="AX105" i="43"/>
  <c r="BA105" i="43" s="1"/>
  <c r="AW105" i="43"/>
  <c r="AZ105" i="43" s="1"/>
  <c r="AX104" i="43"/>
  <c r="BA104" i="43" s="1"/>
  <c r="AW104" i="43"/>
  <c r="AZ104" i="43" s="1"/>
  <c r="AX103" i="43"/>
  <c r="BA103" i="43" s="1"/>
  <c r="AW103" i="43"/>
  <c r="AZ103" i="43" s="1"/>
  <c r="BB103" i="43" s="1"/>
  <c r="AX102" i="43"/>
  <c r="BA102" i="43" s="1"/>
  <c r="AW102" i="43"/>
  <c r="AZ102" i="43" s="1"/>
  <c r="AX101" i="43"/>
  <c r="BA101" i="43" s="1"/>
  <c r="AW101" i="43"/>
  <c r="AZ101" i="43" s="1"/>
  <c r="BB101" i="43" s="1"/>
  <c r="AX100" i="43"/>
  <c r="BA100" i="43" s="1"/>
  <c r="AW100" i="43"/>
  <c r="AZ100" i="43" s="1"/>
  <c r="AW99" i="43"/>
  <c r="AZ99" i="43" s="1"/>
  <c r="AX99" i="43"/>
  <c r="BA99" i="43" s="1"/>
  <c r="BB105" i="43" l="1"/>
  <c r="BB100" i="43"/>
  <c r="BB104" i="43"/>
  <c r="BB102" i="43"/>
  <c r="BB106" i="43"/>
  <c r="BB99" i="43"/>
  <c r="BB92" i="43"/>
  <c r="BB91" i="43"/>
  <c r="BB90" i="43"/>
  <c r="BB89" i="43"/>
  <c r="BB88" i="43"/>
  <c r="BB87" i="43"/>
  <c r="BB86" i="43"/>
  <c r="BB85" i="43"/>
  <c r="BA87" i="43"/>
  <c r="AZ87" i="43"/>
  <c r="AY87" i="43"/>
  <c r="BA92" i="43"/>
  <c r="AZ92" i="43"/>
  <c r="BA91" i="43"/>
  <c r="AZ91" i="43"/>
  <c r="BA90" i="43"/>
  <c r="AZ90" i="43"/>
  <c r="BA89" i="43"/>
  <c r="AZ89" i="43"/>
  <c r="BA88" i="43"/>
  <c r="AZ88" i="43"/>
  <c r="AZ86" i="43"/>
  <c r="BA86" i="43"/>
  <c r="BA85" i="43"/>
  <c r="AR92" i="43"/>
  <c r="AR91" i="43"/>
  <c r="AR90" i="43"/>
  <c r="AR89" i="43"/>
  <c r="AR88" i="43"/>
  <c r="AR87" i="43"/>
  <c r="AR86" i="43"/>
  <c r="AR85" i="43"/>
  <c r="AY92" i="43"/>
  <c r="AX92" i="43"/>
  <c r="AW92" i="43"/>
  <c r="AY91" i="43"/>
  <c r="AX91" i="43"/>
  <c r="AW91" i="43"/>
  <c r="AY90" i="43"/>
  <c r="AX90" i="43"/>
  <c r="AW90" i="43"/>
  <c r="AY89" i="43"/>
  <c r="AX89" i="43"/>
  <c r="AW89" i="43"/>
  <c r="AY88" i="43"/>
  <c r="AX88" i="43"/>
  <c r="AW88" i="43"/>
  <c r="AX87" i="43"/>
  <c r="AW87" i="43"/>
  <c r="AY86" i="43"/>
  <c r="AX86" i="43"/>
  <c r="AW86" i="43"/>
  <c r="AX85" i="43"/>
  <c r="AY85" i="43"/>
  <c r="AW68" i="43"/>
  <c r="AZ73" i="43"/>
  <c r="BA73" i="43" s="1"/>
  <c r="AZ69" i="43"/>
  <c r="BA69" i="43" s="1"/>
  <c r="AZ68" i="43"/>
  <c r="BA68" i="43" s="1"/>
  <c r="AY77" i="43"/>
  <c r="AZ77" i="43" s="1"/>
  <c r="BA77" i="43" s="1"/>
  <c r="AX77" i="43"/>
  <c r="AW77" i="43"/>
  <c r="AY76" i="43"/>
  <c r="AZ76" i="43" s="1"/>
  <c r="BA76" i="43" s="1"/>
  <c r="AX76" i="43"/>
  <c r="AW76" i="43"/>
  <c r="AY75" i="43"/>
  <c r="AZ75" i="43" s="1"/>
  <c r="BA75" i="43" s="1"/>
  <c r="AX75" i="43"/>
  <c r="AW75" i="43"/>
  <c r="AY74" i="43"/>
  <c r="AZ74" i="43" s="1"/>
  <c r="BA74" i="43" s="1"/>
  <c r="AX74" i="43"/>
  <c r="AW74" i="43"/>
  <c r="AY73" i="43"/>
  <c r="AX73" i="43"/>
  <c r="AW73" i="43"/>
  <c r="AY72" i="43"/>
  <c r="AZ72" i="43" s="1"/>
  <c r="BA72" i="43" s="1"/>
  <c r="AX72" i="43"/>
  <c r="AW72" i="43"/>
  <c r="AY71" i="43"/>
  <c r="AZ71" i="43" s="1"/>
  <c r="BA71" i="43" s="1"/>
  <c r="AX71" i="43"/>
  <c r="AW71" i="43"/>
  <c r="AY70" i="43"/>
  <c r="AZ70" i="43" s="1"/>
  <c r="BA70" i="43" s="1"/>
  <c r="AX70" i="43"/>
  <c r="AW70" i="43"/>
  <c r="AY69" i="43"/>
  <c r="AX69" i="43"/>
  <c r="AW69" i="43"/>
  <c r="AY68" i="43"/>
  <c r="AX68" i="43"/>
  <c r="AY67" i="43"/>
  <c r="AZ67" i="43" s="1"/>
  <c r="AX67" i="43"/>
  <c r="AW67" i="43"/>
  <c r="AX61" i="43"/>
  <c r="AZ61" i="43" s="1"/>
  <c r="AX60" i="43"/>
  <c r="AZ60" i="43" s="1"/>
  <c r="AX59" i="43"/>
  <c r="AZ59" i="43" s="1"/>
  <c r="AX58" i="43"/>
  <c r="AZ58" i="43" s="1"/>
  <c r="AX57" i="43"/>
  <c r="AZ57" i="43" s="1"/>
  <c r="AX56" i="43"/>
  <c r="AZ56" i="43" s="1"/>
  <c r="AX55" i="43"/>
  <c r="AZ55" i="43" s="1"/>
  <c r="AX54" i="43"/>
  <c r="AZ54" i="43" s="1"/>
  <c r="AX53" i="43"/>
  <c r="AZ53" i="43" s="1"/>
  <c r="AW51" i="43"/>
  <c r="AW50" i="43"/>
  <c r="AW49" i="43"/>
  <c r="AZ49" i="43" s="1"/>
  <c r="AW48" i="43"/>
  <c r="AZ48" i="43" s="1"/>
  <c r="AW47" i="43"/>
  <c r="AZ47" i="43" s="1"/>
  <c r="AW46" i="43"/>
  <c r="AW45" i="43"/>
  <c r="AZ44" i="43"/>
  <c r="AW43" i="43"/>
  <c r="AZ43" i="43" s="1"/>
  <c r="AO47" i="43"/>
  <c r="AO51" i="43" s="1"/>
  <c r="AO46" i="43"/>
  <c r="AO50" i="43" s="1"/>
  <c r="AO45" i="43"/>
  <c r="AO49" i="43" s="1"/>
  <c r="AO44" i="43"/>
  <c r="AO48" i="43" s="1"/>
  <c r="BB107" i="43" l="1"/>
  <c r="BB108" i="43"/>
  <c r="AZ51" i="43"/>
  <c r="AZ50" i="43"/>
  <c r="AZ45" i="43"/>
  <c r="AZ46" i="43"/>
  <c r="AZ79" i="43"/>
  <c r="BA67" i="43"/>
  <c r="BB93" i="43" l="1"/>
  <c r="BA80" i="43"/>
  <c r="BA79" i="43"/>
  <c r="AY24" i="43" l="1"/>
  <c r="AX24" i="43"/>
  <c r="AZ24" i="43" s="1"/>
  <c r="AW24" i="43"/>
  <c r="AY23" i="43"/>
  <c r="AX23" i="43"/>
  <c r="AZ23" i="43" s="1"/>
  <c r="AW23" i="43"/>
  <c r="AY22" i="43"/>
  <c r="AX22" i="43"/>
  <c r="AZ22" i="43" s="1"/>
  <c r="AW22" i="43"/>
  <c r="AY21" i="43"/>
  <c r="AX21" i="43"/>
  <c r="AZ21" i="43" s="1"/>
  <c r="AW21" i="43"/>
  <c r="AY20" i="43"/>
  <c r="AX20" i="43"/>
  <c r="AZ20" i="43" s="1"/>
  <c r="AW20" i="43"/>
  <c r="AY19" i="43"/>
  <c r="AX19" i="43"/>
  <c r="AZ19" i="43" s="1"/>
  <c r="AW19" i="43"/>
  <c r="AY18" i="43"/>
  <c r="AX18" i="43"/>
  <c r="AZ18" i="43" s="1"/>
  <c r="AW18" i="43"/>
  <c r="AY17" i="43"/>
  <c r="AX17" i="43"/>
  <c r="AZ17" i="43" s="1"/>
  <c r="AW17" i="43"/>
  <c r="AY16" i="43"/>
  <c r="AX16" i="43"/>
  <c r="AW26" i="43"/>
  <c r="AZ26" i="43" s="1"/>
  <c r="AW16" i="43"/>
  <c r="AY26" i="43"/>
  <c r="AX26" i="43"/>
  <c r="AY34" i="43"/>
  <c r="AX34" i="43"/>
  <c r="AW34" i="43"/>
  <c r="AZ34" i="43" s="1"/>
  <c r="AY33" i="43"/>
  <c r="AX33" i="43"/>
  <c r="AW33" i="43"/>
  <c r="AZ33" i="43" s="1"/>
  <c r="AY32" i="43"/>
  <c r="AX32" i="43"/>
  <c r="AW32" i="43"/>
  <c r="AZ32" i="43" s="1"/>
  <c r="AY31" i="43"/>
  <c r="AX31" i="43"/>
  <c r="AW31" i="43"/>
  <c r="AZ31" i="43" s="1"/>
  <c r="AY30" i="43"/>
  <c r="AX30" i="43"/>
  <c r="AW30" i="43"/>
  <c r="AZ30" i="43" s="1"/>
  <c r="AY29" i="43"/>
  <c r="AX29" i="43"/>
  <c r="AW29" i="43"/>
  <c r="AZ29" i="43" s="1"/>
  <c r="AY28" i="43"/>
  <c r="AX28" i="43"/>
  <c r="AW28" i="43"/>
  <c r="AZ28" i="43" s="1"/>
  <c r="AY27" i="43"/>
  <c r="AX27" i="43"/>
  <c r="AW27" i="43"/>
  <c r="AZ27" i="43" s="1"/>
  <c r="AY14" i="43"/>
  <c r="AZ14" i="43" s="1"/>
  <c r="AX14" i="43"/>
  <c r="AW14" i="43"/>
  <c r="AY13" i="43"/>
  <c r="AZ13" i="43" s="1"/>
  <c r="AX13" i="43"/>
  <c r="AW13" i="43"/>
  <c r="AY12" i="43"/>
  <c r="AZ12" i="43" s="1"/>
  <c r="AX12" i="43"/>
  <c r="AW12" i="43"/>
  <c r="AY11" i="43"/>
  <c r="AZ11" i="43" s="1"/>
  <c r="AX11" i="43"/>
  <c r="AW11" i="43"/>
  <c r="AY10" i="43"/>
  <c r="AZ10" i="43" s="1"/>
  <c r="AX10" i="43"/>
  <c r="AW10" i="43"/>
  <c r="AY9" i="43"/>
  <c r="AZ9" i="43" s="1"/>
  <c r="AX9" i="43"/>
  <c r="AW9" i="43"/>
  <c r="AY8" i="43"/>
  <c r="AZ8" i="43" s="1"/>
  <c r="AX8" i="43"/>
  <c r="AW8" i="43"/>
  <c r="AY6" i="43"/>
  <c r="AZ6" i="43" s="1"/>
  <c r="AX6" i="43"/>
  <c r="AW6" i="43"/>
  <c r="AY7" i="43"/>
  <c r="AZ7" i="43" s="1"/>
  <c r="AX7" i="43"/>
  <c r="AW7" i="43"/>
  <c r="AO33" i="19"/>
  <c r="AO32" i="19"/>
  <c r="AO31" i="19"/>
  <c r="AO30" i="19"/>
  <c r="AO29" i="19"/>
  <c r="AO28" i="19"/>
  <c r="AO27" i="19"/>
  <c r="AQ27" i="19" s="1"/>
  <c r="AO26" i="19"/>
  <c r="AQ26" i="19" s="1"/>
  <c r="AO25" i="19"/>
  <c r="AO24" i="19"/>
  <c r="AO23" i="19"/>
  <c r="AO22" i="19"/>
  <c r="AO21" i="19"/>
  <c r="AO34" i="19"/>
  <c r="AQ34" i="19" s="1"/>
  <c r="AQ29" i="19"/>
  <c r="AQ49" i="19"/>
  <c r="AQ19" i="19"/>
  <c r="AP49" i="19"/>
  <c r="AM19" i="19"/>
  <c r="AQ24" i="19"/>
  <c r="AQ30" i="19"/>
  <c r="AI13" i="20"/>
  <c r="AQ48" i="19"/>
  <c r="AQ47" i="19"/>
  <c r="AQ46" i="19"/>
  <c r="AQ45" i="19"/>
  <c r="AQ44" i="19"/>
  <c r="AQ43" i="19"/>
  <c r="AQ42" i="19"/>
  <c r="AQ41" i="19"/>
  <c r="AQ40" i="19"/>
  <c r="AQ39" i="19"/>
  <c r="AQ38" i="19"/>
  <c r="AQ37" i="19"/>
  <c r="AP48" i="19"/>
  <c r="AP47" i="19"/>
  <c r="AP46" i="19"/>
  <c r="AP45" i="19"/>
  <c r="AP44" i="19"/>
  <c r="AP43" i="19"/>
  <c r="AP42" i="19"/>
  <c r="AP41" i="19"/>
  <c r="AP40" i="19"/>
  <c r="AP39" i="19"/>
  <c r="AP38" i="19"/>
  <c r="AP37" i="19"/>
  <c r="AP36" i="19"/>
  <c r="AQ33" i="19"/>
  <c r="AQ32" i="19"/>
  <c r="AQ31" i="19"/>
  <c r="AQ25" i="19"/>
  <c r="AQ23" i="19"/>
  <c r="AQ22" i="19"/>
  <c r="AM6" i="19"/>
  <c r="AN18" i="19"/>
  <c r="AN17" i="19"/>
  <c r="AN16" i="19"/>
  <c r="AN15" i="19"/>
  <c r="AN14" i="19"/>
  <c r="AN13" i="19"/>
  <c r="AN12" i="19"/>
  <c r="AN11" i="19"/>
  <c r="AN10" i="19"/>
  <c r="AN9" i="19"/>
  <c r="AN8" i="19"/>
  <c r="AN7" i="19"/>
  <c r="AN6" i="19"/>
  <c r="AQ18" i="19"/>
  <c r="AQ17" i="19"/>
  <c r="AQ16" i="19"/>
  <c r="AQ15" i="19"/>
  <c r="AQ14" i="19"/>
  <c r="AQ13" i="19"/>
  <c r="AQ12" i="19"/>
  <c r="AQ11" i="19"/>
  <c r="AQ10" i="19"/>
  <c r="AQ9" i="19"/>
  <c r="AQ8" i="19"/>
  <c r="AN19" i="19"/>
  <c r="AM18" i="19"/>
  <c r="AM17" i="19"/>
  <c r="AM16" i="19"/>
  <c r="AM15" i="19"/>
  <c r="AM14" i="19"/>
  <c r="AM13" i="19"/>
  <c r="AM12" i="19"/>
  <c r="AM11" i="19"/>
  <c r="AM10" i="19"/>
  <c r="AM9" i="19"/>
  <c r="AM8" i="19"/>
  <c r="AM7" i="19"/>
  <c r="S4" i="19"/>
  <c r="AL48" i="19"/>
  <c r="AK48" i="19"/>
  <c r="AJ48" i="19"/>
  <c r="AL47" i="19"/>
  <c r="AK47" i="19"/>
  <c r="AJ47" i="19"/>
  <c r="AL46" i="19"/>
  <c r="AK46" i="19"/>
  <c r="AJ46" i="19"/>
  <c r="AL45" i="19"/>
  <c r="AK45" i="19"/>
  <c r="AJ45" i="19"/>
  <c r="AL44" i="19"/>
  <c r="AK44" i="19"/>
  <c r="AJ44" i="19"/>
  <c r="AL43" i="19"/>
  <c r="AK43" i="19"/>
  <c r="AJ43" i="19"/>
  <c r="AL42" i="19"/>
  <c r="AK42" i="19"/>
  <c r="AJ42" i="19"/>
  <c r="AL41" i="19"/>
  <c r="AK41" i="19"/>
  <c r="AJ41" i="19"/>
  <c r="AL40" i="19"/>
  <c r="AK40" i="19"/>
  <c r="AJ40" i="19"/>
  <c r="AL39" i="19"/>
  <c r="AK39" i="19"/>
  <c r="AJ39" i="19"/>
  <c r="AL38" i="19"/>
  <c r="AK38" i="19"/>
  <c r="AJ38" i="19"/>
  <c r="AL37" i="19"/>
  <c r="AK37" i="19"/>
  <c r="AJ37" i="19"/>
  <c r="AL36" i="19"/>
  <c r="AK36" i="19"/>
  <c r="AJ36" i="19"/>
  <c r="AL33" i="19"/>
  <c r="AK33" i="19"/>
  <c r="AJ33" i="19"/>
  <c r="AL32" i="19"/>
  <c r="AK32" i="19"/>
  <c r="AJ32" i="19"/>
  <c r="AL31" i="19"/>
  <c r="AK31" i="19"/>
  <c r="AJ31" i="19"/>
  <c r="AL30" i="19"/>
  <c r="AK30" i="19"/>
  <c r="AJ30" i="19"/>
  <c r="AL29" i="19"/>
  <c r="AK29" i="19"/>
  <c r="AJ29" i="19"/>
  <c r="AL28" i="19"/>
  <c r="AK28" i="19"/>
  <c r="AJ28" i="19"/>
  <c r="AL27" i="19"/>
  <c r="AK27" i="19"/>
  <c r="AJ27" i="19"/>
  <c r="AL26" i="19"/>
  <c r="AK26" i="19"/>
  <c r="AJ26" i="19"/>
  <c r="AL25" i="19"/>
  <c r="AK25" i="19"/>
  <c r="AJ25" i="19"/>
  <c r="AL24" i="19"/>
  <c r="AK24" i="19"/>
  <c r="AJ24" i="19"/>
  <c r="AL23" i="19"/>
  <c r="AK23" i="19"/>
  <c r="AJ23" i="19"/>
  <c r="AL22" i="19"/>
  <c r="AK22" i="19"/>
  <c r="AJ22" i="19"/>
  <c r="AL21" i="19"/>
  <c r="AK21" i="19"/>
  <c r="AJ21" i="19"/>
  <c r="AL18" i="19"/>
  <c r="AK18" i="19"/>
  <c r="AJ18" i="19"/>
  <c r="AL17" i="19"/>
  <c r="AK17" i="19"/>
  <c r="AJ17" i="19"/>
  <c r="AL16" i="19"/>
  <c r="AK16" i="19"/>
  <c r="AJ16" i="19"/>
  <c r="AL15" i="19"/>
  <c r="AK15" i="19"/>
  <c r="AJ15" i="19"/>
  <c r="AL14" i="19"/>
  <c r="AK14" i="19"/>
  <c r="AJ14" i="19"/>
  <c r="AL13" i="19"/>
  <c r="AK13" i="19"/>
  <c r="AJ13" i="19"/>
  <c r="AL12" i="19"/>
  <c r="AK12" i="19"/>
  <c r="AJ12" i="19"/>
  <c r="AL11" i="19"/>
  <c r="AK11" i="19"/>
  <c r="AJ11" i="19"/>
  <c r="AL10" i="19"/>
  <c r="AK10" i="19"/>
  <c r="AJ10" i="19"/>
  <c r="AL9" i="19"/>
  <c r="AK9" i="19"/>
  <c r="AJ9" i="19"/>
  <c r="AL8" i="19"/>
  <c r="AK8" i="19"/>
  <c r="AJ8" i="19"/>
  <c r="AL6" i="19"/>
  <c r="AK6" i="19"/>
  <c r="AJ6" i="19"/>
  <c r="AL7" i="19"/>
  <c r="AK7" i="19"/>
  <c r="AJ7" i="19"/>
  <c r="AE47" i="28"/>
  <c r="AE46" i="28"/>
  <c r="AE45" i="28"/>
  <c r="AE44" i="28"/>
  <c r="AE43" i="28"/>
  <c r="AE42" i="28"/>
  <c r="AE41" i="28"/>
  <c r="AE40" i="28"/>
  <c r="AE39" i="28"/>
  <c r="AE38" i="28"/>
  <c r="AE37" i="28"/>
  <c r="AE36" i="28"/>
  <c r="AD36" i="28"/>
  <c r="AF47" i="28"/>
  <c r="AG33" i="28"/>
  <c r="AF33" i="28"/>
  <c r="AE33" i="28"/>
  <c r="AD33" i="28"/>
  <c r="AE32" i="28"/>
  <c r="AD32" i="28"/>
  <c r="AE31" i="28"/>
  <c r="AD31" i="28"/>
  <c r="AE30" i="28"/>
  <c r="AD30" i="28"/>
  <c r="AE29" i="28"/>
  <c r="AD29" i="28"/>
  <c r="AE28" i="28"/>
  <c r="AD28" i="28"/>
  <c r="AE27" i="28"/>
  <c r="AD27" i="28"/>
  <c r="AE26" i="28"/>
  <c r="AD26" i="28"/>
  <c r="AE25" i="28"/>
  <c r="AD25" i="28"/>
  <c r="AE24" i="28"/>
  <c r="AD24" i="28"/>
  <c r="AE23" i="28"/>
  <c r="AD23" i="28"/>
  <c r="AE22" i="28"/>
  <c r="AD22" i="28"/>
  <c r="AG19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C13" i="28"/>
  <c r="AE8" i="28"/>
  <c r="AE19" i="28"/>
  <c r="AE18" i="28"/>
  <c r="AE17" i="28"/>
  <c r="AE16" i="28"/>
  <c r="AE15" i="28"/>
  <c r="AE14" i="28"/>
  <c r="AE13" i="28"/>
  <c r="AE12" i="28"/>
  <c r="AE11" i="28"/>
  <c r="AE10" i="28"/>
  <c r="AE9" i="28"/>
  <c r="AD47" i="28"/>
  <c r="AD46" i="28"/>
  <c r="AD45" i="28"/>
  <c r="AD44" i="28"/>
  <c r="AD43" i="28"/>
  <c r="AD42" i="28"/>
  <c r="AD41" i="28"/>
  <c r="AD40" i="28"/>
  <c r="AD39" i="28"/>
  <c r="AD38" i="28"/>
  <c r="AD37" i="28"/>
  <c r="AC47" i="28"/>
  <c r="AB47" i="28"/>
  <c r="AA47" i="28"/>
  <c r="AC46" i="28"/>
  <c r="AB46" i="28"/>
  <c r="AA46" i="28"/>
  <c r="AC45" i="28"/>
  <c r="AB45" i="28"/>
  <c r="AA45" i="28"/>
  <c r="AC44" i="28"/>
  <c r="AB44" i="28"/>
  <c r="AA44" i="28"/>
  <c r="AC43" i="28"/>
  <c r="AB43" i="28"/>
  <c r="AA43" i="28"/>
  <c r="AC42" i="28"/>
  <c r="AB42" i="28"/>
  <c r="AA42" i="28"/>
  <c r="AC41" i="28"/>
  <c r="AB41" i="28"/>
  <c r="AA41" i="28"/>
  <c r="AC40" i="28"/>
  <c r="AB40" i="28"/>
  <c r="AA40" i="28"/>
  <c r="AC39" i="28"/>
  <c r="AB39" i="28"/>
  <c r="AA39" i="28"/>
  <c r="AC38" i="28"/>
  <c r="AB38" i="28"/>
  <c r="AA38" i="28"/>
  <c r="AC37" i="28"/>
  <c r="AB37" i="28"/>
  <c r="AA37" i="28"/>
  <c r="AC36" i="28"/>
  <c r="AB36" i="28"/>
  <c r="AA36" i="28"/>
  <c r="AC35" i="28"/>
  <c r="AB35" i="28"/>
  <c r="AA35" i="28"/>
  <c r="AC33" i="28"/>
  <c r="AB33" i="28"/>
  <c r="AA33" i="28"/>
  <c r="AC32" i="28"/>
  <c r="AB32" i="28"/>
  <c r="AA32" i="28"/>
  <c r="AC31" i="28"/>
  <c r="AB31" i="28"/>
  <c r="AA31" i="28"/>
  <c r="AC30" i="28"/>
  <c r="AB30" i="28"/>
  <c r="AA30" i="28"/>
  <c r="AC29" i="28"/>
  <c r="AB29" i="28"/>
  <c r="AA29" i="28"/>
  <c r="AC28" i="28"/>
  <c r="AB28" i="28"/>
  <c r="AA28" i="28"/>
  <c r="AC27" i="28"/>
  <c r="AB27" i="28"/>
  <c r="AA27" i="28"/>
  <c r="AC26" i="28"/>
  <c r="AB26" i="28"/>
  <c r="AA26" i="28"/>
  <c r="AC25" i="28"/>
  <c r="AB25" i="28"/>
  <c r="AA25" i="28"/>
  <c r="AC24" i="28"/>
  <c r="AB24" i="28"/>
  <c r="AA24" i="28"/>
  <c r="AC23" i="28"/>
  <c r="AB23" i="28"/>
  <c r="AA23" i="28"/>
  <c r="AC22" i="28"/>
  <c r="AB22" i="28"/>
  <c r="AA22" i="28"/>
  <c r="AC21" i="28"/>
  <c r="AB21" i="28"/>
  <c r="AA21" i="28"/>
  <c r="AC19" i="28"/>
  <c r="AB19" i="28"/>
  <c r="AA19" i="28"/>
  <c r="AC18" i="28"/>
  <c r="AB18" i="28"/>
  <c r="AA18" i="28"/>
  <c r="AC17" i="28"/>
  <c r="AB17" i="28"/>
  <c r="AA17" i="28"/>
  <c r="AC16" i="28"/>
  <c r="AB16" i="28"/>
  <c r="AA16" i="28"/>
  <c r="AC15" i="28"/>
  <c r="AB15" i="28"/>
  <c r="AA15" i="28"/>
  <c r="AC14" i="28"/>
  <c r="AB14" i="28"/>
  <c r="AA14" i="28"/>
  <c r="AB13" i="28"/>
  <c r="AA13" i="28"/>
  <c r="AC12" i="28"/>
  <c r="AB12" i="28"/>
  <c r="AA12" i="28"/>
  <c r="AC11" i="28"/>
  <c r="AB11" i="28"/>
  <c r="AA11" i="28"/>
  <c r="AC10" i="28"/>
  <c r="AB10" i="28"/>
  <c r="AA10" i="28"/>
  <c r="AC9" i="28"/>
  <c r="AB9" i="28"/>
  <c r="AA9" i="28"/>
  <c r="AC8" i="28"/>
  <c r="AB8" i="28"/>
  <c r="AA8" i="28"/>
  <c r="AC7" i="28"/>
  <c r="AB7" i="28"/>
  <c r="AA7" i="28"/>
  <c r="AQ28" i="19" l="1"/>
  <c r="AG47" i="28"/>
  <c r="AC2" i="43" l="1"/>
  <c r="AH2" i="43"/>
  <c r="AD3" i="43"/>
  <c r="AH3" i="43"/>
  <c r="AF17" i="4" l="1"/>
  <c r="AF33" i="4"/>
  <c r="AI17" i="20"/>
  <c r="AI23" i="20"/>
  <c r="AM12" i="20"/>
  <c r="AL22" i="20"/>
  <c r="AL21" i="20"/>
  <c r="AL20" i="20"/>
  <c r="AL19" i="20"/>
  <c r="AL18" i="20"/>
  <c r="AL23" i="20" s="1"/>
  <c r="AL16" i="20"/>
  <c r="AL15" i="20"/>
  <c r="AL14" i="20"/>
  <c r="AL13" i="20"/>
  <c r="AL12" i="20"/>
  <c r="AL17" i="20"/>
  <c r="AI12" i="20"/>
  <c r="AM22" i="20"/>
  <c r="AF22" i="20"/>
  <c r="AJ22" i="20" s="1"/>
  <c r="AE22" i="20"/>
  <c r="AC22" i="20"/>
  <c r="AH22" i="20" s="1"/>
  <c r="AK22" i="20" s="1"/>
  <c r="AB22" i="20"/>
  <c r="AM21" i="20"/>
  <c r="AF21" i="20"/>
  <c r="AJ21" i="20" s="1"/>
  <c r="AE21" i="20"/>
  <c r="AC21" i="20"/>
  <c r="AH21" i="20" s="1"/>
  <c r="AI21" i="20" s="1"/>
  <c r="AB21" i="20"/>
  <c r="AM20" i="20"/>
  <c r="AF20" i="20"/>
  <c r="AJ20" i="20" s="1"/>
  <c r="AE20" i="20"/>
  <c r="AC20" i="20"/>
  <c r="AH20" i="20" s="1"/>
  <c r="AI20" i="20" s="1"/>
  <c r="AB20" i="20"/>
  <c r="AM19" i="20"/>
  <c r="AF19" i="20"/>
  <c r="AJ19" i="20" s="1"/>
  <c r="AE19" i="20"/>
  <c r="AC19" i="20"/>
  <c r="AH19" i="20" s="1"/>
  <c r="AK19" i="20" s="1"/>
  <c r="AB19" i="20"/>
  <c r="AM18" i="20"/>
  <c r="AF18" i="20"/>
  <c r="AJ18" i="20" s="1"/>
  <c r="AE18" i="20"/>
  <c r="AC18" i="20"/>
  <c r="AH18" i="20" s="1"/>
  <c r="AI18" i="20" s="1"/>
  <c r="AB18" i="20"/>
  <c r="AB16" i="20"/>
  <c r="AE16" i="20"/>
  <c r="AE15" i="20"/>
  <c r="AE14" i="20"/>
  <c r="AE13" i="20"/>
  <c r="AE12" i="20"/>
  <c r="AB15" i="20"/>
  <c r="AB14" i="20"/>
  <c r="AB13" i="20"/>
  <c r="AB12" i="20"/>
  <c r="AC13" i="20"/>
  <c r="AH13" i="20" s="1"/>
  <c r="AK13" i="20" s="1"/>
  <c r="AC12" i="20"/>
  <c r="AH12" i="20" s="1"/>
  <c r="AF12" i="20"/>
  <c r="AJ12" i="20" s="1"/>
  <c r="AF16" i="20"/>
  <c r="AJ16" i="20" s="1"/>
  <c r="AF15" i="20"/>
  <c r="AJ15" i="20" s="1"/>
  <c r="AF14" i="20"/>
  <c r="AJ14" i="20" s="1"/>
  <c r="AF13" i="20"/>
  <c r="AJ13" i="20" s="1"/>
  <c r="AC16" i="20"/>
  <c r="AH16" i="20" s="1"/>
  <c r="AI16" i="20" s="1"/>
  <c r="AC15" i="20"/>
  <c r="AC14" i="20"/>
  <c r="AG19" i="18"/>
  <c r="AH19" i="18" s="1"/>
  <c r="AG22" i="18"/>
  <c r="AH22" i="18" s="1"/>
  <c r="AG21" i="18"/>
  <c r="AH21" i="18" s="1"/>
  <c r="AG20" i="18"/>
  <c r="AH20" i="18" s="1"/>
  <c r="AG18" i="18"/>
  <c r="AE20" i="18"/>
  <c r="AF20" i="18" s="1"/>
  <c r="AF22" i="18"/>
  <c r="AF21" i="18"/>
  <c r="AE22" i="18"/>
  <c r="AE21" i="18"/>
  <c r="AE19" i="18"/>
  <c r="AF19" i="18" s="1"/>
  <c r="AE18" i="18"/>
  <c r="AF18" i="18" s="1"/>
  <c r="AF23" i="18" s="1"/>
  <c r="AE4" i="18"/>
  <c r="AE2" i="18"/>
  <c r="AE3" i="18" s="1"/>
  <c r="X11" i="7"/>
  <c r="AH13" i="24"/>
  <c r="AH7" i="24"/>
  <c r="AD7" i="24"/>
  <c r="AH16" i="24"/>
  <c r="X16" i="7"/>
  <c r="X15" i="7"/>
  <c r="X14" i="7"/>
  <c r="X13" i="7"/>
  <c r="X12" i="7"/>
  <c r="X10" i="7"/>
  <c r="X9" i="7"/>
  <c r="X8" i="7"/>
  <c r="X7" i="7"/>
  <c r="X6" i="7"/>
  <c r="W16" i="7"/>
  <c r="W15" i="7"/>
  <c r="W14" i="7"/>
  <c r="W13" i="7"/>
  <c r="W12" i="7"/>
  <c r="W10" i="7"/>
  <c r="W9" i="7"/>
  <c r="W8" i="7"/>
  <c r="W7" i="7"/>
  <c r="W6" i="7"/>
  <c r="AF32" i="4"/>
  <c r="AF31" i="4"/>
  <c r="AF30" i="4"/>
  <c r="AF29" i="4"/>
  <c r="AF28" i="4"/>
  <c r="AF16" i="4"/>
  <c r="AF15" i="4"/>
  <c r="AF14" i="4"/>
  <c r="AF13" i="4"/>
  <c r="AF12" i="4"/>
  <c r="AF10" i="4"/>
  <c r="AF9" i="4"/>
  <c r="AF8" i="4"/>
  <c r="AF7" i="4"/>
  <c r="AF6" i="4"/>
  <c r="AE32" i="4"/>
  <c r="AE31" i="4"/>
  <c r="AE30" i="4"/>
  <c r="AE29" i="4"/>
  <c r="AE28" i="4"/>
  <c r="AE16" i="4"/>
  <c r="AE15" i="4"/>
  <c r="AE14" i="4"/>
  <c r="AE13" i="4"/>
  <c r="AE12" i="4"/>
  <c r="AE10" i="4"/>
  <c r="AE9" i="4"/>
  <c r="AE8" i="4"/>
  <c r="AE7" i="4"/>
  <c r="AE6" i="4"/>
  <c r="W6" i="4"/>
  <c r="X6" i="4"/>
  <c r="Y18" i="4"/>
  <c r="AF18" i="24"/>
  <c r="AE18" i="24"/>
  <c r="AD18" i="24"/>
  <c r="AG18" i="24" s="1"/>
  <c r="AH18" i="24" s="1"/>
  <c r="AF17" i="24"/>
  <c r="AE17" i="24"/>
  <c r="AD17" i="24"/>
  <c r="AG17" i="24" s="1"/>
  <c r="AH17" i="24" s="1"/>
  <c r="AE16" i="24"/>
  <c r="AF16" i="24"/>
  <c r="AD16" i="24"/>
  <c r="AG16" i="24" s="1"/>
  <c r="AF14" i="24"/>
  <c r="AE14" i="24"/>
  <c r="AD14" i="24"/>
  <c r="AG14" i="24" s="1"/>
  <c r="AH14" i="24" s="1"/>
  <c r="AF13" i="24"/>
  <c r="AE13" i="24"/>
  <c r="AD13" i="24"/>
  <c r="AG13" i="24" s="1"/>
  <c r="AF11" i="24"/>
  <c r="AE11" i="24"/>
  <c r="AD11" i="24"/>
  <c r="AG11" i="24" s="1"/>
  <c r="AH11" i="24" s="1"/>
  <c r="AF10" i="24"/>
  <c r="AE10" i="24"/>
  <c r="AD10" i="24"/>
  <c r="AG10" i="24" s="1"/>
  <c r="AH10" i="24" s="1"/>
  <c r="AF9" i="24"/>
  <c r="AE9" i="24"/>
  <c r="AD9" i="24"/>
  <c r="AG9" i="24" s="1"/>
  <c r="AH9" i="24" s="1"/>
  <c r="AF8" i="24"/>
  <c r="AE8" i="24"/>
  <c r="AD8" i="24"/>
  <c r="AG8" i="24" s="1"/>
  <c r="AH8" i="24" s="1"/>
  <c r="AF7" i="24"/>
  <c r="AE7" i="24"/>
  <c r="AG7" i="24"/>
  <c r="AH18" i="18" l="1"/>
  <c r="AI22" i="20"/>
  <c r="AI19" i="20"/>
  <c r="AM16" i="20"/>
  <c r="AK16" i="20"/>
  <c r="AN12" i="20"/>
  <c r="AM13" i="20"/>
  <c r="AN13" i="20" s="1"/>
  <c r="AM15" i="20"/>
  <c r="AN16" i="20" s="1"/>
  <c r="AM14" i="20"/>
  <c r="AK12" i="20"/>
  <c r="AK21" i="20"/>
  <c r="AK18" i="20"/>
  <c r="AK20" i="20"/>
  <c r="AH14" i="20"/>
  <c r="AH15" i="20"/>
  <c r="AH23" i="18"/>
  <c r="AH12" i="24"/>
  <c r="AK14" i="20" l="1"/>
  <c r="AI14" i="20"/>
  <c r="AK15" i="20"/>
  <c r="AI15" i="20"/>
  <c r="AN14" i="20"/>
  <c r="AN15" i="20"/>
  <c r="G6" i="43" l="1"/>
  <c r="H6" i="43"/>
  <c r="I6" i="43"/>
  <c r="G7" i="43"/>
  <c r="H7" i="43"/>
  <c r="I7" i="43"/>
  <c r="M7" i="43"/>
  <c r="M8" i="43" s="1"/>
  <c r="M9" i="43" s="1"/>
  <c r="M10" i="43" s="1"/>
  <c r="M11" i="43" s="1"/>
  <c r="M12" i="43" s="1"/>
  <c r="M13" i="43" s="1"/>
  <c r="M14" i="43" s="1"/>
  <c r="G8" i="43"/>
  <c r="H8" i="43"/>
  <c r="I8" i="43"/>
  <c r="T8" i="43"/>
  <c r="T9" i="43" s="1"/>
  <c r="T10" i="43" s="1"/>
  <c r="T11" i="43" s="1"/>
  <c r="T12" i="43" s="1"/>
  <c r="T13" i="43" s="1"/>
  <c r="T14" i="43" s="1"/>
  <c r="T15" i="43" s="1"/>
  <c r="T16" i="43" s="1"/>
  <c r="T17" i="43" s="1"/>
  <c r="T18" i="43" s="1"/>
  <c r="T19" i="43" s="1"/>
  <c r="T20" i="43" s="1"/>
  <c r="T21" i="43" s="1"/>
  <c r="T22" i="43" s="1"/>
  <c r="T23" i="43" s="1"/>
  <c r="T24" i="43" s="1"/>
  <c r="T25" i="43" s="1"/>
  <c r="T26" i="43" s="1"/>
  <c r="T27" i="43" s="1"/>
  <c r="T28" i="43" s="1"/>
  <c r="T29" i="43" s="1"/>
  <c r="T30" i="43" s="1"/>
  <c r="T31" i="43" s="1"/>
  <c r="T32" i="43" s="1"/>
  <c r="T33" i="43" s="1"/>
  <c r="T34" i="43" s="1"/>
  <c r="T35" i="43" s="1"/>
  <c r="T36" i="43" s="1"/>
  <c r="T37" i="43" s="1"/>
  <c r="T38" i="43" s="1"/>
  <c r="AF8" i="43"/>
  <c r="G9" i="43"/>
  <c r="J9" i="43" s="1"/>
  <c r="H9" i="43"/>
  <c r="K9" i="43" s="1"/>
  <c r="I9" i="43"/>
  <c r="L9" i="43" s="1"/>
  <c r="AG9" i="43"/>
  <c r="G10" i="43"/>
  <c r="J10" i="43" s="1"/>
  <c r="H10" i="43"/>
  <c r="K10" i="43" s="1"/>
  <c r="I10" i="43"/>
  <c r="L10" i="43" s="1"/>
  <c r="AG10" i="43"/>
  <c r="G11" i="43"/>
  <c r="J11" i="43" s="1"/>
  <c r="H11" i="43"/>
  <c r="K11" i="43" s="1"/>
  <c r="I11" i="43"/>
  <c r="L11" i="43" s="1"/>
  <c r="AF11" i="43"/>
  <c r="G12" i="43"/>
  <c r="J12" i="43" s="1"/>
  <c r="H12" i="43"/>
  <c r="I12" i="43"/>
  <c r="L12" i="43" s="1"/>
  <c r="AF12" i="43"/>
  <c r="A13" i="43"/>
  <c r="A16" i="43" s="1"/>
  <c r="A19" i="43" s="1"/>
  <c r="A22" i="43" s="1"/>
  <c r="A25" i="43" s="1"/>
  <c r="A28" i="43" s="1"/>
  <c r="A31" i="43" s="1"/>
  <c r="G13" i="43"/>
  <c r="J13" i="43" s="1"/>
  <c r="H13" i="43"/>
  <c r="K13" i="43" s="1"/>
  <c r="I13" i="43"/>
  <c r="L13" i="43" s="1"/>
  <c r="AG13" i="43"/>
  <c r="G14" i="43"/>
  <c r="J14" i="43" s="1"/>
  <c r="H14" i="43"/>
  <c r="K14" i="43" s="1"/>
  <c r="I14" i="43"/>
  <c r="L14" i="43" s="1"/>
  <c r="AG14" i="43"/>
  <c r="G15" i="43"/>
  <c r="J15" i="43" s="1"/>
  <c r="H15" i="43"/>
  <c r="I15" i="43"/>
  <c r="L15" i="43" s="1"/>
  <c r="AF15" i="43"/>
  <c r="G16" i="43"/>
  <c r="J16" i="43" s="1"/>
  <c r="H16" i="43"/>
  <c r="K16" i="43" s="1"/>
  <c r="I16" i="43"/>
  <c r="L16" i="43" s="1"/>
  <c r="AF16" i="43"/>
  <c r="G17" i="43"/>
  <c r="J17" i="43" s="1"/>
  <c r="H17" i="43"/>
  <c r="K17" i="43" s="1"/>
  <c r="I17" i="43"/>
  <c r="L17" i="43" s="1"/>
  <c r="AG17" i="43"/>
  <c r="G18" i="43"/>
  <c r="J18" i="43" s="1"/>
  <c r="H18" i="43"/>
  <c r="K18" i="43" s="1"/>
  <c r="I18" i="43"/>
  <c r="L18" i="43" s="1"/>
  <c r="AG18" i="43"/>
  <c r="G19" i="43"/>
  <c r="J19" i="43" s="1"/>
  <c r="H19" i="43"/>
  <c r="K19" i="43" s="1"/>
  <c r="I19" i="43"/>
  <c r="L19" i="43" s="1"/>
  <c r="AF19" i="43"/>
  <c r="G20" i="43"/>
  <c r="J20" i="43" s="1"/>
  <c r="H20" i="43"/>
  <c r="K20" i="43" s="1"/>
  <c r="I20" i="43"/>
  <c r="L20" i="43" s="1"/>
  <c r="X20" i="43"/>
  <c r="AF20" i="43" s="1"/>
  <c r="G21" i="43"/>
  <c r="J21" i="43" s="1"/>
  <c r="H21" i="43"/>
  <c r="I21" i="43"/>
  <c r="L21" i="43" s="1"/>
  <c r="AG21" i="43"/>
  <c r="G22" i="43"/>
  <c r="J22" i="43" s="1"/>
  <c r="H22" i="43"/>
  <c r="K22" i="43" s="1"/>
  <c r="I22" i="43"/>
  <c r="L22" i="43" s="1"/>
  <c r="AG22" i="43"/>
  <c r="G23" i="43"/>
  <c r="J23" i="43" s="1"/>
  <c r="H23" i="43"/>
  <c r="K23" i="43" s="1"/>
  <c r="I23" i="43"/>
  <c r="L23" i="43" s="1"/>
  <c r="AF23" i="43"/>
  <c r="G24" i="43"/>
  <c r="J24" i="43" s="1"/>
  <c r="H24" i="43"/>
  <c r="I24" i="43"/>
  <c r="L24" i="43" s="1"/>
  <c r="AF24" i="43"/>
  <c r="G25" i="43"/>
  <c r="J25" i="43" s="1"/>
  <c r="H25" i="43"/>
  <c r="K25" i="43" s="1"/>
  <c r="I25" i="43"/>
  <c r="L25" i="43" s="1"/>
  <c r="G26" i="43"/>
  <c r="J26" i="43" s="1"/>
  <c r="H26" i="43"/>
  <c r="K26" i="43" s="1"/>
  <c r="I26" i="43"/>
  <c r="L26" i="43" s="1"/>
  <c r="AG26" i="43"/>
  <c r="G27" i="43"/>
  <c r="J27" i="43" s="1"/>
  <c r="H27" i="43"/>
  <c r="K27" i="43" s="1"/>
  <c r="I27" i="43"/>
  <c r="L27" i="43" s="1"/>
  <c r="AF27" i="43"/>
  <c r="G28" i="43"/>
  <c r="J28" i="43" s="1"/>
  <c r="H28" i="43"/>
  <c r="K28" i="43" s="1"/>
  <c r="I28" i="43"/>
  <c r="L28" i="43" s="1"/>
  <c r="AF28" i="43"/>
  <c r="G29" i="43"/>
  <c r="J29" i="43" s="1"/>
  <c r="H29" i="43"/>
  <c r="K29" i="43" s="1"/>
  <c r="I29" i="43"/>
  <c r="L29" i="43" s="1"/>
  <c r="AG29" i="43"/>
  <c r="G30" i="43"/>
  <c r="J30" i="43" s="1"/>
  <c r="H30" i="43"/>
  <c r="I30" i="43"/>
  <c r="L30" i="43" s="1"/>
  <c r="AG30" i="43"/>
  <c r="G31" i="43"/>
  <c r="J31" i="43" s="1"/>
  <c r="H31" i="43"/>
  <c r="K31" i="43" s="1"/>
  <c r="I31" i="43"/>
  <c r="L31" i="43" s="1"/>
  <c r="G32" i="43"/>
  <c r="J32" i="43" s="1"/>
  <c r="H32" i="43"/>
  <c r="K32" i="43" s="1"/>
  <c r="I32" i="43"/>
  <c r="L32" i="43" s="1"/>
  <c r="AF32" i="43"/>
  <c r="G33" i="43"/>
  <c r="H33" i="43"/>
  <c r="I33" i="43"/>
  <c r="AG33" i="43"/>
  <c r="G34" i="43"/>
  <c r="H34" i="43"/>
  <c r="I34" i="43"/>
  <c r="AG34" i="43"/>
  <c r="G35" i="43"/>
  <c r="H35" i="43"/>
  <c r="I35" i="43"/>
  <c r="G36" i="43"/>
  <c r="J36" i="43" s="1"/>
  <c r="H36" i="43"/>
  <c r="I36" i="43"/>
  <c r="L36" i="43" s="1"/>
  <c r="AF36" i="43"/>
  <c r="G37" i="43"/>
  <c r="J37" i="43" s="1"/>
  <c r="H37" i="43"/>
  <c r="K37" i="43" s="1"/>
  <c r="I37" i="43"/>
  <c r="L37" i="43" s="1"/>
  <c r="AG37" i="43"/>
  <c r="G38" i="43"/>
  <c r="J38" i="43" s="1"/>
  <c r="H38" i="43"/>
  <c r="K38" i="43" s="1"/>
  <c r="I38" i="43"/>
  <c r="L38" i="43" s="1"/>
  <c r="AG38" i="43"/>
  <c r="G39" i="43"/>
  <c r="J39" i="43" s="1"/>
  <c r="H39" i="43"/>
  <c r="K39" i="43" s="1"/>
  <c r="I39" i="43"/>
  <c r="L39" i="43" s="1"/>
  <c r="A40" i="43"/>
  <c r="A43" i="43" s="1"/>
  <c r="A46" i="43" s="1"/>
  <c r="A49" i="43" s="1"/>
  <c r="A52" i="43" s="1"/>
  <c r="G40" i="43"/>
  <c r="J40" i="43" s="1"/>
  <c r="H40" i="43"/>
  <c r="K40" i="43" s="1"/>
  <c r="I40" i="43"/>
  <c r="L40" i="43" s="1"/>
  <c r="G41" i="43"/>
  <c r="J41" i="43" s="1"/>
  <c r="H41" i="43"/>
  <c r="K41" i="43" s="1"/>
  <c r="I41" i="43"/>
  <c r="L41" i="43" s="1"/>
  <c r="G42" i="43"/>
  <c r="J42" i="43" s="1"/>
  <c r="H42" i="43"/>
  <c r="I42" i="43"/>
  <c r="L42" i="43" s="1"/>
  <c r="G43" i="43"/>
  <c r="J43" i="43" s="1"/>
  <c r="H43" i="43"/>
  <c r="K43" i="43" s="1"/>
  <c r="I43" i="43"/>
  <c r="L43" i="43" s="1"/>
  <c r="G44" i="43"/>
  <c r="J44" i="43" s="1"/>
  <c r="H44" i="43"/>
  <c r="K44" i="43" s="1"/>
  <c r="I44" i="43"/>
  <c r="L44" i="43" s="1"/>
  <c r="G45" i="43"/>
  <c r="J45" i="43" s="1"/>
  <c r="H45" i="43"/>
  <c r="K45" i="43" s="1"/>
  <c r="I45" i="43"/>
  <c r="L45" i="43" s="1"/>
  <c r="Q45" i="43"/>
  <c r="G46" i="43"/>
  <c r="J46" i="43" s="1"/>
  <c r="H46" i="43"/>
  <c r="K46" i="43" s="1"/>
  <c r="I46" i="43"/>
  <c r="L46" i="43" s="1"/>
  <c r="G47" i="43"/>
  <c r="J47" i="43" s="1"/>
  <c r="H47" i="43"/>
  <c r="K47" i="43" s="1"/>
  <c r="I47" i="43"/>
  <c r="L47" i="43" s="1"/>
  <c r="G48" i="43"/>
  <c r="J48" i="43" s="1"/>
  <c r="H48" i="43"/>
  <c r="I48" i="43"/>
  <c r="L48" i="43" s="1"/>
  <c r="Q48" i="43"/>
  <c r="G49" i="43"/>
  <c r="J49" i="43" s="1"/>
  <c r="H49" i="43"/>
  <c r="K49" i="43" s="1"/>
  <c r="I49" i="43"/>
  <c r="L49" i="43" s="1"/>
  <c r="G50" i="43"/>
  <c r="J50" i="43" s="1"/>
  <c r="H50" i="43"/>
  <c r="K50" i="43" s="1"/>
  <c r="I50" i="43"/>
  <c r="L50" i="43" s="1"/>
  <c r="G51" i="43"/>
  <c r="J51" i="43" s="1"/>
  <c r="H51" i="43"/>
  <c r="K51" i="43" s="1"/>
  <c r="I51" i="43"/>
  <c r="L51" i="43" s="1"/>
  <c r="G52" i="43"/>
  <c r="J52" i="43" s="1"/>
  <c r="H52" i="43"/>
  <c r="K52" i="43" s="1"/>
  <c r="I52" i="43"/>
  <c r="L52" i="43" s="1"/>
  <c r="G53" i="43"/>
  <c r="J53" i="43" s="1"/>
  <c r="H53" i="43"/>
  <c r="K53" i="43" s="1"/>
  <c r="I53" i="43"/>
  <c r="L53" i="43" s="1"/>
  <c r="G55" i="43"/>
  <c r="H55" i="43"/>
  <c r="I55" i="43"/>
  <c r="G56" i="43"/>
  <c r="H56" i="43"/>
  <c r="I56" i="43"/>
  <c r="G57" i="43"/>
  <c r="H57" i="43"/>
  <c r="I57" i="43"/>
  <c r="G58" i="43"/>
  <c r="J58" i="43" s="1"/>
  <c r="H58" i="43"/>
  <c r="K58" i="43" s="1"/>
  <c r="I58" i="43"/>
  <c r="L58" i="43" s="1"/>
  <c r="G59" i="43"/>
  <c r="J59" i="43" s="1"/>
  <c r="H59" i="43"/>
  <c r="K59" i="43" s="1"/>
  <c r="I59" i="43"/>
  <c r="L59" i="43" s="1"/>
  <c r="G60" i="43"/>
  <c r="J60" i="43" s="1"/>
  <c r="H60" i="43"/>
  <c r="K60" i="43" s="1"/>
  <c r="I60" i="43"/>
  <c r="L60" i="43" s="1"/>
  <c r="G61" i="43"/>
  <c r="J61" i="43" s="1"/>
  <c r="H61" i="43"/>
  <c r="K61" i="43" s="1"/>
  <c r="I61" i="43"/>
  <c r="L61" i="43" s="1"/>
  <c r="A62" i="43"/>
  <c r="A65" i="43" s="1"/>
  <c r="A68" i="43" s="1"/>
  <c r="A71" i="43" s="1"/>
  <c r="G62" i="43"/>
  <c r="J62" i="43" s="1"/>
  <c r="H62" i="43"/>
  <c r="K62" i="43" s="1"/>
  <c r="I62" i="43"/>
  <c r="L62" i="43" s="1"/>
  <c r="G63" i="43"/>
  <c r="J63" i="43" s="1"/>
  <c r="H63" i="43"/>
  <c r="K63" i="43" s="1"/>
  <c r="I63" i="43"/>
  <c r="L63" i="43" s="1"/>
  <c r="G64" i="43"/>
  <c r="J64" i="43" s="1"/>
  <c r="H64" i="43"/>
  <c r="I64" i="43"/>
  <c r="L64" i="43" s="1"/>
  <c r="G65" i="43"/>
  <c r="J65" i="43" s="1"/>
  <c r="H65" i="43"/>
  <c r="K65" i="43" s="1"/>
  <c r="I65" i="43"/>
  <c r="L65" i="43" s="1"/>
  <c r="G66" i="43"/>
  <c r="J66" i="43" s="1"/>
  <c r="H66" i="43"/>
  <c r="K66" i="43" s="1"/>
  <c r="I66" i="43"/>
  <c r="L66" i="43" s="1"/>
  <c r="G67" i="43"/>
  <c r="J67" i="43" s="1"/>
  <c r="H67" i="43"/>
  <c r="K67" i="43" s="1"/>
  <c r="I67" i="43"/>
  <c r="L67" i="43" s="1"/>
  <c r="G68" i="43"/>
  <c r="J68" i="43" s="1"/>
  <c r="H68" i="43"/>
  <c r="K68" i="43" s="1"/>
  <c r="I68" i="43"/>
  <c r="L68" i="43" s="1"/>
  <c r="G69" i="43"/>
  <c r="J69" i="43" s="1"/>
  <c r="H69" i="43"/>
  <c r="K69" i="43" s="1"/>
  <c r="I69" i="43"/>
  <c r="L69" i="43" s="1"/>
  <c r="G70" i="43"/>
  <c r="J70" i="43" s="1"/>
  <c r="H70" i="43"/>
  <c r="K70" i="43" s="1"/>
  <c r="I70" i="43"/>
  <c r="L70" i="43" s="1"/>
  <c r="G71" i="43"/>
  <c r="J71" i="43" s="1"/>
  <c r="H71" i="43"/>
  <c r="K71" i="43" s="1"/>
  <c r="I71" i="43"/>
  <c r="L71" i="43" s="1"/>
  <c r="G72" i="43"/>
  <c r="J72" i="43" s="1"/>
  <c r="H72" i="43"/>
  <c r="K72" i="43" s="1"/>
  <c r="I72" i="43"/>
  <c r="L72" i="43" s="1"/>
  <c r="G76" i="43"/>
  <c r="J76" i="43" s="1"/>
  <c r="H76" i="43"/>
  <c r="K76" i="43" s="1"/>
  <c r="I76" i="43"/>
  <c r="L76" i="43" s="1"/>
  <c r="A77" i="43"/>
  <c r="A80" i="43" s="1"/>
  <c r="A86" i="43" s="1"/>
  <c r="A89" i="43" s="1"/>
  <c r="A92" i="43" s="1"/>
  <c r="A95" i="43" s="1"/>
  <c r="A98" i="43" s="1"/>
  <c r="A101" i="43" s="1"/>
  <c r="A104" i="43" s="1"/>
  <c r="A107" i="43" s="1"/>
  <c r="A110" i="43" s="1"/>
  <c r="A113" i="43" s="1"/>
  <c r="A116" i="43" s="1"/>
  <c r="G77" i="43"/>
  <c r="J77" i="43" s="1"/>
  <c r="H77" i="43"/>
  <c r="K77" i="43" s="1"/>
  <c r="I77" i="43"/>
  <c r="L77" i="43" s="1"/>
  <c r="G78" i="43"/>
  <c r="J78" i="43" s="1"/>
  <c r="H78" i="43"/>
  <c r="K78" i="43" s="1"/>
  <c r="I78" i="43"/>
  <c r="L78" i="43" s="1"/>
  <c r="G79" i="43"/>
  <c r="J79" i="43" s="1"/>
  <c r="H79" i="43"/>
  <c r="K79" i="43" s="1"/>
  <c r="I79" i="43"/>
  <c r="L79" i="43" s="1"/>
  <c r="G80" i="43"/>
  <c r="J80" i="43" s="1"/>
  <c r="H80" i="43"/>
  <c r="K80" i="43" s="1"/>
  <c r="I80" i="43"/>
  <c r="L80" i="43" s="1"/>
  <c r="G81" i="43"/>
  <c r="J81" i="43" s="1"/>
  <c r="H81" i="43"/>
  <c r="K81" i="43" s="1"/>
  <c r="I81" i="43"/>
  <c r="L81" i="43" s="1"/>
  <c r="G82" i="43"/>
  <c r="H82" i="43"/>
  <c r="I82" i="43"/>
  <c r="G83" i="43"/>
  <c r="H83" i="43"/>
  <c r="I83" i="43"/>
  <c r="G84" i="43"/>
  <c r="H84" i="43"/>
  <c r="I84" i="43"/>
  <c r="G85" i="43"/>
  <c r="J85" i="43" s="1"/>
  <c r="H85" i="43"/>
  <c r="K85" i="43" s="1"/>
  <c r="I85" i="43"/>
  <c r="L85" i="43" s="1"/>
  <c r="G86" i="43"/>
  <c r="J86" i="43" s="1"/>
  <c r="H86" i="43"/>
  <c r="K86" i="43" s="1"/>
  <c r="I86" i="43"/>
  <c r="L86" i="43" s="1"/>
  <c r="G87" i="43"/>
  <c r="J87" i="43" s="1"/>
  <c r="H87" i="43"/>
  <c r="K87" i="43" s="1"/>
  <c r="I87" i="43"/>
  <c r="L87" i="43" s="1"/>
  <c r="G88" i="43"/>
  <c r="J88" i="43" s="1"/>
  <c r="H88" i="43"/>
  <c r="K88" i="43" s="1"/>
  <c r="I88" i="43"/>
  <c r="L88" i="43" s="1"/>
  <c r="G89" i="43"/>
  <c r="J89" i="43" s="1"/>
  <c r="H89" i="43"/>
  <c r="K89" i="43" s="1"/>
  <c r="I89" i="43"/>
  <c r="L89" i="43" s="1"/>
  <c r="G90" i="43"/>
  <c r="J90" i="43" s="1"/>
  <c r="H90" i="43"/>
  <c r="K90" i="43" s="1"/>
  <c r="I90" i="43"/>
  <c r="L90" i="43" s="1"/>
  <c r="G91" i="43"/>
  <c r="J91" i="43" s="1"/>
  <c r="H91" i="43"/>
  <c r="I91" i="43"/>
  <c r="L91" i="43" s="1"/>
  <c r="G92" i="43"/>
  <c r="J92" i="43" s="1"/>
  <c r="H92" i="43"/>
  <c r="K92" i="43" s="1"/>
  <c r="I92" i="43"/>
  <c r="L92" i="43" s="1"/>
  <c r="G93" i="43"/>
  <c r="J93" i="43" s="1"/>
  <c r="H93" i="43"/>
  <c r="K93" i="43" s="1"/>
  <c r="I93" i="43"/>
  <c r="L93" i="43" s="1"/>
  <c r="G94" i="43"/>
  <c r="J94" i="43" s="1"/>
  <c r="H94" i="43"/>
  <c r="K94" i="43" s="1"/>
  <c r="I94" i="43"/>
  <c r="L94" i="43" s="1"/>
  <c r="G95" i="43"/>
  <c r="J95" i="43" s="1"/>
  <c r="H95" i="43"/>
  <c r="K95" i="43" s="1"/>
  <c r="I95" i="43"/>
  <c r="L95" i="43" s="1"/>
  <c r="G96" i="43"/>
  <c r="J96" i="43" s="1"/>
  <c r="H96" i="43"/>
  <c r="K96" i="43" s="1"/>
  <c r="I96" i="43"/>
  <c r="L96" i="43" s="1"/>
  <c r="G97" i="43"/>
  <c r="J97" i="43" s="1"/>
  <c r="H97" i="43"/>
  <c r="I97" i="43"/>
  <c r="L97" i="43" s="1"/>
  <c r="G98" i="43"/>
  <c r="J98" i="43" s="1"/>
  <c r="H98" i="43"/>
  <c r="K98" i="43" s="1"/>
  <c r="I98" i="43"/>
  <c r="L98" i="43" s="1"/>
  <c r="G99" i="43"/>
  <c r="J99" i="43" s="1"/>
  <c r="H99" i="43"/>
  <c r="K99" i="43" s="1"/>
  <c r="I99" i="43"/>
  <c r="L99" i="43" s="1"/>
  <c r="G100" i="43"/>
  <c r="J100" i="43" s="1"/>
  <c r="H100" i="43"/>
  <c r="I100" i="43"/>
  <c r="L100" i="43" s="1"/>
  <c r="G101" i="43"/>
  <c r="J101" i="43" s="1"/>
  <c r="H101" i="43"/>
  <c r="K101" i="43" s="1"/>
  <c r="I101" i="43"/>
  <c r="L101" i="43" s="1"/>
  <c r="G102" i="43"/>
  <c r="J102" i="43" s="1"/>
  <c r="H102" i="43"/>
  <c r="K102" i="43" s="1"/>
  <c r="I102" i="43"/>
  <c r="L102" i="43" s="1"/>
  <c r="G103" i="43"/>
  <c r="J103" i="43" s="1"/>
  <c r="H103" i="43"/>
  <c r="K103" i="43" s="1"/>
  <c r="I103" i="43"/>
  <c r="L103" i="43" s="1"/>
  <c r="G104" i="43"/>
  <c r="J104" i="43" s="1"/>
  <c r="H104" i="43"/>
  <c r="K104" i="43" s="1"/>
  <c r="I104" i="43"/>
  <c r="L104" i="43" s="1"/>
  <c r="G105" i="43"/>
  <c r="J105" i="43" s="1"/>
  <c r="H105" i="43"/>
  <c r="K105" i="43" s="1"/>
  <c r="I105" i="43"/>
  <c r="L105" i="43" s="1"/>
  <c r="G106" i="43"/>
  <c r="J106" i="43" s="1"/>
  <c r="H106" i="43"/>
  <c r="K106" i="43" s="1"/>
  <c r="I106" i="43"/>
  <c r="L106" i="43" s="1"/>
  <c r="G107" i="43"/>
  <c r="J107" i="43" s="1"/>
  <c r="H107" i="43"/>
  <c r="K107" i="43" s="1"/>
  <c r="I107" i="43"/>
  <c r="L107" i="43" s="1"/>
  <c r="G108" i="43"/>
  <c r="J108" i="43" s="1"/>
  <c r="H108" i="43"/>
  <c r="K108" i="43" s="1"/>
  <c r="I108" i="43"/>
  <c r="L108" i="43" s="1"/>
  <c r="G109" i="43"/>
  <c r="J109" i="43" s="1"/>
  <c r="H109" i="43"/>
  <c r="K109" i="43" s="1"/>
  <c r="I109" i="43"/>
  <c r="L109" i="43" s="1"/>
  <c r="G110" i="43"/>
  <c r="J110" i="43" s="1"/>
  <c r="H110" i="43"/>
  <c r="K110" i="43" s="1"/>
  <c r="I110" i="43"/>
  <c r="L110" i="43" s="1"/>
  <c r="G111" i="43"/>
  <c r="J111" i="43" s="1"/>
  <c r="H111" i="43"/>
  <c r="K111" i="43" s="1"/>
  <c r="I111" i="43"/>
  <c r="L111" i="43" s="1"/>
  <c r="G112" i="43"/>
  <c r="J112" i="43" s="1"/>
  <c r="H112" i="43"/>
  <c r="I112" i="43"/>
  <c r="L112" i="43" s="1"/>
  <c r="G113" i="43"/>
  <c r="J113" i="43" s="1"/>
  <c r="H113" i="43"/>
  <c r="K113" i="43" s="1"/>
  <c r="I113" i="43"/>
  <c r="L113" i="43" s="1"/>
  <c r="G114" i="43"/>
  <c r="J114" i="43" s="1"/>
  <c r="H114" i="43"/>
  <c r="K114" i="43" s="1"/>
  <c r="I114" i="43"/>
  <c r="L114" i="43" s="1"/>
  <c r="G115" i="43"/>
  <c r="J115" i="43" s="1"/>
  <c r="H115" i="43"/>
  <c r="K115" i="43" s="1"/>
  <c r="I115" i="43"/>
  <c r="L115" i="43" s="1"/>
  <c r="G116" i="43"/>
  <c r="J116" i="43" s="1"/>
  <c r="H116" i="43"/>
  <c r="K116" i="43" s="1"/>
  <c r="I116" i="43"/>
  <c r="L116" i="43" s="1"/>
  <c r="G117" i="43"/>
  <c r="J117" i="43" s="1"/>
  <c r="H117" i="43"/>
  <c r="K117" i="43" s="1"/>
  <c r="I117" i="43"/>
  <c r="L117" i="43" s="1"/>
  <c r="G118" i="43"/>
  <c r="H118" i="43"/>
  <c r="I118" i="43"/>
  <c r="G119" i="43"/>
  <c r="H119" i="43"/>
  <c r="I119" i="43"/>
  <c r="G120" i="43"/>
  <c r="H120" i="43"/>
  <c r="I120" i="43"/>
  <c r="W7" i="43" l="1"/>
  <c r="AD7" i="43" s="1"/>
  <c r="U19" i="43"/>
  <c r="AA19" i="43" s="1"/>
  <c r="Z14" i="43"/>
  <c r="AI14" i="43" s="1"/>
  <c r="Z9" i="43"/>
  <c r="AI9" i="43" s="1"/>
  <c r="U8" i="43"/>
  <c r="AA8" i="43" s="1"/>
  <c r="U11" i="43"/>
  <c r="AA11" i="43" s="1"/>
  <c r="U14" i="43"/>
  <c r="AA14" i="43" s="1"/>
  <c r="K30" i="43"/>
  <c r="V14" i="43" s="1"/>
  <c r="AB14" i="43" s="1"/>
  <c r="X14" i="43" s="1"/>
  <c r="AF14" i="43" s="1"/>
  <c r="K15" i="43"/>
  <c r="V9" i="43" s="1"/>
  <c r="AB9" i="43" s="1"/>
  <c r="X9" i="43" s="1"/>
  <c r="Z30" i="43"/>
  <c r="AI30" i="43" s="1"/>
  <c r="Z37" i="43"/>
  <c r="AI37" i="43" s="1"/>
  <c r="Z29" i="43"/>
  <c r="AI29" i="43" s="1"/>
  <c r="U38" i="43"/>
  <c r="AA38" i="43" s="1"/>
  <c r="A8" i="43"/>
  <c r="U16" i="43"/>
  <c r="AA16" i="43" s="1"/>
  <c r="W29" i="43"/>
  <c r="AD29" i="43" s="1"/>
  <c r="AE29" i="43" s="1"/>
  <c r="U24" i="43"/>
  <c r="AA24" i="43" s="1"/>
  <c r="W38" i="43"/>
  <c r="AD38" i="43" s="1"/>
  <c r="AE38" i="43" s="1"/>
  <c r="Z32" i="43"/>
  <c r="AI32" i="43" s="1"/>
  <c r="Z21" i="43"/>
  <c r="AI21" i="43" s="1"/>
  <c r="W19" i="43"/>
  <c r="AD19" i="43" s="1"/>
  <c r="AE19" i="43" s="1"/>
  <c r="U15" i="43"/>
  <c r="AA15" i="43" s="1"/>
  <c r="U9" i="43"/>
  <c r="AA9" i="43" s="1"/>
  <c r="W8" i="43"/>
  <c r="AD8" i="43" s="1"/>
  <c r="AE8" i="43" s="1"/>
  <c r="V27" i="43"/>
  <c r="AB27" i="43" s="1"/>
  <c r="W22" i="43"/>
  <c r="AD22" i="43" s="1"/>
  <c r="AE22" i="43" s="1"/>
  <c r="Z8" i="43"/>
  <c r="AI8" i="43" s="1"/>
  <c r="W34" i="43"/>
  <c r="AD34" i="43" s="1"/>
  <c r="AE34" i="43" s="1"/>
  <c r="W26" i="43"/>
  <c r="AD26" i="43" s="1"/>
  <c r="AE26" i="43" s="1"/>
  <c r="Z20" i="43"/>
  <c r="AI20" i="43" s="1"/>
  <c r="A120" i="43"/>
  <c r="Z34" i="43"/>
  <c r="AI34" i="43" s="1"/>
  <c r="Z28" i="43"/>
  <c r="AI28" i="43" s="1"/>
  <c r="Z26" i="43"/>
  <c r="AI26" i="43" s="1"/>
  <c r="W16" i="43"/>
  <c r="AD16" i="43" s="1"/>
  <c r="AE16" i="43" s="1"/>
  <c r="W36" i="43"/>
  <c r="AD36" i="43" s="1"/>
  <c r="AE36" i="43" s="1"/>
  <c r="U34" i="43"/>
  <c r="AA34" i="43" s="1"/>
  <c r="U28" i="43"/>
  <c r="AA28" i="43" s="1"/>
  <c r="A84" i="43"/>
  <c r="Z27" i="43"/>
  <c r="AI27" i="43" s="1"/>
  <c r="U26" i="43"/>
  <c r="AA26" i="43" s="1"/>
  <c r="Z16" i="43"/>
  <c r="AI16" i="43" s="1"/>
  <c r="A35" i="43"/>
  <c r="U13" i="43"/>
  <c r="AA13" i="43" s="1"/>
  <c r="Z36" i="43"/>
  <c r="AI36" i="43" s="1"/>
  <c r="K97" i="43"/>
  <c r="V32" i="43" s="1"/>
  <c r="AB32" i="43" s="1"/>
  <c r="V21" i="43"/>
  <c r="AB21" i="43" s="1"/>
  <c r="X21" i="43" s="1"/>
  <c r="AF21" i="43" s="1"/>
  <c r="U18" i="43"/>
  <c r="AA18" i="43" s="1"/>
  <c r="U17" i="43"/>
  <c r="AA17" i="43" s="1"/>
  <c r="U36" i="43"/>
  <c r="AA36" i="43" s="1"/>
  <c r="U32" i="43"/>
  <c r="AA32" i="43" s="1"/>
  <c r="W23" i="43"/>
  <c r="AD23" i="43" s="1"/>
  <c r="AE23" i="43" s="1"/>
  <c r="U21" i="43"/>
  <c r="AA21" i="43" s="1"/>
  <c r="A57" i="43"/>
  <c r="W12" i="43"/>
  <c r="AD12" i="43" s="1"/>
  <c r="AE12" i="43" s="1"/>
  <c r="U7" i="43"/>
  <c r="V18" i="43"/>
  <c r="AB18" i="43" s="1"/>
  <c r="X18" i="43" s="1"/>
  <c r="AF18" i="43" s="1"/>
  <c r="Z12" i="43"/>
  <c r="AI12" i="43" s="1"/>
  <c r="Z11" i="43"/>
  <c r="AI11" i="43" s="1"/>
  <c r="U33" i="43"/>
  <c r="AA33" i="43" s="1"/>
  <c r="V38" i="43"/>
  <c r="AB38" i="43" s="1"/>
  <c r="X38" i="43" s="1"/>
  <c r="AF38" i="43" s="1"/>
  <c r="Y11" i="43"/>
  <c r="AG11" i="43" s="1"/>
  <c r="AH11" i="43" s="1"/>
  <c r="V20" i="43"/>
  <c r="AB20" i="43" s="1"/>
  <c r="K100" i="43"/>
  <c r="V33" i="43" s="1"/>
  <c r="AB33" i="43" s="1"/>
  <c r="X33" i="43" s="1"/>
  <c r="AF33" i="43" s="1"/>
  <c r="Z33" i="43"/>
  <c r="AI33" i="43" s="1"/>
  <c r="W32" i="43"/>
  <c r="AD32" i="43" s="1"/>
  <c r="AE32" i="43" s="1"/>
  <c r="U30" i="43"/>
  <c r="AA30" i="43" s="1"/>
  <c r="Z17" i="43"/>
  <c r="AI17" i="43" s="1"/>
  <c r="V16" i="43"/>
  <c r="AB16" i="43" s="1"/>
  <c r="U12" i="43"/>
  <c r="AA12" i="43" s="1"/>
  <c r="U22" i="43"/>
  <c r="AA22" i="43" s="1"/>
  <c r="W13" i="43"/>
  <c r="AD13" i="43" s="1"/>
  <c r="AE13" i="43" s="1"/>
  <c r="W11" i="43"/>
  <c r="AD11" i="43" s="1"/>
  <c r="AE11" i="43" s="1"/>
  <c r="W24" i="43"/>
  <c r="AD24" i="43" s="1"/>
  <c r="AE24" i="43" s="1"/>
  <c r="W18" i="43"/>
  <c r="AD18" i="43" s="1"/>
  <c r="AE18" i="43" s="1"/>
  <c r="V13" i="43"/>
  <c r="AB13" i="43" s="1"/>
  <c r="X13" i="43" s="1"/>
  <c r="AF13" i="43" s="1"/>
  <c r="W37" i="43"/>
  <c r="AD37" i="43" s="1"/>
  <c r="AE37" i="43" s="1"/>
  <c r="W27" i="43"/>
  <c r="AD27" i="43" s="1"/>
  <c r="AE27" i="43" s="1"/>
  <c r="V23" i="43"/>
  <c r="AB23" i="43" s="1"/>
  <c r="Z22" i="43"/>
  <c r="AI22" i="43" s="1"/>
  <c r="K64" i="43"/>
  <c r="V22" i="43" s="1"/>
  <c r="AB22" i="43" s="1"/>
  <c r="X22" i="43" s="1"/>
  <c r="AF22" i="43" s="1"/>
  <c r="W21" i="43"/>
  <c r="AD21" i="43" s="1"/>
  <c r="AE21" i="43" s="1"/>
  <c r="W10" i="43"/>
  <c r="AD10" i="43" s="1"/>
  <c r="AE10" i="43" s="1"/>
  <c r="Z13" i="43"/>
  <c r="AI13" i="43" s="1"/>
  <c r="Z38" i="43"/>
  <c r="AI38" i="43" s="1"/>
  <c r="K112" i="43"/>
  <c r="V37" i="43" s="1"/>
  <c r="AB37" i="43" s="1"/>
  <c r="X37" i="43" s="1"/>
  <c r="AF37" i="43" s="1"/>
  <c r="V29" i="43"/>
  <c r="AB29" i="43" s="1"/>
  <c r="X29" i="43" s="1"/>
  <c r="AF29" i="43" s="1"/>
  <c r="V28" i="43"/>
  <c r="AB28" i="43" s="1"/>
  <c r="V26" i="43"/>
  <c r="AB26" i="43" s="1"/>
  <c r="X26" i="43" s="1"/>
  <c r="AF26" i="43" s="1"/>
  <c r="W15" i="43"/>
  <c r="AD15" i="43" s="1"/>
  <c r="AE15" i="43" s="1"/>
  <c r="V10" i="43"/>
  <c r="AB10" i="43" s="1"/>
  <c r="X10" i="43" s="1"/>
  <c r="AF10" i="43" s="1"/>
  <c r="V7" i="43"/>
  <c r="AB7" i="43" s="1"/>
  <c r="V36" i="43"/>
  <c r="AB36" i="43" s="1"/>
  <c r="K91" i="43"/>
  <c r="V30" i="43" s="1"/>
  <c r="AB30" i="43" s="1"/>
  <c r="X30" i="43" s="1"/>
  <c r="AF30" i="43" s="1"/>
  <c r="U29" i="43"/>
  <c r="AA29" i="43" s="1"/>
  <c r="AC29" i="43" s="1"/>
  <c r="W28" i="43"/>
  <c r="AD28" i="43" s="1"/>
  <c r="AE28" i="43" s="1"/>
  <c r="U27" i="43"/>
  <c r="AA27" i="43" s="1"/>
  <c r="AC27" i="43" s="1"/>
  <c r="V24" i="43"/>
  <c r="AB24" i="43" s="1"/>
  <c r="U20" i="43"/>
  <c r="AA20" i="43" s="1"/>
  <c r="Z19" i="43"/>
  <c r="AI19" i="43" s="1"/>
  <c r="K36" i="43"/>
  <c r="V15" i="43" s="1"/>
  <c r="AB15" i="43" s="1"/>
  <c r="Z15" i="43"/>
  <c r="AI15" i="43" s="1"/>
  <c r="W14" i="43"/>
  <c r="AD14" i="43" s="1"/>
  <c r="AE14" i="43" s="1"/>
  <c r="Z23" i="43"/>
  <c r="AI23" i="43" s="1"/>
  <c r="U10" i="43"/>
  <c r="AA10" i="43" s="1"/>
  <c r="W9" i="43"/>
  <c r="AD9" i="43" s="1"/>
  <c r="AE9" i="43" s="1"/>
  <c r="U37" i="43"/>
  <c r="AA37" i="43" s="1"/>
  <c r="V34" i="43"/>
  <c r="AB34" i="43" s="1"/>
  <c r="X34" i="43" s="1"/>
  <c r="AF34" i="43" s="1"/>
  <c r="W33" i="43"/>
  <c r="AD33" i="43" s="1"/>
  <c r="AE33" i="43" s="1"/>
  <c r="W30" i="43"/>
  <c r="AD30" i="43" s="1"/>
  <c r="AE30" i="43" s="1"/>
  <c r="U23" i="43"/>
  <c r="AA23" i="43" s="1"/>
  <c r="AC23" i="43" s="1"/>
  <c r="W20" i="43"/>
  <c r="AD20" i="43" s="1"/>
  <c r="AE20" i="43" s="1"/>
  <c r="W17" i="43"/>
  <c r="AD17" i="43" s="1"/>
  <c r="AE17" i="43" s="1"/>
  <c r="Z7" i="43"/>
  <c r="AI7" i="43" s="1"/>
  <c r="K48" i="43"/>
  <c r="V19" i="43" s="1"/>
  <c r="AB19" i="43" s="1"/>
  <c r="K24" i="43"/>
  <c r="V12" i="43" s="1"/>
  <c r="AB12" i="43" s="1"/>
  <c r="K21" i="43"/>
  <c r="V11" i="43" s="1"/>
  <c r="AB11" i="43" s="1"/>
  <c r="Z10" i="43"/>
  <c r="AI10" i="43" s="1"/>
  <c r="Z24" i="43"/>
  <c r="AI24" i="43" s="1"/>
  <c r="Z18" i="43"/>
  <c r="AI18" i="43" s="1"/>
  <c r="K12" i="43"/>
  <c r="V8" i="43" s="1"/>
  <c r="AB8" i="43" s="1"/>
  <c r="K42" i="43"/>
  <c r="V17" i="43" s="1"/>
  <c r="AB17" i="43" s="1"/>
  <c r="X17" i="43" s="1"/>
  <c r="AF17" i="43" s="1"/>
  <c r="AH21" i="43" l="1"/>
  <c r="BE18" i="43"/>
  <c r="BF18" i="43" s="1"/>
  <c r="AH14" i="43"/>
  <c r="BE15" i="43"/>
  <c r="BF15" i="43" s="1"/>
  <c r="AH29" i="43"/>
  <c r="BE21" i="43"/>
  <c r="BF21" i="43" s="1"/>
  <c r="BF42" i="43" s="1"/>
  <c r="AH38" i="43"/>
  <c r="BE26" i="43"/>
  <c r="BF26" i="43" s="1"/>
  <c r="AH34" i="43"/>
  <c r="BE24" i="43"/>
  <c r="BF24" i="43" s="1"/>
  <c r="AH13" i="43"/>
  <c r="BE14" i="43"/>
  <c r="BF14" i="43" s="1"/>
  <c r="AH33" i="43"/>
  <c r="BE23" i="43"/>
  <c r="BF23" i="43" s="1"/>
  <c r="AH30" i="43"/>
  <c r="BE22" i="43"/>
  <c r="BF22" i="43" s="1"/>
  <c r="AH17" i="43"/>
  <c r="BE16" i="43"/>
  <c r="BF16" i="43" s="1"/>
  <c r="AH37" i="43"/>
  <c r="BE25" i="43"/>
  <c r="BF25" i="43" s="1"/>
  <c r="AH10" i="43"/>
  <c r="BE13" i="43"/>
  <c r="BF13" i="43" s="1"/>
  <c r="AH26" i="43"/>
  <c r="BE20" i="43"/>
  <c r="BF20" i="43" s="1"/>
  <c r="AH22" i="43"/>
  <c r="BE19" i="43"/>
  <c r="BF19" i="43" s="1"/>
  <c r="AH18" i="43"/>
  <c r="BE17" i="43"/>
  <c r="BF17" i="43" s="1"/>
  <c r="AC10" i="43"/>
  <c r="AC18" i="43"/>
  <c r="AC22" i="43"/>
  <c r="AC9" i="43"/>
  <c r="AC17" i="43"/>
  <c r="AC12" i="43"/>
  <c r="Y28" i="43"/>
  <c r="AG28" i="43" s="1"/>
  <c r="AH28" i="43" s="1"/>
  <c r="AC28" i="43"/>
  <c r="Y15" i="43"/>
  <c r="AG15" i="43" s="1"/>
  <c r="AH15" i="43" s="1"/>
  <c r="AC15" i="43"/>
  <c r="AC11" i="43"/>
  <c r="AC14" i="43"/>
  <c r="AC21" i="43"/>
  <c r="AC34" i="43"/>
  <c r="AC38" i="43"/>
  <c r="Y8" i="43"/>
  <c r="AG8" i="43" s="1"/>
  <c r="AH8" i="43" s="1"/>
  <c r="AC8" i="43"/>
  <c r="AB39" i="43"/>
  <c r="AC33" i="43"/>
  <c r="AC13" i="43"/>
  <c r="AC37" i="43"/>
  <c r="AC20" i="43"/>
  <c r="AC30" i="43"/>
  <c r="Y32" i="43"/>
  <c r="AG32" i="43" s="1"/>
  <c r="AH32" i="43" s="1"/>
  <c r="AC32" i="43"/>
  <c r="Y16" i="43"/>
  <c r="AG16" i="43" s="1"/>
  <c r="AH16" i="43" s="1"/>
  <c r="AC16" i="43"/>
  <c r="Y36" i="43"/>
  <c r="AG36" i="43" s="1"/>
  <c r="AH36" i="43" s="1"/>
  <c r="AC36" i="43"/>
  <c r="Y19" i="43"/>
  <c r="AG19" i="43" s="1"/>
  <c r="AH19" i="43" s="1"/>
  <c r="AC19" i="43"/>
  <c r="AC26" i="43"/>
  <c r="Y24" i="43"/>
  <c r="AG24" i="43" s="1"/>
  <c r="AH24" i="43" s="1"/>
  <c r="AC24" i="43"/>
  <c r="AF9" i="43"/>
  <c r="AA7" i="43"/>
  <c r="AA39" i="43" s="1"/>
  <c r="A124" i="43"/>
  <c r="AE7" i="43"/>
  <c r="AD39" i="43"/>
  <c r="AD40" i="43"/>
  <c r="Y12" i="43"/>
  <c r="AG12" i="43" s="1"/>
  <c r="AH12" i="43" s="1"/>
  <c r="Y23" i="43"/>
  <c r="AG23" i="43" s="1"/>
  <c r="AH23" i="43" s="1"/>
  <c r="AI40" i="43"/>
  <c r="AI39" i="43"/>
  <c r="Y20" i="43"/>
  <c r="AG20" i="43" s="1"/>
  <c r="AH20" i="43" s="1"/>
  <c r="Y27" i="43"/>
  <c r="AG27" i="43" s="1"/>
  <c r="AH27" i="43" s="1"/>
  <c r="BE44" i="43" l="1"/>
  <c r="BE43" i="43"/>
  <c r="BF44" i="43"/>
  <c r="BF43" i="43"/>
  <c r="AH9" i="43"/>
  <c r="AF39" i="43"/>
  <c r="AC7" i="43"/>
  <c r="AC39" i="43" s="1"/>
  <c r="Y7" i="43"/>
  <c r="AG7" i="43" s="1"/>
  <c r="AH7" i="43" s="1"/>
  <c r="AE40" i="43"/>
  <c r="AE39" i="43"/>
  <c r="AC40" i="43" l="1"/>
  <c r="AG39" i="43"/>
  <c r="AH40" i="43" l="1"/>
  <c r="AH39" i="43"/>
  <c r="AT1" i="20"/>
  <c r="AB28" i="20"/>
  <c r="AB29" i="20" s="1"/>
  <c r="D16" i="7"/>
  <c r="D15" i="7"/>
  <c r="D14" i="7"/>
  <c r="D13" i="7"/>
  <c r="D12" i="7"/>
  <c r="D10" i="7"/>
  <c r="D9" i="7"/>
  <c r="D8" i="7"/>
  <c r="D7" i="7"/>
  <c r="D6" i="7"/>
  <c r="AB30" i="20" l="1"/>
  <c r="AB31" i="20"/>
  <c r="Y22" i="4"/>
  <c r="Y21" i="4"/>
  <c r="Y20" i="4"/>
  <c r="Y19" i="4"/>
  <c r="Y16" i="4"/>
  <c r="Y15" i="4"/>
  <c r="Y14" i="4"/>
  <c r="Y12" i="4"/>
  <c r="Y13" i="4"/>
  <c r="X22" i="4"/>
  <c r="X20" i="4"/>
  <c r="X21" i="4"/>
  <c r="X19" i="4"/>
  <c r="X18" i="4"/>
  <c r="W22" i="4"/>
  <c r="W21" i="4"/>
  <c r="W20" i="4"/>
  <c r="W19" i="4"/>
  <c r="W18" i="4"/>
  <c r="W17" i="4"/>
  <c r="X16" i="4"/>
  <c r="X15" i="4"/>
  <c r="X14" i="4"/>
  <c r="X13" i="4"/>
  <c r="X12" i="4"/>
  <c r="X11" i="4"/>
  <c r="W16" i="4"/>
  <c r="W15" i="4"/>
  <c r="W14" i="4"/>
  <c r="W13" i="4"/>
  <c r="W12" i="4"/>
  <c r="W11" i="4"/>
  <c r="W10" i="4"/>
  <c r="X10" i="4" s="1"/>
  <c r="W9" i="4"/>
  <c r="X9" i="4" s="1"/>
  <c r="W8" i="4"/>
  <c r="X8" i="4" s="1"/>
  <c r="W7" i="4"/>
  <c r="X7" i="4" s="1"/>
  <c r="W5" i="4"/>
  <c r="O14" i="40" l="1"/>
  <c r="P14" i="40" s="1"/>
  <c r="O6" i="40"/>
  <c r="P6" i="40"/>
  <c r="N13" i="40"/>
  <c r="P22" i="40"/>
  <c r="P21" i="40"/>
  <c r="P20" i="40"/>
  <c r="P19" i="40"/>
  <c r="P18" i="40"/>
  <c r="P17" i="40"/>
  <c r="P16" i="40"/>
  <c r="P15" i="40"/>
  <c r="O22" i="40"/>
  <c r="O21" i="40"/>
  <c r="O20" i="40"/>
  <c r="O19" i="40"/>
  <c r="O18" i="40"/>
  <c r="O17" i="40"/>
  <c r="O16" i="40"/>
  <c r="O15" i="40"/>
  <c r="N23" i="40"/>
  <c r="N22" i="40"/>
  <c r="N21" i="40"/>
  <c r="N18" i="40"/>
  <c r="N16" i="40"/>
  <c r="N15" i="40"/>
  <c r="N11" i="40"/>
  <c r="N6" i="40"/>
  <c r="M12" i="40"/>
  <c r="M22" i="40"/>
  <c r="M21" i="40"/>
  <c r="M18" i="40"/>
  <c r="M16" i="40"/>
  <c r="M14" i="40"/>
  <c r="M7" i="40"/>
  <c r="M6" i="40"/>
  <c r="AH24" i="1"/>
  <c r="AH23" i="1"/>
  <c r="AI7" i="1"/>
  <c r="AJ7" i="1" s="1"/>
  <c r="M39" i="40"/>
  <c r="M38" i="40"/>
  <c r="M37" i="40"/>
  <c r="M36" i="40"/>
  <c r="M35" i="40"/>
  <c r="M33" i="40"/>
  <c r="M32" i="40"/>
  <c r="M31" i="40"/>
  <c r="M30" i="40"/>
  <c r="M29" i="40"/>
  <c r="M28" i="40"/>
  <c r="M20" i="40"/>
  <c r="N20" i="40" s="1"/>
  <c r="M19" i="40"/>
  <c r="N19" i="40" s="1"/>
  <c r="M17" i="40"/>
  <c r="N17" i="40" s="1"/>
  <c r="M15" i="40"/>
  <c r="N14" i="40"/>
  <c r="M11" i="40"/>
  <c r="O11" i="40" s="1"/>
  <c r="P11" i="40" s="1"/>
  <c r="N10" i="40"/>
  <c r="O10" i="40" s="1"/>
  <c r="P10" i="40" s="1"/>
  <c r="M10" i="40"/>
  <c r="M9" i="40"/>
  <c r="N9" i="40" s="1"/>
  <c r="O9" i="40" s="1"/>
  <c r="P9" i="40" s="1"/>
  <c r="M8" i="40"/>
  <c r="N8" i="40" s="1"/>
  <c r="O8" i="40" s="1"/>
  <c r="P8" i="40" s="1"/>
  <c r="N7" i="40"/>
  <c r="O7" i="40" s="1"/>
  <c r="P7" i="40" s="1"/>
  <c r="O24" i="40" l="1"/>
  <c r="O23" i="40" l="1"/>
  <c r="BP103" i="1" l="1"/>
  <c r="BO103" i="1"/>
  <c r="BN103" i="1"/>
  <c r="BM89" i="1"/>
  <c r="BN89" i="1"/>
  <c r="BO89" i="1"/>
  <c r="F12" i="4" l="1"/>
  <c r="F17" i="4"/>
  <c r="F11" i="4"/>
  <c r="F5" i="4"/>
  <c r="F6" i="4"/>
  <c r="O5" i="4"/>
  <c r="M6" i="4" l="1"/>
  <c r="M12" i="4"/>
  <c r="O6" i="4"/>
  <c r="O7" i="4" s="1"/>
  <c r="DJ7" i="1" l="1"/>
  <c r="DJ40" i="1"/>
  <c r="DJ39" i="1"/>
  <c r="DJ38" i="1"/>
  <c r="DJ37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4" i="1"/>
  <c r="DJ13" i="1"/>
  <c r="DJ12" i="1"/>
  <c r="DJ11" i="1"/>
  <c r="DJ10" i="1"/>
  <c r="DK9" i="1"/>
  <c r="DK8" i="1"/>
  <c r="DL7" i="1"/>
  <c r="DH40" i="1"/>
  <c r="DH39" i="1"/>
  <c r="DH38" i="1"/>
  <c r="DH37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4" i="1"/>
  <c r="DH13" i="1"/>
  <c r="DH12" i="1"/>
  <c r="DH11" i="1"/>
  <c r="DH10" i="1"/>
  <c r="DI9" i="1"/>
  <c r="DI8" i="1"/>
  <c r="DF40" i="1"/>
  <c r="DF39" i="1"/>
  <c r="DF38" i="1"/>
  <c r="DF37" i="1"/>
  <c r="DF35" i="1"/>
  <c r="DF34" i="1"/>
  <c r="DF33" i="1"/>
  <c r="DF32" i="1"/>
  <c r="DF31" i="1"/>
  <c r="DF30" i="1"/>
  <c r="DF29" i="1"/>
  <c r="DF28" i="1"/>
  <c r="DF27" i="1"/>
  <c r="DF26" i="1"/>
  <c r="DF25" i="1"/>
  <c r="DF24" i="1"/>
  <c r="DF23" i="1"/>
  <c r="DF22" i="1"/>
  <c r="DF21" i="1"/>
  <c r="DF20" i="1"/>
  <c r="DF19" i="1"/>
  <c r="DF18" i="1"/>
  <c r="DF17" i="1"/>
  <c r="DF16" i="1"/>
  <c r="DF14" i="1"/>
  <c r="DF13" i="1"/>
  <c r="DF12" i="1"/>
  <c r="DF11" i="1"/>
  <c r="DF10" i="1"/>
  <c r="DG9" i="1"/>
  <c r="DG8" i="1"/>
  <c r="DH7" i="1"/>
  <c r="DF44" i="1" s="1"/>
  <c r="DE45" i="1" s="1"/>
  <c r="CL40" i="1"/>
  <c r="CL39" i="1"/>
  <c r="CL38" i="1"/>
  <c r="CL37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4" i="1"/>
  <c r="CL13" i="1"/>
  <c r="CL12" i="1"/>
  <c r="CL11" i="1"/>
  <c r="CL10" i="1"/>
  <c r="CM9" i="1"/>
  <c r="CM8" i="1"/>
  <c r="CN40" i="1"/>
  <c r="CN39" i="1"/>
  <c r="CN38" i="1"/>
  <c r="CN37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4" i="1"/>
  <c r="CN13" i="1"/>
  <c r="CN12" i="1"/>
  <c r="CN11" i="1"/>
  <c r="CN10" i="1"/>
  <c r="CO9" i="1"/>
  <c r="CO8" i="1"/>
  <c r="CM42" i="1"/>
  <c r="CM41" i="1"/>
  <c r="CK42" i="1"/>
  <c r="CK41" i="1"/>
  <c r="CP7" i="1"/>
  <c r="CN7" i="1"/>
  <c r="W40" i="1"/>
  <c r="W39" i="1"/>
  <c r="V38" i="1"/>
  <c r="V37" i="1"/>
  <c r="V7" i="1"/>
  <c r="Z7" i="1"/>
  <c r="DJ42" i="1" l="1"/>
  <c r="DH42" i="1"/>
  <c r="DJ43" i="1"/>
  <c r="DH43" i="1"/>
  <c r="CQ7" i="1"/>
  <c r="CR7" i="1" s="1"/>
  <c r="AC40" i="1"/>
  <c r="AC39" i="1"/>
  <c r="AC38" i="1"/>
  <c r="AC37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4" i="1"/>
  <c r="AC13" i="1"/>
  <c r="AC12" i="1"/>
  <c r="AC11" i="1"/>
  <c r="AC8" i="1"/>
  <c r="AC7" i="1"/>
  <c r="AC10" i="1"/>
  <c r="AC9" i="1"/>
  <c r="AC42" i="1" l="1"/>
  <c r="AC43" i="1"/>
  <c r="CO24" i="1"/>
  <c r="CP24" i="1" s="1"/>
  <c r="CO40" i="1"/>
  <c r="CP40" i="1" s="1"/>
  <c r="CO39" i="1"/>
  <c r="CP39" i="1" s="1"/>
  <c r="CO38" i="1"/>
  <c r="CP38" i="1" s="1"/>
  <c r="CO35" i="1"/>
  <c r="CP35" i="1" s="1"/>
  <c r="CO33" i="1"/>
  <c r="CP33" i="1" s="1"/>
  <c r="CO25" i="1"/>
  <c r="CP25" i="1" s="1"/>
  <c r="CO22" i="1"/>
  <c r="CP22" i="1" s="1"/>
  <c r="CO21" i="1"/>
  <c r="CP21" i="1" s="1"/>
  <c r="CO19" i="1"/>
  <c r="CP19" i="1" s="1"/>
  <c r="CO17" i="1"/>
  <c r="CP17" i="1" s="1"/>
  <c r="CO12" i="1"/>
  <c r="CP12" i="1" s="1"/>
  <c r="CO10" i="1"/>
  <c r="CP10" i="1" s="1"/>
  <c r="CP8" i="1"/>
  <c r="CG48" i="1"/>
  <c r="CG47" i="1"/>
  <c r="CQ8" i="1" l="1"/>
  <c r="CP9" i="1"/>
  <c r="CQ9" i="1" s="1"/>
  <c r="CO18" i="1"/>
  <c r="CP18" i="1" s="1"/>
  <c r="CO26" i="1"/>
  <c r="CP26" i="1" s="1"/>
  <c r="CO34" i="1"/>
  <c r="CP34" i="1" s="1"/>
  <c r="CO27" i="1"/>
  <c r="CP27" i="1" s="1"/>
  <c r="CO11" i="1"/>
  <c r="CP11" i="1" s="1"/>
  <c r="CO20" i="1"/>
  <c r="CP20" i="1" s="1"/>
  <c r="CO28" i="1"/>
  <c r="CP28" i="1" s="1"/>
  <c r="CO37" i="1"/>
  <c r="CP37" i="1" s="1"/>
  <c r="CO29" i="1"/>
  <c r="CP29" i="1" s="1"/>
  <c r="CO13" i="1"/>
  <c r="CP13" i="1" s="1"/>
  <c r="CO30" i="1"/>
  <c r="CP30" i="1" s="1"/>
  <c r="CO14" i="1"/>
  <c r="CP14" i="1" s="1"/>
  <c r="CO23" i="1"/>
  <c r="CP23" i="1" s="1"/>
  <c r="CO31" i="1"/>
  <c r="CP31" i="1" s="1"/>
  <c r="CO16" i="1"/>
  <c r="CP16" i="1" s="1"/>
  <c r="CO32" i="1"/>
  <c r="CP32" i="1" s="1"/>
  <c r="Z94" i="1"/>
  <c r="F103" i="1"/>
  <c r="Q128" i="1"/>
  <c r="P103" i="1"/>
  <c r="P126" i="1" s="1"/>
  <c r="O103" i="1"/>
  <c r="O121" i="1" s="1"/>
  <c r="U121" i="1" s="1"/>
  <c r="N103" i="1"/>
  <c r="N119" i="1" s="1"/>
  <c r="W94" i="1"/>
  <c r="AE81" i="1"/>
  <c r="AE85" i="1"/>
  <c r="AF88" i="1"/>
  <c r="AF87" i="1"/>
  <c r="AF86" i="1"/>
  <c r="AF85" i="1"/>
  <c r="AF84" i="1"/>
  <c r="AF83" i="1"/>
  <c r="AF82" i="1"/>
  <c r="AF81" i="1"/>
  <c r="AD87" i="1"/>
  <c r="AD83" i="1"/>
  <c r="AE88" i="1"/>
  <c r="AD88" i="1"/>
  <c r="AE87" i="1"/>
  <c r="AE86" i="1"/>
  <c r="AD86" i="1"/>
  <c r="AD85" i="1"/>
  <c r="AE84" i="1"/>
  <c r="AD84" i="1"/>
  <c r="AE83" i="1"/>
  <c r="AE82" i="1"/>
  <c r="AD82" i="1"/>
  <c r="AD81" i="1"/>
  <c r="Z96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Y96" i="1"/>
  <c r="AA95" i="1"/>
  <c r="Z95" i="1"/>
  <c r="Y95" i="1"/>
  <c r="AA94" i="1"/>
  <c r="Y94" i="1"/>
  <c r="U81" i="1"/>
  <c r="AB88" i="1"/>
  <c r="AB87" i="1"/>
  <c r="AB86" i="1"/>
  <c r="AB85" i="1"/>
  <c r="AB84" i="1"/>
  <c r="AB83" i="1"/>
  <c r="AB82" i="1"/>
  <c r="AB81" i="1"/>
  <c r="U88" i="1"/>
  <c r="AC88" i="1" s="1"/>
  <c r="U87" i="1"/>
  <c r="AC87" i="1" s="1"/>
  <c r="U86" i="1"/>
  <c r="AC86" i="1" s="1"/>
  <c r="U85" i="1"/>
  <c r="AC85" i="1" s="1"/>
  <c r="U84" i="1"/>
  <c r="U83" i="1"/>
  <c r="AC83" i="1" s="1"/>
  <c r="U82" i="1"/>
  <c r="W101" i="1"/>
  <c r="W100" i="1"/>
  <c r="W99" i="1"/>
  <c r="W98" i="1"/>
  <c r="W97" i="1"/>
  <c r="W96" i="1"/>
  <c r="W95" i="1"/>
  <c r="AF113" i="1"/>
  <c r="E103" i="1"/>
  <c r="E104" i="1"/>
  <c r="P112" i="1"/>
  <c r="P111" i="1"/>
  <c r="P110" i="1"/>
  <c r="P109" i="1"/>
  <c r="P108" i="1"/>
  <c r="P107" i="1"/>
  <c r="P106" i="1"/>
  <c r="P105" i="1"/>
  <c r="O112" i="1"/>
  <c r="O111" i="1"/>
  <c r="O110" i="1"/>
  <c r="O109" i="1"/>
  <c r="O108" i="1"/>
  <c r="O107" i="1"/>
  <c r="O106" i="1"/>
  <c r="O105" i="1"/>
  <c r="N112" i="1"/>
  <c r="N111" i="1"/>
  <c r="N110" i="1"/>
  <c r="N109" i="1"/>
  <c r="N108" i="1"/>
  <c r="N107" i="1"/>
  <c r="N106" i="1"/>
  <c r="N105" i="1"/>
  <c r="F104" i="1"/>
  <c r="AU74" i="1"/>
  <c r="AU73" i="1"/>
  <c r="AU72" i="1"/>
  <c r="AU71" i="1"/>
  <c r="AU70" i="1"/>
  <c r="AU69" i="1"/>
  <c r="AU68" i="1"/>
  <c r="AU67" i="1"/>
  <c r="AV64" i="1"/>
  <c r="AV63" i="1"/>
  <c r="AV62" i="1"/>
  <c r="AV61" i="1"/>
  <c r="AV60" i="1"/>
  <c r="AV59" i="1"/>
  <c r="AV58" i="1"/>
  <c r="AV57" i="1"/>
  <c r="AW54" i="1"/>
  <c r="AW53" i="1"/>
  <c r="AW52" i="1"/>
  <c r="AW51" i="1"/>
  <c r="AW50" i="1"/>
  <c r="AW49" i="1"/>
  <c r="AW48" i="1"/>
  <c r="AW47" i="1"/>
  <c r="AI71" i="1"/>
  <c r="AJ71" i="1" s="1"/>
  <c r="V7" i="19"/>
  <c r="S19" i="19"/>
  <c r="S34" i="19"/>
  <c r="V48" i="19"/>
  <c r="V47" i="19"/>
  <c r="V46" i="19"/>
  <c r="V45" i="19"/>
  <c r="V44" i="19"/>
  <c r="V43" i="19"/>
  <c r="V42" i="19"/>
  <c r="V41" i="19"/>
  <c r="V40" i="19"/>
  <c r="V39" i="19"/>
  <c r="V38" i="19"/>
  <c r="V37" i="19"/>
  <c r="AC48" i="19"/>
  <c r="F37" i="19"/>
  <c r="F38" i="19"/>
  <c r="F39" i="19"/>
  <c r="F40" i="19"/>
  <c r="W40" i="19" s="1"/>
  <c r="F41" i="19"/>
  <c r="F42" i="19"/>
  <c r="F43" i="19"/>
  <c r="F44" i="19"/>
  <c r="W44" i="19" s="1"/>
  <c r="F45" i="19"/>
  <c r="F46" i="19"/>
  <c r="F47" i="19"/>
  <c r="F48" i="19"/>
  <c r="W48" i="19" s="1"/>
  <c r="V33" i="19"/>
  <c r="V32" i="19"/>
  <c r="V31" i="19"/>
  <c r="V30" i="19"/>
  <c r="V29" i="19"/>
  <c r="V28" i="19"/>
  <c r="V27" i="19"/>
  <c r="V26" i="19"/>
  <c r="V25" i="19"/>
  <c r="V24" i="19"/>
  <c r="V23" i="19"/>
  <c r="V22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AC21" i="19"/>
  <c r="AD36" i="19"/>
  <c r="AC6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V18" i="19"/>
  <c r="V17" i="19"/>
  <c r="V16" i="19"/>
  <c r="V15" i="19"/>
  <c r="V14" i="19"/>
  <c r="V13" i="19"/>
  <c r="V12" i="19"/>
  <c r="V11" i="19"/>
  <c r="V10" i="19"/>
  <c r="V9" i="19"/>
  <c r="V8" i="19"/>
  <c r="AC2" i="19"/>
  <c r="U23" i="21"/>
  <c r="U27" i="21"/>
  <c r="U26" i="21"/>
  <c r="U17" i="21"/>
  <c r="U25" i="21"/>
  <c r="U24" i="21"/>
  <c r="U21" i="21"/>
  <c r="U20" i="21"/>
  <c r="U19" i="21"/>
  <c r="U18" i="21"/>
  <c r="U15" i="21"/>
  <c r="U13" i="21"/>
  <c r="U14" i="21"/>
  <c r="U12" i="21"/>
  <c r="U11" i="21"/>
  <c r="U5" i="21"/>
  <c r="U9" i="21"/>
  <c r="U8" i="21"/>
  <c r="U7" i="21"/>
  <c r="U6" i="21"/>
  <c r="U13" i="24"/>
  <c r="U14" i="24" s="1"/>
  <c r="U7" i="24"/>
  <c r="U8" i="24" s="1"/>
  <c r="N16" i="7"/>
  <c r="N15" i="7"/>
  <c r="N14" i="7"/>
  <c r="N13" i="7"/>
  <c r="N12" i="7"/>
  <c r="N10" i="7"/>
  <c r="N9" i="7"/>
  <c r="N8" i="7"/>
  <c r="N7" i="7"/>
  <c r="N6" i="7"/>
  <c r="O18" i="4"/>
  <c r="O19" i="4" s="1"/>
  <c r="O20" i="4" s="1"/>
  <c r="O21" i="4" s="1"/>
  <c r="O22" i="4" s="1"/>
  <c r="O12" i="4"/>
  <c r="V6" i="18"/>
  <c r="V7" i="18" s="1"/>
  <c r="V24" i="18"/>
  <c r="V25" i="18" s="1"/>
  <c r="V26" i="18" s="1"/>
  <c r="V27" i="18" s="1"/>
  <c r="V28" i="18" s="1"/>
  <c r="V18" i="18"/>
  <c r="V12" i="18"/>
  <c r="V13" i="18" s="1"/>
  <c r="C45" i="18"/>
  <c r="F35" i="18"/>
  <c r="F28" i="18"/>
  <c r="F27" i="18"/>
  <c r="F26" i="18"/>
  <c r="F25" i="18"/>
  <c r="F24" i="18"/>
  <c r="F22" i="18"/>
  <c r="F21" i="18"/>
  <c r="F20" i="18"/>
  <c r="F19" i="18"/>
  <c r="F16" i="18"/>
  <c r="F15" i="18"/>
  <c r="F14" i="18"/>
  <c r="F13" i="18"/>
  <c r="F10" i="18"/>
  <c r="F9" i="18"/>
  <c r="F8" i="18"/>
  <c r="F7" i="18"/>
  <c r="F6" i="18"/>
  <c r="F12" i="18"/>
  <c r="F18" i="18"/>
  <c r="V6" i="20"/>
  <c r="F23" i="20"/>
  <c r="V24" i="20" s="1"/>
  <c r="V25" i="20" s="1"/>
  <c r="V26" i="20" s="1"/>
  <c r="V27" i="20" s="1"/>
  <c r="V28" i="20" s="1"/>
  <c r="F17" i="20"/>
  <c r="V18" i="20" s="1"/>
  <c r="V19" i="20" s="1"/>
  <c r="V20" i="20" s="1"/>
  <c r="V21" i="20" s="1"/>
  <c r="V22" i="20" s="1"/>
  <c r="F11" i="20"/>
  <c r="V12" i="20" s="1"/>
  <c r="V13" i="20" s="1"/>
  <c r="V14" i="20" s="1"/>
  <c r="V15" i="20" s="1"/>
  <c r="V16" i="20" s="1"/>
  <c r="F12" i="20"/>
  <c r="F16" i="20"/>
  <c r="F15" i="20"/>
  <c r="F14" i="20"/>
  <c r="F13" i="20"/>
  <c r="F5" i="20"/>
  <c r="F6" i="20"/>
  <c r="W6" i="18" l="1"/>
  <c r="W12" i="18"/>
  <c r="W13" i="20"/>
  <c r="W6" i="20"/>
  <c r="W16" i="20"/>
  <c r="W15" i="20"/>
  <c r="W14" i="20"/>
  <c r="W12" i="20"/>
  <c r="AA104" i="1"/>
  <c r="AA102" i="1"/>
  <c r="Z102" i="1"/>
  <c r="Y102" i="1"/>
  <c r="O9" i="4"/>
  <c r="O10" i="4" s="1"/>
  <c r="O13" i="4"/>
  <c r="CP42" i="1"/>
  <c r="CO42" i="1"/>
  <c r="CO41" i="1"/>
  <c r="AC84" i="1"/>
  <c r="CP41" i="1"/>
  <c r="U97" i="1"/>
  <c r="X97" i="1" s="1"/>
  <c r="V121" i="1"/>
  <c r="AC121" i="1"/>
  <c r="U95" i="1"/>
  <c r="X95" i="1" s="1"/>
  <c r="U96" i="1"/>
  <c r="X96" i="1" s="1"/>
  <c r="U98" i="1"/>
  <c r="X98" i="1" s="1"/>
  <c r="U99" i="1"/>
  <c r="X99" i="1" s="1"/>
  <c r="U100" i="1"/>
  <c r="X100" i="1" s="1"/>
  <c r="U101" i="1"/>
  <c r="X101" i="1" s="1"/>
  <c r="U94" i="1"/>
  <c r="X94" i="1" s="1"/>
  <c r="O125" i="1"/>
  <c r="O119" i="1"/>
  <c r="U119" i="1" s="1"/>
  <c r="N120" i="1"/>
  <c r="N124" i="1"/>
  <c r="U124" i="1" s="1"/>
  <c r="O124" i="1"/>
  <c r="P125" i="1"/>
  <c r="O120" i="1"/>
  <c r="U120" i="1" s="1"/>
  <c r="P124" i="1"/>
  <c r="N118" i="1"/>
  <c r="N121" i="1"/>
  <c r="N125" i="1"/>
  <c r="U125" i="1" s="1"/>
  <c r="P119" i="1"/>
  <c r="N123" i="1"/>
  <c r="U123" i="1" s="1"/>
  <c r="P118" i="1"/>
  <c r="P120" i="1"/>
  <c r="O123" i="1"/>
  <c r="O126" i="1"/>
  <c r="P121" i="1"/>
  <c r="O118" i="1"/>
  <c r="U118" i="1" s="1"/>
  <c r="N126" i="1"/>
  <c r="U126" i="1" s="1"/>
  <c r="P123" i="1"/>
  <c r="AC81" i="1"/>
  <c r="Y103" i="1"/>
  <c r="Z103" i="1"/>
  <c r="AC82" i="1"/>
  <c r="AA103" i="1"/>
  <c r="Z104" i="1"/>
  <c r="Y104" i="1"/>
  <c r="W47" i="19"/>
  <c r="W39" i="19"/>
  <c r="W46" i="19"/>
  <c r="W38" i="19"/>
  <c r="W45" i="19"/>
  <c r="W37" i="19"/>
  <c r="W11" i="19"/>
  <c r="W27" i="19"/>
  <c r="W43" i="19"/>
  <c r="W42" i="19"/>
  <c r="W41" i="19"/>
  <c r="W12" i="19"/>
  <c r="W28" i="19"/>
  <c r="W13" i="19"/>
  <c r="W29" i="19"/>
  <c r="W30" i="19"/>
  <c r="W14" i="19"/>
  <c r="W7" i="19"/>
  <c r="W15" i="19"/>
  <c r="W23" i="19"/>
  <c r="W31" i="19"/>
  <c r="W8" i="19"/>
  <c r="W16" i="19"/>
  <c r="W24" i="19"/>
  <c r="W32" i="19"/>
  <c r="W9" i="19"/>
  <c r="W17" i="19"/>
  <c r="W25" i="19"/>
  <c r="W33" i="19"/>
  <c r="W10" i="19"/>
  <c r="W18" i="19"/>
  <c r="W26" i="19"/>
  <c r="W22" i="19"/>
  <c r="U9" i="24"/>
  <c r="W7" i="18"/>
  <c r="V8" i="18"/>
  <c r="V9" i="18" s="1"/>
  <c r="W8" i="18"/>
  <c r="W18" i="18"/>
  <c r="W28" i="18"/>
  <c r="V14" i="18"/>
  <c r="W13" i="18"/>
  <c r="W24" i="18"/>
  <c r="W25" i="18"/>
  <c r="V19" i="18"/>
  <c r="W27" i="18"/>
  <c r="W26" i="18"/>
  <c r="V7" i="20"/>
  <c r="O14" i="4" l="1"/>
  <c r="AE101" i="1"/>
  <c r="AE97" i="1"/>
  <c r="X103" i="1"/>
  <c r="AE100" i="1"/>
  <c r="U128" i="1"/>
  <c r="AE96" i="1"/>
  <c r="AE98" i="1"/>
  <c r="AE99" i="1"/>
  <c r="AE95" i="1"/>
  <c r="AE94" i="1"/>
  <c r="V120" i="1"/>
  <c r="AC120" i="1"/>
  <c r="AC123" i="1"/>
  <c r="V123" i="1"/>
  <c r="V126" i="1"/>
  <c r="AC126" i="1"/>
  <c r="V124" i="1"/>
  <c r="AC124" i="1"/>
  <c r="V118" i="1"/>
  <c r="AC118" i="1"/>
  <c r="V125" i="1"/>
  <c r="AC125" i="1"/>
  <c r="V119" i="1"/>
  <c r="AC119" i="1"/>
  <c r="X104" i="1"/>
  <c r="U10" i="24"/>
  <c r="V10" i="18"/>
  <c r="W10" i="18" s="1"/>
  <c r="W9" i="18"/>
  <c r="W19" i="18"/>
  <c r="V20" i="18"/>
  <c r="W14" i="18"/>
  <c r="V15" i="18"/>
  <c r="V8" i="20"/>
  <c r="O15" i="4" l="1"/>
  <c r="AE104" i="1"/>
  <c r="AE103" i="1"/>
  <c r="V128" i="1"/>
  <c r="U11" i="24"/>
  <c r="W15" i="18"/>
  <c r="V16" i="18"/>
  <c r="W16" i="18" s="1"/>
  <c r="W20" i="18"/>
  <c r="V21" i="18"/>
  <c r="V9" i="20"/>
  <c r="O16" i="4" l="1"/>
  <c r="W21" i="18"/>
  <c r="V22" i="18"/>
  <c r="W22" i="18" s="1"/>
  <c r="V10" i="20"/>
  <c r="E5" i="21" l="1"/>
  <c r="V5" i="21" s="1"/>
  <c r="E36" i="28" l="1"/>
  <c r="U36" i="28" s="1"/>
  <c r="AH57" i="1"/>
  <c r="AH47" i="1"/>
  <c r="B67" i="1"/>
  <c r="AC67" i="1" s="1"/>
  <c r="W10" i="1"/>
  <c r="Q1" i="1"/>
  <c r="R87" i="1"/>
  <c r="AD61" i="1"/>
  <c r="AE64" i="1"/>
  <c r="AD64" i="1"/>
  <c r="AE63" i="1"/>
  <c r="AD63" i="1"/>
  <c r="AE62" i="1"/>
  <c r="AD62" i="1"/>
  <c r="AE61" i="1"/>
  <c r="AE47" i="1"/>
  <c r="V40" i="1" l="1"/>
  <c r="W37" i="1"/>
  <c r="X37" i="1" s="1"/>
  <c r="V22" i="1"/>
  <c r="W38" i="1"/>
  <c r="V39" i="1"/>
  <c r="W32" i="1"/>
  <c r="V35" i="1"/>
  <c r="W7" i="1"/>
  <c r="X7" i="1" s="1"/>
  <c r="W8" i="1"/>
  <c r="W24" i="1"/>
  <c r="W16" i="1"/>
  <c r="V30" i="1"/>
  <c r="V13" i="1"/>
  <c r="V14" i="1"/>
  <c r="W29" i="1"/>
  <c r="W21" i="1"/>
  <c r="W12" i="1"/>
  <c r="W28" i="1"/>
  <c r="V23" i="1"/>
  <c r="W20" i="1"/>
  <c r="V27" i="1"/>
  <c r="V19" i="1"/>
  <c r="V10" i="1"/>
  <c r="V31" i="1"/>
  <c r="W11" i="1"/>
  <c r="V34" i="1"/>
  <c r="V26" i="1"/>
  <c r="V18" i="1"/>
  <c r="V9" i="1"/>
  <c r="W33" i="1"/>
  <c r="W25" i="1"/>
  <c r="W17" i="1"/>
  <c r="O214" i="1"/>
  <c r="N214" i="1"/>
  <c r="I214" i="1"/>
  <c r="H214" i="1"/>
  <c r="K215" i="1" l="1"/>
  <c r="L215" i="1"/>
  <c r="R82" i="1"/>
  <c r="AE60" i="1" l="1"/>
  <c r="AE59" i="1"/>
  <c r="AE58" i="1"/>
  <c r="AE57" i="1"/>
  <c r="AD60" i="1"/>
  <c r="AD59" i="1"/>
  <c r="AD57" i="1"/>
  <c r="AE50" i="1"/>
  <c r="AE54" i="1"/>
  <c r="AE53" i="1"/>
  <c r="AE52" i="1"/>
  <c r="AE51" i="1"/>
  <c r="AE49" i="1"/>
  <c r="AE48" i="1"/>
  <c r="AD48" i="1"/>
  <c r="AD54" i="1"/>
  <c r="AD53" i="1"/>
  <c r="AD52" i="1"/>
  <c r="AD51" i="1"/>
  <c r="AD50" i="1"/>
  <c r="AD49" i="1"/>
  <c r="B74" i="1" l="1"/>
  <c r="AC74" i="1" s="1"/>
  <c r="B73" i="1"/>
  <c r="AC73" i="1" s="1"/>
  <c r="B72" i="1"/>
  <c r="AC72" i="1" s="1"/>
  <c r="B71" i="1"/>
  <c r="AC71" i="1" s="1"/>
  <c r="B70" i="1"/>
  <c r="AC70" i="1" s="1"/>
  <c r="B69" i="1"/>
  <c r="AC69" i="1" s="1"/>
  <c r="B68" i="1"/>
  <c r="AC68" i="1" s="1"/>
  <c r="C64" i="1"/>
  <c r="AC64" i="1" s="1"/>
  <c r="C63" i="1"/>
  <c r="AC63" i="1" s="1"/>
  <c r="C62" i="1"/>
  <c r="AC62" i="1" s="1"/>
  <c r="C61" i="1"/>
  <c r="AC61" i="1" s="1"/>
  <c r="C60" i="1"/>
  <c r="AC60" i="1" s="1"/>
  <c r="C59" i="1"/>
  <c r="AC59" i="1" s="1"/>
  <c r="C58" i="1"/>
  <c r="AC58" i="1" s="1"/>
  <c r="C57" i="1"/>
  <c r="AC57" i="1" s="1"/>
  <c r="D54" i="1"/>
  <c r="AC54" i="1" s="1"/>
  <c r="D53" i="1"/>
  <c r="AC53" i="1" s="1"/>
  <c r="D52" i="1"/>
  <c r="AC52" i="1" s="1"/>
  <c r="D51" i="1"/>
  <c r="AC51" i="1" s="1"/>
  <c r="D50" i="1"/>
  <c r="AC50" i="1" s="1"/>
  <c r="D49" i="1"/>
  <c r="AC49" i="1" s="1"/>
  <c r="D48" i="1"/>
  <c r="AC48" i="1" s="1"/>
  <c r="D47" i="1"/>
  <c r="AC47" i="1" s="1"/>
  <c r="E47" i="28" l="1"/>
  <c r="U47" i="28" s="1"/>
  <c r="E46" i="28"/>
  <c r="U46" i="28" s="1"/>
  <c r="E45" i="28"/>
  <c r="U45" i="28" s="1"/>
  <c r="E44" i="28"/>
  <c r="U44" i="28" s="1"/>
  <c r="E43" i="28"/>
  <c r="U43" i="28" s="1"/>
  <c r="E42" i="28"/>
  <c r="U42" i="28" s="1"/>
  <c r="E41" i="28"/>
  <c r="U41" i="28" s="1"/>
  <c r="E40" i="28"/>
  <c r="U40" i="28" s="1"/>
  <c r="E39" i="28"/>
  <c r="U39" i="28" s="1"/>
  <c r="E38" i="28"/>
  <c r="U38" i="28" s="1"/>
  <c r="E37" i="28"/>
  <c r="U37" i="28" s="1"/>
  <c r="E33" i="28"/>
  <c r="U33" i="28" s="1"/>
  <c r="E32" i="28"/>
  <c r="U32" i="28" s="1"/>
  <c r="E31" i="28"/>
  <c r="U31" i="28" s="1"/>
  <c r="E30" i="28"/>
  <c r="U30" i="28" s="1"/>
  <c r="E29" i="28"/>
  <c r="U29" i="28" s="1"/>
  <c r="E28" i="28"/>
  <c r="U28" i="28" s="1"/>
  <c r="E27" i="28"/>
  <c r="U27" i="28" s="1"/>
  <c r="E26" i="28"/>
  <c r="U26" i="28" s="1"/>
  <c r="E25" i="28"/>
  <c r="U25" i="28" s="1"/>
  <c r="E24" i="28"/>
  <c r="U24" i="28" s="1"/>
  <c r="E23" i="28"/>
  <c r="U23" i="28" s="1"/>
  <c r="E22" i="28"/>
  <c r="U22" i="28" s="1"/>
  <c r="E19" i="28"/>
  <c r="U19" i="28" s="1"/>
  <c r="E18" i="28"/>
  <c r="U18" i="28" s="1"/>
  <c r="E17" i="28"/>
  <c r="U17" i="28" s="1"/>
  <c r="E16" i="28"/>
  <c r="U16" i="28" s="1"/>
  <c r="E15" i="28"/>
  <c r="U15" i="28" s="1"/>
  <c r="E14" i="28"/>
  <c r="U14" i="28" s="1"/>
  <c r="E13" i="28"/>
  <c r="U13" i="28" s="1"/>
  <c r="E12" i="28"/>
  <c r="U12" i="28" s="1"/>
  <c r="E11" i="28"/>
  <c r="U11" i="28" s="1"/>
  <c r="E10" i="28"/>
  <c r="U10" i="28" s="1"/>
  <c r="E9" i="28"/>
  <c r="U9" i="28" s="1"/>
  <c r="E8" i="28"/>
  <c r="U8" i="28" s="1"/>
  <c r="E18" i="24" l="1"/>
  <c r="E17" i="24"/>
  <c r="E16" i="24"/>
  <c r="E14" i="24"/>
  <c r="V14" i="24" s="1"/>
  <c r="E13" i="24"/>
  <c r="V13" i="24" s="1"/>
  <c r="E11" i="24"/>
  <c r="V11" i="24" s="1"/>
  <c r="E10" i="24"/>
  <c r="V10" i="24" s="1"/>
  <c r="E9" i="24"/>
  <c r="V9" i="24" s="1"/>
  <c r="E8" i="24"/>
  <c r="V8" i="24" s="1"/>
  <c r="E7" i="24"/>
  <c r="V7" i="24" s="1"/>
  <c r="V16" i="24" l="1"/>
  <c r="V17" i="24"/>
  <c r="E29" i="21" l="1"/>
  <c r="E28" i="21"/>
  <c r="E27" i="21"/>
  <c r="V27" i="21" s="1"/>
  <c r="E26" i="21"/>
  <c r="V26" i="21" s="1"/>
  <c r="E25" i="21"/>
  <c r="V25" i="21" s="1"/>
  <c r="E24" i="21"/>
  <c r="V24" i="21" s="1"/>
  <c r="E23" i="21"/>
  <c r="V23" i="21" s="1"/>
  <c r="E21" i="21"/>
  <c r="V21" i="21" s="1"/>
  <c r="E20" i="21"/>
  <c r="V20" i="21" s="1"/>
  <c r="E19" i="21"/>
  <c r="V19" i="21" s="1"/>
  <c r="E18" i="21"/>
  <c r="V18" i="21" s="1"/>
  <c r="E17" i="21"/>
  <c r="V17" i="21" s="1"/>
  <c r="E15" i="21"/>
  <c r="V15" i="21" s="1"/>
  <c r="E14" i="21"/>
  <c r="V14" i="21" s="1"/>
  <c r="E13" i="21"/>
  <c r="V13" i="21" s="1"/>
  <c r="E12" i="21"/>
  <c r="V12" i="21" s="1"/>
  <c r="E11" i="21"/>
  <c r="V11" i="21" s="1"/>
  <c r="E9" i="21"/>
  <c r="V9" i="21" s="1"/>
  <c r="E8" i="21"/>
  <c r="V8" i="21" s="1"/>
  <c r="E7" i="21"/>
  <c r="V7" i="21" s="1"/>
  <c r="E6" i="21"/>
  <c r="V6" i="21" s="1"/>
  <c r="F30" i="20"/>
  <c r="F29" i="20"/>
  <c r="F28" i="20"/>
  <c r="W28" i="20" s="1"/>
  <c r="F27" i="20"/>
  <c r="W27" i="20" s="1"/>
  <c r="F26" i="20"/>
  <c r="W26" i="20" s="1"/>
  <c r="F25" i="20"/>
  <c r="W25" i="20" s="1"/>
  <c r="F24" i="20"/>
  <c r="W24" i="20" s="1"/>
  <c r="F21" i="20"/>
  <c r="W21" i="20" s="1"/>
  <c r="F22" i="20"/>
  <c r="W22" i="20" s="1"/>
  <c r="F20" i="20"/>
  <c r="W20" i="20" s="1"/>
  <c r="F19" i="20"/>
  <c r="W19" i="20" s="1"/>
  <c r="F18" i="20"/>
  <c r="W18" i="20" s="1"/>
  <c r="F10" i="20"/>
  <c r="W10" i="20" s="1"/>
  <c r="F9" i="20"/>
  <c r="W9" i="20" s="1"/>
  <c r="F8" i="20"/>
  <c r="W8" i="20" s="1"/>
  <c r="F7" i="20"/>
  <c r="W7" i="20" s="1"/>
  <c r="V31" i="21" l="1"/>
  <c r="V30" i="21"/>
  <c r="W32" i="20"/>
  <c r="W31" i="20"/>
  <c r="W31" i="18"/>
  <c r="W32" i="18"/>
  <c r="G30" i="7" l="1"/>
  <c r="G29" i="7"/>
  <c r="G28" i="7"/>
  <c r="G27" i="7"/>
  <c r="G26" i="7"/>
  <c r="G16" i="7"/>
  <c r="O16" i="7" s="1"/>
  <c r="G15" i="7"/>
  <c r="O15" i="7" s="1"/>
  <c r="G14" i="7"/>
  <c r="O14" i="7" s="1"/>
  <c r="G13" i="7"/>
  <c r="O13" i="7" s="1"/>
  <c r="G12" i="7"/>
  <c r="O12" i="7" s="1"/>
  <c r="G10" i="7"/>
  <c r="O10" i="7" s="1"/>
  <c r="G9" i="7"/>
  <c r="O9" i="7" s="1"/>
  <c r="G8" i="7"/>
  <c r="O8" i="7" s="1"/>
  <c r="G7" i="7"/>
  <c r="O7" i="7" s="1"/>
  <c r="G6" i="7"/>
  <c r="O6" i="7" s="1"/>
  <c r="O18" i="7" l="1"/>
  <c r="O17" i="7"/>
  <c r="F22" i="4"/>
  <c r="F21" i="4"/>
  <c r="F20" i="4"/>
  <c r="F19" i="4"/>
  <c r="F18" i="4"/>
  <c r="M18" i="4" s="1"/>
  <c r="F16" i="4"/>
  <c r="F15" i="4"/>
  <c r="F14" i="4"/>
  <c r="F13" i="4"/>
  <c r="M13" i="4" s="1"/>
  <c r="F10" i="4"/>
  <c r="F9" i="4"/>
  <c r="F8" i="4"/>
  <c r="F7" i="4"/>
  <c r="M7" i="4" s="1"/>
  <c r="M19" i="4" l="1"/>
  <c r="M22" i="4"/>
  <c r="M14" i="4"/>
  <c r="M15" i="4"/>
  <c r="M16" i="4"/>
  <c r="M8" i="4"/>
  <c r="M9" i="4"/>
  <c r="M20" i="4"/>
  <c r="M10" i="4"/>
  <c r="M21" i="4"/>
  <c r="A7" i="1"/>
  <c r="A8" i="1" s="1"/>
  <c r="A9" i="1" s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M24" i="4" l="1"/>
  <c r="M23" i="4"/>
  <c r="A29" i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Z40" i="1" l="1"/>
  <c r="X40" i="1"/>
  <c r="Z39" i="1"/>
  <c r="X39" i="1"/>
  <c r="Z35" i="1"/>
  <c r="W35" i="1"/>
  <c r="X35" i="1" s="1"/>
  <c r="Z34" i="1"/>
  <c r="W34" i="1"/>
  <c r="X34" i="1" s="1"/>
  <c r="Z31" i="1"/>
  <c r="W31" i="1"/>
  <c r="X31" i="1" s="1"/>
  <c r="Z30" i="1"/>
  <c r="W30" i="1"/>
  <c r="X30" i="1" s="1"/>
  <c r="Z38" i="1"/>
  <c r="X38" i="1"/>
  <c r="Z37" i="1"/>
  <c r="Z33" i="1"/>
  <c r="V33" i="1"/>
  <c r="X33" i="1" s="1"/>
  <c r="Z32" i="1"/>
  <c r="V32" i="1"/>
  <c r="X32" i="1" s="1"/>
  <c r="Z29" i="1"/>
  <c r="V29" i="1"/>
  <c r="X29" i="1" s="1"/>
  <c r="Z28" i="1"/>
  <c r="V28" i="1"/>
  <c r="X28" i="1" s="1"/>
  <c r="Z27" i="1"/>
  <c r="W27" i="1"/>
  <c r="X27" i="1" s="1"/>
  <c r="Z26" i="1"/>
  <c r="W26" i="1"/>
  <c r="X26" i="1" s="1"/>
  <c r="Z25" i="1"/>
  <c r="V25" i="1"/>
  <c r="X25" i="1" s="1"/>
  <c r="Z24" i="1"/>
  <c r="V24" i="1"/>
  <c r="X24" i="1" s="1"/>
  <c r="Z23" i="1"/>
  <c r="W23" i="1"/>
  <c r="X23" i="1" s="1"/>
  <c r="Z22" i="1"/>
  <c r="W22" i="1"/>
  <c r="X22" i="1" s="1"/>
  <c r="Z21" i="1"/>
  <c r="V21" i="1"/>
  <c r="X21" i="1" s="1"/>
  <c r="Z20" i="1"/>
  <c r="V20" i="1"/>
  <c r="X20" i="1" s="1"/>
  <c r="Z19" i="1"/>
  <c r="W19" i="1"/>
  <c r="X19" i="1" s="1"/>
  <c r="Z18" i="1"/>
  <c r="W18" i="1"/>
  <c r="X18" i="1" s="1"/>
  <c r="Z17" i="1"/>
  <c r="V17" i="1"/>
  <c r="X17" i="1" s="1"/>
  <c r="Z16" i="1"/>
  <c r="V16" i="1"/>
  <c r="Z14" i="1"/>
  <c r="W14" i="1"/>
  <c r="X14" i="1" s="1"/>
  <c r="Z13" i="1"/>
  <c r="W13" i="1"/>
  <c r="X13" i="1" s="1"/>
  <c r="Z11" i="1"/>
  <c r="Z12" i="1"/>
  <c r="V12" i="1"/>
  <c r="X12" i="1" s="1"/>
  <c r="V11" i="1"/>
  <c r="X11" i="1" s="1"/>
  <c r="Z10" i="1"/>
  <c r="X10" i="1"/>
  <c r="Z9" i="1"/>
  <c r="W9" i="1"/>
  <c r="Z8" i="1"/>
  <c r="V8" i="1"/>
  <c r="Z43" i="1" l="1"/>
  <c r="Z42" i="1"/>
  <c r="W43" i="1"/>
  <c r="W42" i="1"/>
  <c r="X16" i="1"/>
  <c r="V42" i="1"/>
  <c r="V43" i="1"/>
  <c r="X8" i="1"/>
  <c r="X9" i="1"/>
  <c r="X43" i="1" l="1"/>
  <c r="X42" i="1"/>
  <c r="Y7" i="1" s="1"/>
  <c r="Y30" i="1" l="1"/>
  <c r="Y16" i="1"/>
  <c r="Y34" i="1"/>
  <c r="Y32" i="1"/>
  <c r="Y8" i="1"/>
  <c r="Y22" i="1"/>
  <c r="Y26" i="1"/>
  <c r="Y28" i="1"/>
  <c r="Y20" i="1"/>
  <c r="Y9" i="1"/>
  <c r="Y23" i="1"/>
  <c r="Y10" i="1"/>
  <c r="Y29" i="1"/>
  <c r="Y12" i="1"/>
  <c r="Y35" i="1"/>
  <c r="Y40" i="1"/>
  <c r="Y39" i="1"/>
  <c r="Y19" i="1"/>
  <c r="Y25" i="1"/>
  <c r="Y11" i="1"/>
  <c r="Y18" i="1"/>
  <c r="Y38" i="1"/>
  <c r="Y27" i="1"/>
  <c r="Y31" i="1"/>
  <c r="Y24" i="1"/>
  <c r="Y13" i="1"/>
  <c r="Y21" i="1"/>
  <c r="Y37" i="1"/>
  <c r="Y33" i="1"/>
  <c r="Y14" i="1"/>
  <c r="Y17" i="1"/>
  <c r="Y43" i="1" l="1"/>
  <c r="Y42" i="1"/>
</calcChain>
</file>

<file path=xl/sharedStrings.xml><?xml version="1.0" encoding="utf-8"?>
<sst xmlns="http://schemas.openxmlformats.org/spreadsheetml/2006/main" count="1949" uniqueCount="721">
  <si>
    <t>X</t>
  </si>
  <si>
    <t>Y</t>
  </si>
  <si>
    <t>Z</t>
  </si>
  <si>
    <t>Rx</t>
  </si>
  <si>
    <t>Ry</t>
  </si>
  <si>
    <t>Rz</t>
  </si>
  <si>
    <t>Linear gauges  data M2 edge, reduced (mm, Deg)</t>
  </si>
  <si>
    <t>mm</t>
  </si>
  <si>
    <t>Commanded moves to position, from M2 hexapod EUI</t>
  </si>
  <si>
    <t>plane-to-plane</t>
  </si>
  <si>
    <t>|Rot.ang.|</t>
  </si>
  <si>
    <t>Error</t>
  </si>
  <si>
    <t>(meas.-set)</t>
  </si>
  <si>
    <t>Lin.Gauges</t>
  </si>
  <si>
    <t>mm or deg</t>
  </si>
  <si>
    <t>Xerror</t>
  </si>
  <si>
    <t>Yerror</t>
  </si>
  <si>
    <t>Zerror</t>
  </si>
  <si>
    <r>
      <t>Camera Hexapod tests</t>
    </r>
    <r>
      <rPr>
        <sz val="11"/>
        <color theme="1"/>
        <rFont val="Calibri"/>
        <family val="2"/>
        <scheme val="minor"/>
      </rPr>
      <t xml:space="preserve"> (at El=0Deg)</t>
    </r>
  </si>
  <si>
    <t>MOOG</t>
  </si>
  <si>
    <t>Hex</t>
  </si>
  <si>
    <t>Rot</t>
  </si>
  <si>
    <t>testing</t>
  </si>
  <si>
    <t>3.3.1.</t>
  </si>
  <si>
    <t>zero</t>
  </si>
  <si>
    <t>x</t>
  </si>
  <si>
    <t>y</t>
  </si>
  <si>
    <t>12:50 Faulted after 5 minutes moving to this point Drive Fault and Simulink Fault. The faults were cleared with the Clear Error command</t>
  </si>
  <si>
    <t>Back to zero</t>
  </si>
  <si>
    <t>lunchtime</t>
  </si>
  <si>
    <t>13:58 Tried to move position 29, Fault. Following Error, Drive Fault, Simulink Fault. Faults cleared with Clear error.</t>
  </si>
  <si>
    <t>Offset Z</t>
  </si>
  <si>
    <t>Z value</t>
  </si>
  <si>
    <t>Mitutoyo Offset</t>
  </si>
  <si>
    <t>Mitutoyo Value</t>
  </si>
  <si>
    <t xml:space="preserve">Mitutoyo Raw </t>
  </si>
  <si>
    <t>EUI</t>
  </si>
  <si>
    <t>e.u   (um)</t>
  </si>
  <si>
    <t>EUI Hexapod Strut position</t>
  </si>
  <si>
    <t xml:space="preserve">Commanded </t>
  </si>
  <si>
    <t>Y value</t>
  </si>
  <si>
    <t>Rx value</t>
  </si>
  <si>
    <t>Offset Rx</t>
  </si>
  <si>
    <t>(5x 8.19E-5)</t>
  </si>
  <si>
    <t>(2x 8.19E-5)</t>
  </si>
  <si>
    <t>(1x 8.19E-5)</t>
  </si>
  <si>
    <t>Offset Rz</t>
  </si>
  <si>
    <t>Rz value</t>
  </si>
  <si>
    <t>(60E-5 deg&lt;=&gt; 9.1564336um of Rz gauge)</t>
  </si>
  <si>
    <t>(5x 60E-5)</t>
  </si>
  <si>
    <t>(2x 60E-5)</t>
  </si>
  <si>
    <t>(1x 60E-5)</t>
  </si>
  <si>
    <t>Offset Ry</t>
  </si>
  <si>
    <t>1x</t>
  </si>
  <si>
    <t>2x</t>
  </si>
  <si>
    <t>5x</t>
  </si>
  <si>
    <t>Offset X</t>
  </si>
  <si>
    <t>X value</t>
  </si>
  <si>
    <t>3.3.12 Hexapod Repeatability</t>
  </si>
  <si>
    <t>.0015deg</t>
  </si>
  <si>
    <t>rep. step</t>
  </si>
  <si>
    <t>hexapod EUI display</t>
  </si>
  <si>
    <t>Set to 0</t>
  </si>
  <si>
    <t>in abs.mode</t>
  </si>
  <si>
    <t>Fault 10:35. Drive Fault, Simulik Fault</t>
  </si>
  <si>
    <t xml:space="preserve"> 0.0015°</t>
  </si>
  <si>
    <t>COR= -2758400um (Pivot point at L1S1)</t>
  </si>
  <si>
    <t>Gauge X(Rz)</t>
  </si>
  <si>
    <t>9:37 AM, Faulted: Following Errror, Drive Fault, Simulink Fault. Clear error Command</t>
  </si>
  <si>
    <t>9:39 AM, Faulted: Drive Fauls, Simulink Fault. Clear Error Command</t>
  </si>
  <si>
    <t>EUI Actual Struts Position.</t>
  </si>
  <si>
    <t>Max range mm</t>
  </si>
  <si>
    <t>11:15 Faultr. Drive Fault, Simulink Fault. Clear error did not work to remove the fault. Exiting EUI and reloading EUI clear the error.</t>
  </si>
  <si>
    <t>crosstalkX</t>
  </si>
  <si>
    <t>crosstalkZ</t>
  </si>
  <si>
    <t>01/07/2021, Absolute Accuracy Test (Moog 3.3.13)</t>
  </si>
  <si>
    <t>14:21 Fault State, Drive fault, Simulink Fault. Clear error commando did not worked</t>
  </si>
  <si>
    <t>05/07/2021, 3.4.1 Axis of Rotation</t>
  </si>
  <si>
    <t>05/07/2021, 3.4.2 Rotator Absolute Accuracy</t>
  </si>
  <si>
    <t>14:38 Fault, Safety Interlock Fault, Simulnk Fault Declared. After send the Clear command Faulted again. This repeated 4 times in total. Stoped EUI and restarted again</t>
  </si>
  <si>
    <t>14:56 EUI stop automatically after moving to 30 degree. (it moved untl 30.005 deg. Then EUI stop)
14:59 Fault Again.Fault State. Safety Interlock. Simulink Fault declared</t>
  </si>
  <si>
    <t xml:space="preserve">LASER TRACKER SMRx </t>
  </si>
  <si>
    <t xml:space="preserve">LASER TRACKER SMR-x </t>
  </si>
  <si>
    <t>3.4.5.4 - 3.4.5.5 - 3.4.5.6</t>
  </si>
  <si>
    <t>measurements at right)</t>
  </si>
  <si>
    <t>(this is  a repeat of</t>
  </si>
  <si>
    <t>faults record</t>
  </si>
  <si>
    <t>pos.error</t>
  </si>
  <si>
    <t>crosstalkY</t>
  </si>
  <si>
    <t>Rotator Position by EUI</t>
  </si>
  <si>
    <t xml:space="preserve">Rotator Position by EUI </t>
  </si>
  <si>
    <t>angl. error</t>
  </si>
  <si>
    <t>MOOG 3.4.5.3</t>
  </si>
  <si>
    <t>MOOG 3.4.5.4 - 3.4.5.5 - 3.4.5.6</t>
  </si>
  <si>
    <t>(W/R to frame 4 SMR center)</t>
  </si>
  <si>
    <t>new center coord.</t>
  </si>
  <si>
    <t>error</t>
  </si>
  <si>
    <t>Rotator tests (see last worksheet)</t>
  </si>
  <si>
    <t xml:space="preserve">COR(-2758400um from base) (0,0,-1938mm, from rotator surface) unless specified otherwise </t>
  </si>
  <si>
    <t>(offset due to rotation=</t>
  </si>
  <si>
    <t>mm)</t>
  </si>
  <si>
    <t>XY error</t>
  </si>
  <si>
    <t>Average</t>
  </si>
  <si>
    <t>Stdev</t>
  </si>
  <si>
    <t xml:space="preserve">angle error </t>
  </si>
  <si>
    <t>07/06/2021 Positioning Tests</t>
  </si>
  <si>
    <t>spec: 25 times the resolution per axis</t>
  </si>
  <si>
    <t>spec=</t>
  </si>
  <si>
    <t>other</t>
  </si>
  <si>
    <t>Calcs.</t>
  </si>
  <si>
    <t>calc Angl</t>
  </si>
  <si>
    <t>(XY data)</t>
  </si>
  <si>
    <t>comments</t>
  </si>
  <si>
    <t>e.g. required specs to compare</t>
  </si>
  <si>
    <t>to keep in mind:</t>
  </si>
  <si>
    <t>Rx+=&gt; displacement -Y</t>
  </si>
  <si>
    <t xml:space="preserve">Ry+=&gt; displacement +X </t>
  </si>
  <si>
    <t>if COR&lt;0:</t>
  </si>
  <si>
    <t>if COR&gt;0:</t>
  </si>
  <si>
    <t>Rx+=&gt; displacement +Y</t>
  </si>
  <si>
    <t xml:space="preserve">Ry+=&gt; displacement -X </t>
  </si>
  <si>
    <t>with SMR or Gauges on Rotator</t>
  </si>
  <si>
    <r>
      <t xml:space="preserve">laser tracker measured data(at </t>
    </r>
    <r>
      <rPr>
        <sz val="12"/>
        <color theme="1"/>
        <rFont val="Calibri"/>
        <family val="2"/>
        <scheme val="minor"/>
      </rPr>
      <t>Cam.hex&amp;rot. center</t>
    </r>
    <r>
      <rPr>
        <sz val="11"/>
        <color theme="1"/>
        <rFont val="Calibri"/>
        <family val="2"/>
        <scheme val="minor"/>
      </rPr>
      <t>)(mm &amp; Deg)</t>
    </r>
  </si>
  <si>
    <t>(offset</t>
  </si>
  <si>
    <t>removed)</t>
  </si>
  <si>
    <t xml:space="preserve"> comments</t>
  </si>
  <si>
    <t>Other data processing &amp;similar</t>
  </si>
  <si>
    <t>and other operational comments</t>
  </si>
  <si>
    <t>repeatx1</t>
  </si>
  <si>
    <t>zero off.mode</t>
  </si>
  <si>
    <t>e.u.   (um)</t>
  </si>
  <si>
    <t>G. X (Rz)</t>
  </si>
  <si>
    <t>Y Value</t>
  </si>
  <si>
    <t>(Ry=8.19E-5 deg&lt;=&gt; 0.996845um of Zx+ Gauge)</t>
  </si>
  <si>
    <t>expected</t>
  </si>
  <si>
    <t>values</t>
  </si>
  <si>
    <t>um</t>
  </si>
  <si>
    <t>Zx+ Value</t>
  </si>
  <si>
    <t>value</t>
  </si>
  <si>
    <t xml:space="preserve">EUI Ry </t>
  </si>
  <si>
    <t xml:space="preserve"> Deg</t>
  </si>
  <si>
    <t>%</t>
  </si>
  <si>
    <t>Ry offsets</t>
  </si>
  <si>
    <t>av.error%=</t>
  </si>
  <si>
    <t>abs.mode</t>
  </si>
  <si>
    <t>stdev%=</t>
  </si>
  <si>
    <t>Zx+ raw</t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</si>
  <si>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Y</t>
    </r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</si>
  <si>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Zy-</t>
    </r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</si>
  <si>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Zx </t>
    </r>
  </si>
  <si>
    <t xml:space="preserve"> Y raw</t>
  </si>
  <si>
    <t xml:space="preserve">gaugeZy- </t>
  </si>
  <si>
    <t>(8.19E-5 deg&lt;=&gt; 2.7702um of Y Gauge)</t>
  </si>
  <si>
    <t xml:space="preserve"> gauge</t>
  </si>
  <si>
    <t>gauge</t>
  </si>
  <si>
    <t>COR= -2758400um (pivot point on vertex L1S1)</t>
  </si>
  <si>
    <t>COR= -2758400um (pivot point on L1S1)</t>
  </si>
  <si>
    <t xml:space="preserve">Y  Raw </t>
  </si>
  <si>
    <t>EUI Hexapod Strut position  e.u   (um)</t>
  </si>
  <si>
    <t>Offset  Yum</t>
  </si>
  <si>
    <t>Y um</t>
  </si>
  <si>
    <t>Mitutoyo linear gauge Y</t>
  </si>
  <si>
    <t>Offset</t>
  </si>
  <si>
    <t xml:space="preserve">X Raw </t>
  </si>
  <si>
    <t>X Value</t>
  </si>
  <si>
    <t xml:space="preserve">Mitutoyo linear gauges </t>
  </si>
  <si>
    <t xml:space="preserve"> Y</t>
  </si>
  <si>
    <t xml:space="preserve"> Zx+</t>
  </si>
  <si>
    <t xml:space="preserve"> Zy-</t>
  </si>
  <si>
    <t>EUI Hexapod Strut position e.u.   (um)</t>
  </si>
  <si>
    <t>hexapod EUI display (um) and (Deg)</t>
  </si>
  <si>
    <t xml:space="preserve">Rz Raw </t>
  </si>
  <si>
    <t>Rz Value</t>
  </si>
  <si>
    <t>Zx+</t>
  </si>
  <si>
    <t>Zy-</t>
  </si>
  <si>
    <t>0 by offset</t>
  </si>
  <si>
    <t>COR= -2758400um (pivot point at L1S1)</t>
  </si>
  <si>
    <t>Moving 50um in absolute mode</t>
  </si>
  <si>
    <t xml:space="preserve">Y Raw </t>
  </si>
  <si>
    <t xml:space="preserve">Z Raw </t>
  </si>
  <si>
    <t>Z Value</t>
  </si>
  <si>
    <t>EUI Hexapod Strut position e.u. (um)</t>
  </si>
  <si>
    <t>X Move</t>
  </si>
  <si>
    <t>Y Move</t>
  </si>
  <si>
    <t>Z Move</t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</si>
  <si>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Zx+</t>
    </r>
  </si>
  <si>
    <r>
      <rPr>
        <sz val="9"/>
        <color theme="1"/>
        <rFont val="Calibri"/>
        <family val="2"/>
        <scheme val="minor"/>
      </rPr>
      <t xml:space="preserve">Gauge </t>
    </r>
    <r>
      <rPr>
        <sz val="11"/>
        <color theme="1"/>
        <rFont val="Calibri"/>
        <family val="2"/>
        <scheme val="minor"/>
      </rPr>
      <t>Y</t>
    </r>
  </si>
  <si>
    <r>
      <rPr>
        <sz val="9"/>
        <color theme="1"/>
        <rFont val="Calibri"/>
        <family val="2"/>
        <scheme val="minor"/>
      </rPr>
      <t xml:space="preserve">Gauge </t>
    </r>
    <r>
      <rPr>
        <sz val="11"/>
        <color theme="1"/>
        <rFont val="Calibri"/>
        <family val="2"/>
        <scheme val="minor"/>
      </rPr>
      <t>Zy-</t>
    </r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</si>
  <si>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X</t>
    </r>
  </si>
  <si>
    <r>
      <rPr>
        <sz val="9"/>
        <color theme="1"/>
        <rFont val="Calibri"/>
        <family val="2"/>
        <scheme val="minor"/>
      </rPr>
      <t xml:space="preserve">Gauge </t>
    </r>
    <r>
      <rPr>
        <sz val="11"/>
        <color theme="1"/>
        <rFont val="Calibri"/>
        <family val="2"/>
        <scheme val="minor"/>
      </rPr>
      <t>X</t>
    </r>
  </si>
  <si>
    <t>moves um</t>
  </si>
  <si>
    <t>Z um</t>
  </si>
  <si>
    <t xml:space="preserve"> X um</t>
  </si>
  <si>
    <t>spec &lt; 4um</t>
  </si>
  <si>
    <t>spec &lt; 20um</t>
  </si>
  <si>
    <t>|meas.-set|</t>
  </si>
  <si>
    <t>hexapod</t>
  </si>
  <si>
    <t>spec= 4 times resolution of each axis</t>
  </si>
  <si>
    <t>Deg</t>
  </si>
  <si>
    <t xml:space="preserve"> Rz</t>
  </si>
  <si>
    <t>spec= 4times the resolution for each axis</t>
  </si>
  <si>
    <t>moves Deg</t>
  </si>
  <si>
    <t>at L1S1=&gt;</t>
  </si>
  <si>
    <t>mm=</t>
  </si>
  <si>
    <t>50.74um</t>
  </si>
  <si>
    <t xml:space="preserve"> ===&gt;</t>
  </si>
  <si>
    <t>Error ΔY=</t>
  </si>
  <si>
    <t>11.08um</t>
  </si>
  <si>
    <t>error Rz gauge=</t>
  </si>
  <si>
    <t>36.63um</t>
  </si>
  <si>
    <t>Error ΔX=</t>
  </si>
  <si>
    <t>X and Y displacement due to Ry and Rx rotation respectively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</si>
  <si>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=</t>
    </r>
  </si>
  <si>
    <t>linear</t>
  </si>
  <si>
    <t>linear gauge</t>
  </si>
  <si>
    <t>spec &lt; 11um</t>
  </si>
  <si>
    <t>spec &lt;37um</t>
  </si>
  <si>
    <t>(+0.0015 deg&lt;=&gt; -50.74um of Y Gauge)</t>
  </si>
  <si>
    <t>22.89um</t>
  </si>
  <si>
    <t>X(Rz) gauge displacement measurement due to Rz rotation</t>
  </si>
  <si>
    <t>error um</t>
  </si>
  <si>
    <t>X um</t>
  </si>
  <si>
    <t>repetition step=</t>
  </si>
  <si>
    <t xml:space="preserve">Rx </t>
  </si>
  <si>
    <t xml:space="preserve">Ry </t>
  </si>
  <si>
    <t xml:space="preserve">Rz </t>
  </si>
  <si>
    <t>X(Rz)</t>
  </si>
  <si>
    <t>X(Rz) um</t>
  </si>
  <si>
    <t>error&lt;</t>
  </si>
  <si>
    <t>32.8E-5°</t>
  </si>
  <si>
    <t>240E-5°</t>
  </si>
  <si>
    <t>spec</t>
  </si>
  <si>
    <t>X(Rz)=</t>
  </si>
  <si>
    <t>X =</t>
  </si>
  <si>
    <t>Y =</t>
  </si>
  <si>
    <t>32.8E-5°==&gt;</t>
  </si>
  <si>
    <t>240E-5°==&gt;</t>
  </si>
  <si>
    <t>(+0.0015 deg&lt;=&gt; -22.89um of X(Rz) Gauge)</t>
  </si>
  <si>
    <t>(+0.0015 deg&lt;=&gt; +50.74um of X Gauge</t>
  </si>
  <si>
    <t>Linear Gauges names</t>
  </si>
  <si>
    <t xml:space="preserve"> Yraw</t>
  </si>
  <si>
    <t xml:space="preserve"> X(Rz)</t>
  </si>
  <si>
    <t xml:space="preserve"> Xraw</t>
  </si>
  <si>
    <t xml:space="preserve"> X(Rz)raw</t>
  </si>
  <si>
    <t>laser tracker measured data</t>
  </si>
  <si>
    <t>spec&lt;125</t>
  </si>
  <si>
    <t>Error (um)</t>
  </si>
  <si>
    <t>spec&lt;25</t>
  </si>
  <si>
    <t>EUI Actual Struts Position e.u. (um)</t>
  </si>
  <si>
    <t>Camera Hexapod Commanded position (um)</t>
  </si>
  <si>
    <t>7.6mm</t>
  </si>
  <si>
    <t xml:space="preserve">         laser tracker data (mm)</t>
  </si>
  <si>
    <t>Absolute Accuracy Test (Moog 3.3.13)</t>
  </si>
  <si>
    <t>Move#</t>
  </si>
  <si>
    <t>pos. zero</t>
  </si>
  <si>
    <t>X and Y rotational Range (MOOG 3.3.8)</t>
  </si>
  <si>
    <t>(Deg)</t>
  </si>
  <si>
    <t xml:space="preserve"> COR= -2758400um</t>
  </si>
  <si>
    <r>
      <t>X and Y Translational Range (MOOG 3.3.4)</t>
    </r>
    <r>
      <rPr>
        <sz val="11"/>
        <color theme="1"/>
        <rFont val="Calibri"/>
        <family val="2"/>
        <scheme val="minor"/>
      </rPr>
      <t>, COR= -2758400um</t>
    </r>
  </si>
  <si>
    <t>Error L.T.</t>
  </si>
  <si>
    <t>spec&lt;0.0021</t>
  </si>
  <si>
    <t>RxRy</t>
  </si>
  <si>
    <t>stdev=</t>
  </si>
  <si>
    <t>XY</t>
  </si>
  <si>
    <t>(RxRy)</t>
  </si>
  <si>
    <t>laser tracker data mm</t>
  </si>
  <si>
    <t>calc displ</t>
  </si>
  <si>
    <t>x and y</t>
  </si>
  <si>
    <t>displ.</t>
  </si>
  <si>
    <t>angl error</t>
  </si>
  <si>
    <t>calc.from</t>
  </si>
  <si>
    <t>deg</t>
  </si>
  <si>
    <t>averages=</t>
  </si>
  <si>
    <t>Cross talk check</t>
  </si>
  <si>
    <t xml:space="preserve">         laser tracker data mm</t>
  </si>
  <si>
    <t>Rx rotational absolute accuracy test</t>
  </si>
  <si>
    <t>Ry rotational absolute accuracy test</t>
  </si>
  <si>
    <t>displacement offset</t>
  </si>
  <si>
    <t>0.014Deg</t>
  </si>
  <si>
    <t>Measured Angle error between different coordinate references</t>
  </si>
  <si>
    <t>From X and Y rotational range above</t>
  </si>
  <si>
    <r>
      <rPr>
        <b/>
        <sz val="11"/>
        <color theme="1"/>
        <rFont val="Calibri"/>
        <family val="2"/>
        <scheme val="minor"/>
      </rPr>
      <t>Moog 3.3.13 Rotation Absolute Accuracy</t>
    </r>
    <r>
      <rPr>
        <sz val="11"/>
        <color theme="1"/>
        <rFont val="Calibri"/>
        <family val="2"/>
        <scheme val="minor"/>
      </rPr>
      <t xml:space="preserve"> tests (assembled from positioning and maximum range data</t>
    </r>
  </si>
  <si>
    <t>Moog 3.3.13 Rotation Absolute Accuracy tests (assembled from positioning and maximum range data)</t>
  </si>
  <si>
    <t>SMR</t>
  </si>
  <si>
    <t>19.05 mm</t>
  </si>
  <si>
    <t>angle Rx</t>
  </si>
  <si>
    <t>offset Y</t>
  </si>
  <si>
    <t>av. zero offsets X,Y,Z</t>
  </si>
  <si>
    <t>Cam.Hexapod Commanded position (um)</t>
  </si>
  <si>
    <t xml:space="preserve">     EUI Actual Struts Position e.u. (um)</t>
  </si>
  <si>
    <t>laser tracker data (mm)</t>
  </si>
  <si>
    <r>
      <rPr>
        <b/>
        <sz val="11"/>
        <color theme="1"/>
        <rFont val="Calibri"/>
        <family val="2"/>
        <scheme val="minor"/>
      </rPr>
      <t>Traslational Range Z (Moog 3.3.6)</t>
    </r>
    <r>
      <rPr>
        <sz val="11"/>
        <color theme="1"/>
        <rFont val="Calibri"/>
        <family val="2"/>
        <scheme val="minor"/>
      </rPr>
      <t xml:space="preserve"> (taken from absolute accuracy test data)</t>
    </r>
  </si>
  <si>
    <t>Max range</t>
  </si>
  <si>
    <t>positioning error</t>
  </si>
  <si>
    <t>Y offset</t>
  </si>
  <si>
    <t>removed</t>
  </si>
  <si>
    <t>X offset</t>
  </si>
  <si>
    <t>Camera Hexapod tests (at El=0Deg)</t>
  </si>
  <si>
    <r>
      <t>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1/2</t>
    </r>
  </si>
  <si>
    <t>Laser Tracker</t>
  </si>
  <si>
    <t>Angle</t>
  </si>
  <si>
    <t>offset</t>
  </si>
  <si>
    <t xml:space="preserve">Note: positioning error </t>
  </si>
  <si>
    <t>calculation can be</t>
  </si>
  <si>
    <t>improved</t>
  </si>
  <si>
    <t xml:space="preserve">Go TO------&gt; </t>
  </si>
  <si>
    <t xml:space="preserve">      ==============&gt;</t>
  </si>
  <si>
    <r>
      <rPr>
        <b/>
        <sz val="11"/>
        <color theme="1"/>
        <rFont val="Calibri"/>
        <family val="2"/>
        <scheme val="minor"/>
      </rPr>
      <t>laser tracker</t>
    </r>
    <r>
      <rPr>
        <sz val="11"/>
        <color theme="1"/>
        <rFont val="Calibri"/>
        <family val="2"/>
        <scheme val="minor"/>
      </rPr>
      <t xml:space="preserve"> measured data(at Cam.hex&amp;rot. center)(mm &amp; Deg)</t>
    </r>
  </si>
  <si>
    <r>
      <rPr>
        <b/>
        <sz val="11"/>
        <color theme="1"/>
        <rFont val="Calibri"/>
        <family val="2"/>
        <scheme val="minor"/>
      </rPr>
      <t>Commanded moves</t>
    </r>
    <r>
      <rPr>
        <sz val="11"/>
        <color theme="1"/>
        <rFont val="Calibri"/>
        <family val="2"/>
        <scheme val="minor"/>
      </rPr>
      <t xml:space="preserve"> to position, from M2 hexapod EUI</t>
    </r>
  </si>
  <si>
    <t>Z error</t>
  </si>
  <si>
    <t>STDEV</t>
  </si>
  <si>
    <t>RMS</t>
  </si>
  <si>
    <t>SUM</t>
  </si>
  <si>
    <t>laser tracker measured data(at Cam.hex&amp;rot. center)(mm &amp; Deg)</t>
  </si>
  <si>
    <t>Angular</t>
  </si>
  <si>
    <t>Angle (Deg)</t>
  </si>
  <si>
    <t>ITEM</t>
  </si>
  <si>
    <t>MOVE</t>
  </si>
  <si>
    <t>AXIS</t>
  </si>
  <si>
    <t>SPEC</t>
  </si>
  <si>
    <t>ERROR SPEC</t>
  </si>
  <si>
    <t>MEET SPEC</t>
  </si>
  <si>
    <t>YES</t>
  </si>
  <si>
    <t>8.19x10-5Deg</t>
  </si>
  <si>
    <t>1um</t>
  </si>
  <si>
    <t>MODE</t>
  </si>
  <si>
    <t>5um</t>
  </si>
  <si>
    <t>60X10-5Deg</t>
  </si>
  <si>
    <t>Absolute</t>
  </si>
  <si>
    <t>&lt;4um</t>
  </si>
  <si>
    <t>&lt;20um</t>
  </si>
  <si>
    <t>&lt;0.0024Deg</t>
  </si>
  <si>
    <t>&lt;3um</t>
  </si>
  <si>
    <t>&lt;0.00018Deg</t>
  </si>
  <si>
    <t>&lt;0.00026Deg</t>
  </si>
  <si>
    <t>&lt;25um</t>
  </si>
  <si>
    <t>&lt;125um</t>
  </si>
  <si>
    <t>&lt;120um</t>
  </si>
  <si>
    <t>0um</t>
  </si>
  <si>
    <t>&lt;30um</t>
  </si>
  <si>
    <t>&lt;0.00205Deg</t>
  </si>
  <si>
    <t xml:space="preserve"> ------</t>
  </si>
  <si>
    <t>Not done</t>
  </si>
  <si>
    <t>&lt;0.015Deg</t>
  </si>
  <si>
    <t>&lt;0.0017Deg</t>
  </si>
  <si>
    <t>&lt;0.0023Deg</t>
  </si>
  <si>
    <t xml:space="preserve"> +/-7.6mm</t>
  </si>
  <si>
    <t xml:space="preserve"> +/-50um</t>
  </si>
  <si>
    <t xml:space="preserve"> +/-0.0015Deg</t>
  </si>
  <si>
    <t xml:space="preserve"> +/-0.24Deg</t>
  </si>
  <si>
    <t xml:space="preserve"> +/-0.1Deg</t>
  </si>
  <si>
    <t>&lt;90um</t>
  </si>
  <si>
    <t>&lt;0.0021Deg</t>
  </si>
  <si>
    <r>
      <t xml:space="preserve">start column </t>
    </r>
    <r>
      <rPr>
        <sz val="12"/>
        <color rgb="FFFF0000"/>
        <rFont val="Calibri"/>
        <family val="2"/>
        <scheme val="minor"/>
      </rPr>
      <t>CJ</t>
    </r>
  </si>
  <si>
    <r>
      <t>(x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0"/>
        <color theme="1"/>
        <rFont val="Calibri"/>
        <family val="2"/>
        <scheme val="minor"/>
      </rPr>
      <t>1/2</t>
    </r>
  </si>
  <si>
    <r>
      <t>(Rx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+Ry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0"/>
        <color theme="1"/>
        <rFont val="Calibri"/>
        <family val="2"/>
        <scheme val="minor"/>
      </rPr>
      <t>1/2</t>
    </r>
  </si>
  <si>
    <r>
      <t>(where XY=(x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+y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  <r>
      <rPr>
        <vertAlign val="superscript"/>
        <sz val="10"/>
        <color theme="1"/>
        <rFont val="Calibri"/>
        <family val="2"/>
        <scheme val="minor"/>
      </rPr>
      <t>1/2</t>
    </r>
    <r>
      <rPr>
        <sz val="9"/>
        <color theme="1"/>
        <rFont val="Calibri"/>
        <family val="2"/>
        <scheme val="minor"/>
      </rPr>
      <t xml:space="preserve"> )</t>
    </r>
  </si>
  <si>
    <r>
      <t>(where RxRy= (Rx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+Ry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  <r>
      <rPr>
        <vertAlign val="superscript"/>
        <sz val="10"/>
        <color theme="1"/>
        <rFont val="Calibri"/>
        <family val="2"/>
        <scheme val="minor"/>
      </rPr>
      <t>1/2</t>
    </r>
    <r>
      <rPr>
        <sz val="9"/>
        <color theme="1"/>
        <rFont val="Calibri"/>
        <family val="2"/>
        <scheme val="minor"/>
      </rPr>
      <t xml:space="preserve"> )</t>
    </r>
  </si>
  <si>
    <r>
      <t>(</t>
    </r>
    <r>
      <rPr>
        <sz val="11"/>
        <color rgb="FFFF0000"/>
        <rFont val="Calibri"/>
        <family val="2"/>
        <scheme val="minor"/>
      </rPr>
      <t>*</t>
    </r>
    <r>
      <rPr>
        <sz val="9"/>
        <color theme="1"/>
        <rFont val="Calibri"/>
        <family val="2"/>
        <scheme val="minor"/>
      </rPr>
      <t>where max. Z range should have been +/-8.7mm)</t>
    </r>
  </si>
  <si>
    <t xml:space="preserve"> +/-0.17Deg</t>
  </si>
  <si>
    <t>&lt;29um RMS</t>
  </si>
  <si>
    <t>&lt;0.0016Deg RMS</t>
  </si>
  <si>
    <t>(steps of 50um in translation, tb/reached to &lt;4xResolution)</t>
  </si>
  <si>
    <t>(steps of 0.0015Deg in rotation,tb/reached to &lt;4xResolution)</t>
  </si>
  <si>
    <t>(steps of 25%,50%,75%,100% of max range, tb/reached to &lt;25xResolution)</t>
  </si>
  <si>
    <t>&lt;31um RMS</t>
  </si>
  <si>
    <t>YES (Marginal)</t>
  </si>
  <si>
    <t>MEASUREMENT</t>
  </si>
  <si>
    <t>Instrument</t>
  </si>
  <si>
    <t>Linear Gauge</t>
  </si>
  <si>
    <t xml:space="preserve"> +/-7.73mm</t>
  </si>
  <si>
    <t>Not checked</t>
  </si>
  <si>
    <t>0.04 to 0.24 Deg</t>
  </si>
  <si>
    <t>Y=pivot*Rx</t>
  </si>
  <si>
    <t>&lt;35um RMS</t>
  </si>
  <si>
    <t>(Y offset measured-expected, due to Rx rotation for a given COR, should be &lt;125um)</t>
  </si>
  <si>
    <t>(LTS-206)</t>
  </si>
  <si>
    <t xml:space="preserve"> 0mm</t>
  </si>
  <si>
    <t>(moves should be reached with inactive axes residuals X and Y&lt;125um and Z&lt;25um)</t>
  </si>
  <si>
    <t>YES (lucky)</t>
  </si>
  <si>
    <t>Notes &amp;</t>
  </si>
  <si>
    <t>Comments</t>
  </si>
  <si>
    <t>tbd</t>
  </si>
  <si>
    <t xml:space="preserve"> laser tracker data mm</t>
  </si>
  <si>
    <t>overall cross-talk, mm  RMS=</t>
  </si>
  <si>
    <t>&lt;50um</t>
  </si>
  <si>
    <t>&lt;27um RMS</t>
  </si>
  <si>
    <t>(data from the measurements of 3.3.4 and 3.3.8 above)</t>
  </si>
  <si>
    <t>ERROR</t>
  </si>
  <si>
    <t>MEASURED</t>
  </si>
  <si>
    <r>
      <t xml:space="preserve"> +/-7.6mm</t>
    </r>
    <r>
      <rPr>
        <sz val="9"/>
        <color theme="5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*</t>
    </r>
  </si>
  <si>
    <r>
      <t>Hexapod centers of rotation</t>
    </r>
    <r>
      <rPr>
        <sz val="9"/>
        <color theme="1"/>
        <rFont val="Calibri"/>
        <family val="2"/>
        <scheme val="minor"/>
      </rPr>
      <t xml:space="preserve">                                                                (LTS-206, </t>
    </r>
    <r>
      <rPr>
        <b/>
        <sz val="9"/>
        <color theme="1"/>
        <rFont val="Calibri"/>
        <family val="2"/>
        <scheme val="minor"/>
      </rPr>
      <t>3.3.2</t>
    </r>
    <r>
      <rPr>
        <sz val="9"/>
        <color theme="1"/>
        <rFont val="Calibri"/>
        <family val="2"/>
        <scheme val="minor"/>
      </rPr>
      <t>)</t>
    </r>
  </si>
  <si>
    <r>
      <t xml:space="preserve">Hexapod cross-talk motion                                                                 </t>
    </r>
    <r>
      <rPr>
        <sz val="9"/>
        <color theme="1"/>
        <rFont val="Calibri"/>
        <family val="2"/>
        <scheme val="minor"/>
      </rPr>
      <t xml:space="preserve">(LTS-206, </t>
    </r>
    <r>
      <rPr>
        <b/>
        <sz val="9"/>
        <color theme="1"/>
        <rFont val="Calibri"/>
        <family val="2"/>
        <scheme val="minor"/>
      </rPr>
      <t>3.3.3</t>
    </r>
    <r>
      <rPr>
        <sz val="9"/>
        <color theme="1"/>
        <rFont val="Calibri"/>
        <family val="2"/>
        <scheme val="minor"/>
      </rPr>
      <t>)</t>
    </r>
  </si>
  <si>
    <r>
      <t xml:space="preserve">Hexapod Rotational Rx Ry range </t>
    </r>
    <r>
      <rPr>
        <sz val="9"/>
        <color theme="1"/>
        <rFont val="Calibri"/>
        <family val="2"/>
        <scheme val="minor"/>
      </rPr>
      <t xml:space="preserve">(hexapod operation spec)        (LTS-206, </t>
    </r>
    <r>
      <rPr>
        <b/>
        <sz val="9"/>
        <color theme="1"/>
        <rFont val="Calibri"/>
        <family val="2"/>
        <scheme val="minor"/>
      </rPr>
      <t>3.3.8</t>
    </r>
    <r>
      <rPr>
        <sz val="9"/>
        <color theme="1"/>
        <rFont val="Calibri"/>
        <family val="2"/>
        <scheme val="minor"/>
      </rPr>
      <t>)</t>
    </r>
  </si>
  <si>
    <r>
      <t xml:space="preserve">Hexapod XY translational range </t>
    </r>
    <r>
      <rPr>
        <sz val="9"/>
        <color theme="1"/>
        <rFont val="Calibri"/>
        <family val="2"/>
        <scheme val="minor"/>
      </rPr>
      <t xml:space="preserve">(hexapod operation spec)          (LTS-206, </t>
    </r>
    <r>
      <rPr>
        <b/>
        <sz val="9"/>
        <color theme="1"/>
        <rFont val="Calibri"/>
        <family val="2"/>
        <scheme val="minor"/>
      </rPr>
      <t>3.3.4</t>
    </r>
    <r>
      <rPr>
        <sz val="9"/>
        <color theme="1"/>
        <rFont val="Calibri"/>
        <family val="2"/>
        <scheme val="minor"/>
      </rPr>
      <t>)</t>
    </r>
  </si>
  <si>
    <r>
      <t xml:space="preserve">Hexapod Translation Z range </t>
    </r>
    <r>
      <rPr>
        <sz val="9"/>
        <color theme="1"/>
        <rFont val="Calibri"/>
        <family val="2"/>
        <scheme val="minor"/>
      </rPr>
      <t xml:space="preserve">(hexapod operation spec)               (LTS-206, </t>
    </r>
    <r>
      <rPr>
        <b/>
        <sz val="9"/>
        <color theme="1"/>
        <rFont val="Calibri"/>
        <family val="2"/>
        <scheme val="minor"/>
      </rPr>
      <t>3.3.6</t>
    </r>
    <r>
      <rPr>
        <sz val="9"/>
        <color theme="1"/>
        <rFont val="Calibri"/>
        <family val="2"/>
        <scheme val="minor"/>
      </rPr>
      <t>)</t>
    </r>
  </si>
  <si>
    <r>
      <t xml:space="preserve">Hexapod Absolute Accuracy </t>
    </r>
    <r>
      <rPr>
        <sz val="9"/>
        <color theme="1"/>
        <rFont val="Calibri"/>
        <family val="2"/>
        <scheme val="minor"/>
      </rPr>
      <t xml:space="preserve">(hexapod operation spec)              (LTS-206, </t>
    </r>
    <r>
      <rPr>
        <b/>
        <sz val="9"/>
        <color theme="1"/>
        <rFont val="Calibri"/>
        <family val="2"/>
        <scheme val="minor"/>
      </rPr>
      <t>3.3.13</t>
    </r>
    <r>
      <rPr>
        <sz val="9"/>
        <color theme="1"/>
        <rFont val="Calibri"/>
        <family val="2"/>
        <scheme val="minor"/>
      </rPr>
      <t>)</t>
    </r>
  </si>
  <si>
    <r>
      <t xml:space="preserve">Hexapod Repeatability </t>
    </r>
    <r>
      <rPr>
        <sz val="9"/>
        <color theme="1"/>
        <rFont val="Calibri"/>
        <family val="2"/>
        <scheme val="minor"/>
      </rPr>
      <t xml:space="preserve">(Operational requirement)                     (LTS-602, </t>
    </r>
    <r>
      <rPr>
        <b/>
        <sz val="9"/>
        <color theme="1"/>
        <rFont val="Calibri"/>
        <family val="2"/>
        <scheme val="minor"/>
      </rPr>
      <t>3.3.12</t>
    </r>
    <r>
      <rPr>
        <sz val="9"/>
        <color theme="1"/>
        <rFont val="Calibri"/>
        <family val="2"/>
        <scheme val="minor"/>
      </rPr>
      <t>)</t>
    </r>
  </si>
  <si>
    <r>
      <t xml:space="preserve">Rotational Resolution Rz </t>
    </r>
    <r>
      <rPr>
        <sz val="9"/>
        <color theme="1"/>
        <rFont val="Calibri"/>
        <family val="2"/>
        <scheme val="minor"/>
      </rPr>
      <t xml:space="preserve">(hexapod twist)                                      (LTS-602, </t>
    </r>
    <r>
      <rPr>
        <b/>
        <sz val="9"/>
        <color theme="1"/>
        <rFont val="Calibri"/>
        <family val="2"/>
        <scheme val="minor"/>
      </rPr>
      <t>3.3.11</t>
    </r>
    <r>
      <rPr>
        <sz val="9"/>
        <color theme="1"/>
        <rFont val="Calibri"/>
        <family val="2"/>
        <scheme val="minor"/>
      </rPr>
      <t>)</t>
    </r>
  </si>
  <si>
    <r>
      <t>Translation Resolution in X and Y</t>
    </r>
    <r>
      <rPr>
        <sz val="9"/>
        <color theme="1"/>
        <rFont val="Calibri"/>
        <family val="2"/>
        <scheme val="minor"/>
      </rPr>
      <t xml:space="preserve"> (Decentre)                                    (LTS-602, </t>
    </r>
    <r>
      <rPr>
        <b/>
        <sz val="9"/>
        <color theme="1"/>
        <rFont val="Calibri"/>
        <family val="2"/>
        <scheme val="minor"/>
      </rPr>
      <t>3.3.5</t>
    </r>
    <r>
      <rPr>
        <sz val="9"/>
        <color theme="1"/>
        <rFont val="Calibri"/>
        <family val="2"/>
        <scheme val="minor"/>
      </rPr>
      <t>)</t>
    </r>
  </si>
  <si>
    <r>
      <t xml:space="preserve">Rotational Resolution Rx and Ry </t>
    </r>
    <r>
      <rPr>
        <sz val="9"/>
        <color theme="1"/>
        <rFont val="Calibri"/>
        <family val="2"/>
        <scheme val="minor"/>
      </rPr>
      <t xml:space="preserve">(Tip-Tilt)                                        (LTS-206, </t>
    </r>
    <r>
      <rPr>
        <b/>
        <sz val="9"/>
        <color theme="1"/>
        <rFont val="Calibri"/>
        <family val="2"/>
        <scheme val="minor"/>
      </rPr>
      <t>3.3.9</t>
    </r>
    <r>
      <rPr>
        <sz val="9"/>
        <color theme="1"/>
        <rFont val="Calibri"/>
        <family val="2"/>
        <scheme val="minor"/>
      </rPr>
      <t>)</t>
    </r>
  </si>
  <si>
    <r>
      <t>Translation Resolution in Z</t>
    </r>
    <r>
      <rPr>
        <sz val="9"/>
        <color theme="1"/>
        <rFont val="Calibri"/>
        <family val="2"/>
        <scheme val="minor"/>
      </rPr>
      <t xml:space="preserve"> (Focus)                                                    (LTS-206, </t>
    </r>
    <r>
      <rPr>
        <b/>
        <sz val="9"/>
        <color theme="1"/>
        <rFont val="Calibri"/>
        <family val="2"/>
        <scheme val="minor"/>
      </rPr>
      <t>3.3.7</t>
    </r>
    <r>
      <rPr>
        <sz val="9"/>
        <color theme="1"/>
        <rFont val="Calibri"/>
        <family val="2"/>
        <scheme val="minor"/>
      </rPr>
      <t>)</t>
    </r>
  </si>
  <si>
    <t>Trans</t>
  </si>
  <si>
    <t>Rot &amp;</t>
  </si>
  <si>
    <t>&lt;0.000328Deg</t>
  </si>
  <si>
    <t>Specs</t>
  </si>
  <si>
    <t>Index</t>
  </si>
  <si>
    <r>
      <t>low</t>
    </r>
    <r>
      <rPr>
        <sz val="8"/>
        <color theme="2" tint="-0.499984740745262"/>
        <rFont val="Calibri"/>
        <family val="2"/>
        <scheme val="minor"/>
      </rPr>
      <t xml:space="preserve"> priority</t>
    </r>
  </si>
  <si>
    <r>
      <t>30um</t>
    </r>
    <r>
      <rPr>
        <sz val="8"/>
        <color theme="2" tint="-0.499984740745262"/>
        <rFont val="Calibri"/>
        <family val="2"/>
        <scheme val="minor"/>
      </rPr>
      <t xml:space="preserve"> x-talk</t>
    </r>
  </si>
  <si>
    <t>L.T. resol.</t>
  </si>
  <si>
    <t xml:space="preserve">  LSST Camera Hexapod Requirement specifications re-verification. Ordered from tighter to looser specs, based on document LTS-206, [1]</t>
  </si>
  <si>
    <t xml:space="preserve"> 0.1Deg</t>
  </si>
  <si>
    <r>
      <t>Hexapod Rotational Rz range</t>
    </r>
    <r>
      <rPr>
        <sz val="9"/>
        <color theme="1"/>
        <rFont val="Calibri"/>
        <family val="2"/>
        <scheme val="minor"/>
      </rPr>
      <t xml:space="preserve"> (good to have for engineering)    (LTS-206, </t>
    </r>
    <r>
      <rPr>
        <b/>
        <sz val="9"/>
        <color theme="1"/>
        <rFont val="Calibri"/>
        <family val="2"/>
        <scheme val="minor"/>
      </rPr>
      <t>3.3.10</t>
    </r>
    <r>
      <rPr>
        <sz val="9"/>
        <color theme="1"/>
        <rFont val="Calibri"/>
        <family val="2"/>
        <scheme val="minor"/>
      </rPr>
      <t>)</t>
    </r>
  </si>
  <si>
    <r>
      <rPr>
        <sz val="9"/>
        <color theme="1"/>
        <rFont val="Calibri"/>
        <family val="2"/>
      </rPr>
      <t>ΔY</t>
    </r>
    <r>
      <rPr>
        <sz val="9"/>
        <color theme="1"/>
        <rFont val="Calibri"/>
        <family val="2"/>
        <scheme val="minor"/>
      </rPr>
      <t>&lt;125um</t>
    </r>
  </si>
  <si>
    <t>3.3.2</t>
  </si>
  <si>
    <t>March2021</t>
  </si>
  <si>
    <t>limited movement because actuator 3 faulted</t>
  </si>
  <si>
    <t>Camera Hexapod set values (mm and Deg)</t>
  </si>
  <si>
    <t>Laser tracker masured values</t>
  </si>
  <si>
    <t>measured</t>
  </si>
  <si>
    <t>predicted</t>
  </si>
  <si>
    <r>
      <t>|Angle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|</t>
    </r>
  </si>
  <si>
    <r>
      <t>Y</t>
    </r>
    <r>
      <rPr>
        <sz val="9"/>
        <color theme="1"/>
        <rFont val="Calibri"/>
        <family val="2"/>
        <scheme val="minor"/>
      </rPr>
      <t xml:space="preserve"> (=Z*Rx)</t>
    </r>
  </si>
  <si>
    <t>w/COR=-820.4mm (Z=0mm)</t>
  </si>
  <si>
    <t>plane to plane</t>
  </si>
  <si>
    <t>(offset removed)</t>
  </si>
  <si>
    <t>w/COR =-2758.4mm (Z=-1938mm)</t>
  </si>
  <si>
    <t>error RMS=</t>
  </si>
  <si>
    <t>RMS= sqrt(sum[(x-x0)**2]*1/n)</t>
  </si>
  <si>
    <r>
      <rPr>
        <sz val="11"/>
        <color rgb="FFFF0000"/>
        <rFont val="Calibri"/>
        <family val="2"/>
        <scheme val="minor"/>
      </rPr>
      <t xml:space="preserve">in red: </t>
    </r>
    <r>
      <rPr>
        <sz val="11"/>
        <color theme="1"/>
        <rFont val="Calibri"/>
        <family val="2"/>
        <scheme val="minor"/>
      </rPr>
      <t>added data from June 2021 (after fixing the hexapod actuators)</t>
    </r>
  </si>
  <si>
    <t>Data June 2021 after fixing hexapod</t>
  </si>
  <si>
    <t>offset =</t>
  </si>
  <si>
    <t>top</t>
  </si>
  <si>
    <t>low</t>
  </si>
  <si>
    <t>z</t>
  </si>
  <si>
    <t>calib</t>
  </si>
  <si>
    <t>offset with</t>
  </si>
  <si>
    <t xml:space="preserve">   error</t>
  </si>
  <si>
    <t>resol</t>
  </si>
  <si>
    <t>Zm-Zset</t>
  </si>
  <si>
    <t>meas</t>
  </si>
  <si>
    <t>step</t>
  </si>
  <si>
    <t>display</t>
  </si>
  <si>
    <t xml:space="preserve">X </t>
  </si>
  <si>
    <t>comment: X value in EUI is -2um</t>
  </si>
  <si>
    <t>x=-3</t>
  </si>
  <si>
    <t>x=-2</t>
  </si>
  <si>
    <t>Z=-3um</t>
  </si>
  <si>
    <t>Xvalue</t>
  </si>
  <si>
    <t>Delta T</t>
  </si>
  <si>
    <t>0.04C</t>
  </si>
  <si>
    <t>res offset</t>
  </si>
  <si>
    <t xml:space="preserve">start </t>
  </si>
  <si>
    <t>position</t>
  </si>
  <si>
    <t>improve setup</t>
  </si>
  <si>
    <t>offsets in Z</t>
  </si>
  <si>
    <t>abs. mode set zero</t>
  </si>
  <si>
    <t>measured February 2022 with comcam mounted</t>
  </si>
  <si>
    <t>measured w/mitutoyos Feb 2022</t>
  </si>
  <si>
    <t>measured w/Mitutoyos Feb.2022</t>
  </si>
  <si>
    <t>measured w/Mitutoyo Feb.2022</t>
  </si>
  <si>
    <t>measured w/Mitutoyos Feb 2022</t>
  </si>
  <si>
    <t>measured w/mitutoyo Feb.2022</t>
  </si>
  <si>
    <t>zcdsv</t>
  </si>
  <si>
    <t>Commanded Positions</t>
  </si>
  <si>
    <t>pos #</t>
  </si>
  <si>
    <t>Positioning absolurte accuracy specs</t>
  </si>
  <si>
    <t>COR=</t>
  </si>
  <si>
    <t xml:space="preserve"> -2758400um</t>
  </si>
  <si>
    <t>Z: 25um</t>
  </si>
  <si>
    <t xml:space="preserve"> =</t>
  </si>
  <si>
    <t>XY: 125um</t>
  </si>
  <si>
    <t>30/03/2022</t>
  </si>
  <si>
    <t xml:space="preserve">  note: SMRs 1.5" placed at +X, +Y and -X locations on Rotator</t>
  </si>
  <si>
    <t>pivot =</t>
  </si>
  <si>
    <t>1938mm</t>
  </si>
  <si>
    <t>(front of rotator surface at L1S1)</t>
  </si>
  <si>
    <t>RxRy: 205e-5Deg</t>
  </si>
  <si>
    <t>Deg;   Rz: 1500e-5Deg  =</t>
  </si>
  <si>
    <t>raw LT data; coordinate values in mm</t>
  </si>
  <si>
    <r>
      <t xml:space="preserve">Includes </t>
    </r>
    <r>
      <rPr>
        <sz val="9"/>
        <color theme="1"/>
        <rFont val="Calibri"/>
        <family val="2"/>
        <scheme val="minor"/>
      </rPr>
      <t xml:space="preserve">X,Y&amp;Z </t>
    </r>
    <r>
      <rPr>
        <sz val="11"/>
        <color theme="1"/>
        <rFont val="Calibri"/>
        <family val="2"/>
        <scheme val="minor"/>
      </rPr>
      <t>shifts due to tilt</t>
    </r>
  </si>
  <si>
    <t>removed displacement due to tilt</t>
  </si>
  <si>
    <t>Measured Error</t>
  </si>
  <si>
    <t>p1... X+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</si>
  <si>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</si>
  <si>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</si>
  <si>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</si>
  <si>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</si>
  <si>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</si>
  <si>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</si>
  <si>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</si>
  <si>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</si>
  <si>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</si>
  <si>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</si>
  <si>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</si>
  <si>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</si>
  <si>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</si>
  <si>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</si>
  <si>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</si>
  <si>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</si>
  <si>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</si>
  <si>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</si>
  <si>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</si>
  <si>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</si>
  <si>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</si>
  <si>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</si>
  <si>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</si>
  <si>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</si>
  <si>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</si>
  <si>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</si>
  <si>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</si>
  <si>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</si>
  <si>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</si>
  <si>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</si>
  <si>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</si>
  <si>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Aver</t>
  </si>
  <si>
    <t>p32</t>
  </si>
  <si>
    <t>p33</t>
  </si>
  <si>
    <t>p34</t>
  </si>
  <si>
    <r>
      <t>Notes:</t>
    </r>
    <r>
      <rPr>
        <sz val="11"/>
        <color theme="1"/>
        <rFont val="Calibri"/>
        <family val="2"/>
        <scheme val="minor"/>
      </rPr>
      <t xml:space="preserve"> pos.# 19 faulted (last trajectory aborted)…continued to following positions, didn't repeat.</t>
    </r>
  </si>
  <si>
    <t>p35</t>
  </si>
  <si>
    <t>Pivot</t>
  </si>
  <si>
    <t>d=</t>
  </si>
  <si>
    <t xml:space="preserve"> </t>
  </si>
  <si>
    <t xml:space="preserve"> pos.#s 25 &amp; 29 operational errors (sent to wrong position, made wrong measurement sequence).</t>
  </si>
  <si>
    <t>p36</t>
  </si>
  <si>
    <t>angle=</t>
  </si>
  <si>
    <t>XY&amp;Rz accuracy meets specs; Z positioning accuracy marginally meets specs, RxRy accuracy meets specs most of the time</t>
  </si>
  <si>
    <t>p37</t>
  </si>
  <si>
    <t>offset displacement =</t>
  </si>
  <si>
    <t>Data reduction method [where 3 SMRs were used (one at X+ one at Y+ and one at X-)]:</t>
  </si>
  <si>
    <t>p38</t>
  </si>
  <si>
    <t>Radius SMR circle =</t>
  </si>
  <si>
    <t>1.- at each measured position, substract the Zero values from the Raw data of each  measured array of three</t>
  </si>
  <si>
    <t>p39</t>
  </si>
  <si>
    <t>2.- remove the tilt induced displacement in X, Y and Z, this delivers the measured commanded displacement values and errors</t>
  </si>
  <si>
    <t>p40</t>
  </si>
  <si>
    <t>3.- at each position define a plane, measure the angle between the commanded and the Zero planes, this yieds the commanded Tilt</t>
  </si>
  <si>
    <t>p41</t>
  </si>
  <si>
    <t>4.- from the displacement errors, the Pivot distance and the SMR circle Radius, the Rotation errors were obtained</t>
  </si>
  <si>
    <t>p42</t>
  </si>
  <si>
    <t>p43</t>
  </si>
  <si>
    <t>p44</t>
  </si>
  <si>
    <t>p45</t>
  </si>
  <si>
    <r>
      <t xml:space="preserve">31/03/2022, </t>
    </r>
    <r>
      <rPr>
        <b/>
        <sz val="11"/>
        <color rgb="FFFF0000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the+/- X and Y positions value  commanded was 5.600 instead of 5.660mm</t>
    </r>
  </si>
  <si>
    <t>fault and didn't re-measure</t>
  </si>
  <si>
    <t>check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</si>
  <si>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</si>
  <si>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</si>
  <si>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</si>
  <si>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</si>
  <si>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</si>
  <si>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</si>
  <si>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</si>
  <si>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</si>
  <si>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</si>
  <si>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</si>
  <si>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</si>
  <si>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</si>
  <si>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</si>
  <si>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</si>
  <si>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</si>
  <si>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</si>
  <si>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</si>
  <si>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</si>
  <si>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</si>
  <si>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</si>
  <si>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</si>
  <si>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of zeros</t>
  </si>
  <si>
    <t>stdev</t>
  </si>
  <si>
    <t>Index #</t>
  </si>
  <si>
    <t>measurements</t>
  </si>
  <si>
    <t>X (um)</t>
  </si>
  <si>
    <t>Y (um)</t>
  </si>
  <si>
    <t>Z (um)</t>
  </si>
  <si>
    <t>Raw measurement</t>
  </si>
  <si>
    <t>Mitutoyo linear gauge</t>
  </si>
  <si>
    <t>1um offset</t>
  </si>
  <si>
    <t>zero in abs.mode</t>
  </si>
  <si>
    <t>repeated in Feb2022</t>
  </si>
  <si>
    <t xml:space="preserve">Repeated Feb. Measurements </t>
  </si>
  <si>
    <t>#</t>
  </si>
  <si>
    <t>of move</t>
  </si>
  <si>
    <t>these didm't work</t>
  </si>
  <si>
    <t>set</t>
  </si>
  <si>
    <t>mitutoyo linear gauges  values</t>
  </si>
  <si>
    <t>Meas.</t>
  </si>
  <si>
    <t>~40%</t>
  </si>
  <si>
    <r>
      <rPr>
        <b/>
        <sz val="11"/>
        <color theme="1"/>
        <rFont val="Calibri"/>
        <family val="2"/>
        <scheme val="minor"/>
      </rPr>
      <t xml:space="preserve"> February-March 2022</t>
    </r>
    <r>
      <rPr>
        <sz val="11"/>
        <color theme="1"/>
        <rFont val="Calibri"/>
        <family val="2"/>
        <scheme val="minor"/>
      </rPr>
      <t xml:space="preserve"> w/ComCom on Rotator</t>
    </r>
  </si>
  <si>
    <t>screen shot of status here</t>
  </si>
  <si>
    <t xml:space="preserve"> (before going back to zero)</t>
  </si>
  <si>
    <t>Y shift =</t>
  </si>
  <si>
    <t>Z shift =</t>
  </si>
  <si>
    <t>Rx+ =&gt;</t>
  </si>
  <si>
    <t>res offset=</t>
  </si>
  <si>
    <t>Rx from</t>
  </si>
  <si>
    <t>meas. Y</t>
  </si>
  <si>
    <t>as %</t>
  </si>
  <si>
    <t>meas. Z</t>
  </si>
  <si>
    <t>of  z  move</t>
  </si>
  <si>
    <t>of Y move</t>
  </si>
  <si>
    <t>Camera Hexapod Re-verification 2022</t>
  </si>
  <si>
    <t>Ry from</t>
  </si>
  <si>
    <t>5x=</t>
  </si>
  <si>
    <t>2x=</t>
  </si>
  <si>
    <t>1x=</t>
  </si>
  <si>
    <t xml:space="preserve">X meas. </t>
  </si>
  <si>
    <t xml:space="preserve">XY meas. </t>
  </si>
  <si>
    <t>x offsets</t>
  </si>
  <si>
    <t>Y offsets</t>
  </si>
  <si>
    <t>RX from</t>
  </si>
  <si>
    <t xml:space="preserve">Y meas. </t>
  </si>
  <si>
    <t>index</t>
  </si>
  <si>
    <t>error as</t>
  </si>
  <si>
    <t xml:space="preserve"> % of</t>
  </si>
  <si>
    <t>move</t>
  </si>
  <si>
    <t>Cam. Hexapod re-verification With ComCam mounted on Rotator on Integrator at El 0Deg</t>
  </si>
  <si>
    <t>Camera Hexapod Re-verification 2021</t>
  </si>
  <si>
    <t>(with ComCam mounted on Rotator&amp;Hexapod)</t>
  </si>
  <si>
    <t>(no load on Hexapod&amp;Rotator unit)</t>
  </si>
  <si>
    <t>does the 1um offset 3 out of 5 moves (offsets of 2um always work!)</t>
  </si>
  <si>
    <t>X error</t>
  </si>
  <si>
    <t>x-talk</t>
  </si>
  <si>
    <t>y error</t>
  </si>
  <si>
    <t>z error</t>
  </si>
  <si>
    <t>(um)</t>
  </si>
  <si>
    <t>offset removed</t>
  </si>
  <si>
    <t>raw data</t>
  </si>
  <si>
    <t>&lt;2um</t>
  </si>
  <si>
    <t>&lt;1um</t>
  </si>
  <si>
    <t>&lt;50% of move</t>
  </si>
  <si>
    <t xml:space="preserve">raw data </t>
  </si>
  <si>
    <t>&lt;8.1E-5Deg</t>
  </si>
  <si>
    <t>measured rotations</t>
  </si>
  <si>
    <t>measured w/Mitutoyo 2021</t>
  </si>
  <si>
    <t>&lt;33.0E-5Deg</t>
  </si>
  <si>
    <t>&lt;44.0E-5Deg</t>
  </si>
  <si>
    <t>one outlier error &gt;50%</t>
  </si>
  <si>
    <t>two outlier errors &gt;50%</t>
  </si>
  <si>
    <t>always does the offset</t>
  </si>
  <si>
    <t>absolurte accuracy 3.3.13  March 2022</t>
  </si>
  <si>
    <t>measured position 2022</t>
  </si>
  <si>
    <t xml:space="preserve">         Zero position of the 3 SMRs</t>
  </si>
  <si>
    <t>&lt; 24um</t>
  </si>
  <si>
    <t>&lt; 40um</t>
  </si>
  <si>
    <t>&lt; 51um</t>
  </si>
  <si>
    <t>low priority</t>
  </si>
  <si>
    <t>23/3/2022</t>
  </si>
  <si>
    <t xml:space="preserve">Zero Values </t>
  </si>
  <si>
    <t>trans. in mm</t>
  </si>
  <si>
    <t xml:space="preserve">    measured rotation angle in Deg</t>
  </si>
  <si>
    <t>LTS-206  3.3.13. Translation absolute accuracy</t>
  </si>
  <si>
    <t>LTS-206  3.3.13. Rotation Absolute Accuracy tests (assembled from positioning and maximum range data)</t>
  </si>
  <si>
    <t>&lt; 0.0006Deg</t>
  </si>
  <si>
    <t>&lt;0.0003Deg</t>
  </si>
  <si>
    <t>doing frequent zeroing</t>
  </si>
  <si>
    <t>has improved the data</t>
  </si>
  <si>
    <t>3.3.4</t>
  </si>
  <si>
    <t>rot. in Deg</t>
  </si>
  <si>
    <t>Z range in mm</t>
  </si>
  <si>
    <t>reduced laser tracker data mm</t>
  </si>
  <si>
    <t>Raw data with LT in mm</t>
  </si>
  <si>
    <t>Reduced data mm</t>
  </si>
  <si>
    <t>stdev =</t>
  </si>
  <si>
    <t>from 3.3.13</t>
  </si>
  <si>
    <t>average=</t>
  </si>
  <si>
    <t>&lt; 25um</t>
  </si>
  <si>
    <t>30/03/2022  X and Y Translational Range (MOOG 3.3.4), COR= -2758400um</t>
  </si>
  <si>
    <t xml:space="preserve">max+ </t>
  </si>
  <si>
    <t xml:space="preserve">max- </t>
  </si>
  <si>
    <t>LTS-206, 3.3.4 Maximum Z range  (added points + and -8.7mm)</t>
  </si>
  <si>
    <t>error XY</t>
  </si>
  <si>
    <t>Commanded</t>
  </si>
  <si>
    <t>&lt;15um</t>
  </si>
  <si>
    <t>~42%</t>
  </si>
  <si>
    <t>~44%</t>
  </si>
  <si>
    <r>
      <rPr>
        <sz val="10"/>
        <color rgb="FFFF0000"/>
        <rFont val="Calibri"/>
        <family val="2"/>
        <scheme val="minor"/>
      </rPr>
      <t>(**)</t>
    </r>
    <r>
      <rPr>
        <b/>
        <sz val="10"/>
        <color theme="1"/>
        <rFont val="Calibri"/>
        <family val="2"/>
        <scheme val="minor"/>
      </rPr>
      <t>Note:</t>
    </r>
    <r>
      <rPr>
        <sz val="10"/>
        <color theme="1"/>
        <rFont val="Calibri"/>
        <family val="2"/>
        <scheme val="minor"/>
      </rPr>
      <t xml:space="preserve"> In both tests 1 and 2, the few measurements </t>
    </r>
  </si>
  <si>
    <r>
      <t xml:space="preserve">YES (marginal) </t>
    </r>
    <r>
      <rPr>
        <sz val="9"/>
        <color rgb="FFFF0000"/>
        <rFont val="Calibri"/>
        <family val="2"/>
        <scheme val="minor"/>
      </rPr>
      <t>(**)</t>
    </r>
  </si>
  <si>
    <t>not meeting specs, could be due to the gauges setup</t>
  </si>
  <si>
    <t>Reduced data Deg</t>
  </si>
  <si>
    <t>error RxRy</t>
  </si>
  <si>
    <t>&lt;0.00070</t>
  </si>
  <si>
    <t>(data from big X,Y,Z  table left plus plane-to-plane</t>
  </si>
  <si>
    <t>angles obtained directly from the LT  SA  software)</t>
  </si>
  <si>
    <t xml:space="preserve"> (mm and Deg)</t>
  </si>
  <si>
    <t>max. &lt;119um</t>
  </si>
  <si>
    <t xml:space="preserve"> stdev 36um</t>
  </si>
  <si>
    <r>
      <t xml:space="preserve">Hexapod Positioning (32 positions)                                                     </t>
    </r>
    <r>
      <rPr>
        <sz val="9"/>
        <color theme="1"/>
        <rFont val="Calibri"/>
        <family val="2"/>
        <scheme val="minor"/>
      </rPr>
      <t xml:space="preserve">(LTS-206, </t>
    </r>
    <r>
      <rPr>
        <b/>
        <sz val="9"/>
        <color theme="1"/>
        <rFont val="Calibri"/>
        <family val="2"/>
        <scheme val="minor"/>
      </rPr>
      <t>3.3.1</t>
    </r>
    <r>
      <rPr>
        <sz val="9"/>
        <color theme="1"/>
        <rFont val="Calibri"/>
        <family val="2"/>
        <scheme val="minor"/>
      </rPr>
      <t>)</t>
    </r>
  </si>
  <si>
    <t>L.T. res.~30um (3 outliers)</t>
  </si>
  <si>
    <r>
      <t>max.&lt;0.004</t>
    </r>
    <r>
      <rPr>
        <sz val="8"/>
        <color theme="1"/>
        <rFont val="Calibri"/>
        <family val="2"/>
        <scheme val="minor"/>
      </rPr>
      <t>Deg</t>
    </r>
  </si>
  <si>
    <t>5. from aprox. Position #20 on, much noise on the 3rd level, due to the wash station air- knife blower going on.</t>
  </si>
  <si>
    <r>
      <t>max.&lt;0.0025</t>
    </r>
    <r>
      <rPr>
        <sz val="8"/>
        <color theme="1"/>
        <rFont val="Calibri"/>
        <family val="2"/>
        <scheme val="minor"/>
      </rPr>
      <t>Deg</t>
    </r>
  </si>
  <si>
    <t xml:space="preserve">max.&lt;30um </t>
  </si>
  <si>
    <t>6 outliers (due to noise)</t>
  </si>
  <si>
    <t xml:space="preserve">absolute accuracy </t>
  </si>
  <si>
    <t>cross talk</t>
  </si>
  <si>
    <t>max.</t>
  </si>
  <si>
    <t>aver.</t>
  </si>
  <si>
    <t>stdev.</t>
  </si>
  <si>
    <t>24/03/2022</t>
  </si>
  <si>
    <t>0Deg</t>
  </si>
  <si>
    <t>&lt; 50um</t>
  </si>
  <si>
    <t>&lt; 17um</t>
  </si>
  <si>
    <t>&lt; 13um</t>
  </si>
  <si>
    <t>Yes (marginal)</t>
  </si>
  <si>
    <t>Stdev =0.0020Deg</t>
  </si>
  <si>
    <t>max.&lt;0.0037Deg</t>
  </si>
  <si>
    <t>&lt;0.0049Deg</t>
  </si>
  <si>
    <t>|Angle°|</t>
  </si>
  <si>
    <t>Y (=Z*Rx)</t>
  </si>
  <si>
    <t>from 2021</t>
  </si>
  <si>
    <t>Data</t>
  </si>
  <si>
    <t>from data 2022</t>
  </si>
  <si>
    <t>shift</t>
  </si>
  <si>
    <t xml:space="preserve">measured </t>
  </si>
  <si>
    <t>minus</t>
  </si>
  <si>
    <t>max.&lt;19um</t>
  </si>
  <si>
    <t>error mm</t>
  </si>
  <si>
    <t xml:space="preserve">offset </t>
  </si>
  <si>
    <t>30/03/2022  Rx and Ry rotational Range (MOOG 3.3.8)</t>
  </si>
  <si>
    <t>the tilt induced displacement calculations: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</si>
</sst>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00000"/>
    <numFmt numFmtId="166" formatCode="0.000"/>
    <numFmt numFmtId="167" formatCode="0.0000"/>
    <numFmt numFmtId="168" formatCode="0.0000000"/>
    <numFmt numFmtId="169" formatCode="0.0"/>
    <numFmt numFmtId="170" formatCode="&quot;$&quot;#,##0.0000"/>
    <numFmt numFmtId="171" formatCode="0.000000000"/>
    <numFmt numFmtId="172" formatCode="0.0E+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 tint="-0.2499465926084170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2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0.3999450666829432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5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9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9"/>
      <color theme="5"/>
      <name val="Calibri"/>
      <family val="2"/>
      <scheme val="minor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tted">
        <color indexed="64"/>
      </right>
      <top/>
      <bottom style="thin">
        <color indexed="64"/>
      </bottom>
      <diagonal/>
    </border>
    <border>
      <left style="dashed">
        <color indexed="64"/>
      </left>
      <right style="dotted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58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4" xfId="0" applyBorder="1"/>
    <xf numFmtId="166" fontId="0" fillId="0" borderId="14" xfId="0" applyNumberFormat="1" applyBorder="1"/>
    <xf numFmtId="166" fontId="0" fillId="0" borderId="0" xfId="0" applyNumberFormat="1" applyBorder="1"/>
    <xf numFmtId="166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164" fontId="20" fillId="0" borderId="0" xfId="0" applyNumberFormat="1" applyFont="1" applyBorder="1"/>
    <xf numFmtId="164" fontId="20" fillId="0" borderId="10" xfId="0" applyNumberFormat="1" applyFont="1" applyBorder="1"/>
    <xf numFmtId="167" fontId="0" fillId="0" borderId="18" xfId="0" applyNumberFormat="1" applyBorder="1"/>
    <xf numFmtId="167" fontId="0" fillId="0" borderId="0" xfId="0" applyNumberFormat="1" applyBorder="1"/>
    <xf numFmtId="167" fontId="0" fillId="0" borderId="10" xfId="0" applyNumberFormat="1" applyBorder="1"/>
    <xf numFmtId="167" fontId="0" fillId="0" borderId="21" xfId="0" applyNumberFormat="1" applyBorder="1"/>
    <xf numFmtId="167" fontId="0" fillId="0" borderId="22" xfId="0" applyNumberFormat="1" applyBorder="1"/>
    <xf numFmtId="167" fontId="20" fillId="0" borderId="18" xfId="0" applyNumberFormat="1" applyFont="1" applyBorder="1"/>
    <xf numFmtId="167" fontId="20" fillId="0" borderId="0" xfId="0" applyNumberFormat="1" applyFont="1" applyBorder="1"/>
    <xf numFmtId="167" fontId="20" fillId="0" borderId="10" xfId="0" applyNumberFormat="1" applyFont="1" applyBorder="1"/>
    <xf numFmtId="167" fontId="20" fillId="0" borderId="12" xfId="0" applyNumberFormat="1" applyFont="1" applyBorder="1"/>
    <xf numFmtId="167" fontId="20" fillId="0" borderId="13" xfId="0" applyNumberFormat="1" applyFont="1" applyBorder="1"/>
    <xf numFmtId="167" fontId="0" fillId="0" borderId="23" xfId="0" applyNumberFormat="1" applyBorder="1"/>
    <xf numFmtId="0" fontId="0" fillId="0" borderId="15" xfId="0" applyBorder="1"/>
    <xf numFmtId="167" fontId="0" fillId="0" borderId="12" xfId="0" applyNumberFormat="1" applyBorder="1"/>
    <xf numFmtId="167" fontId="0" fillId="0" borderId="13" xfId="0" applyNumberFormat="1" applyBorder="1"/>
    <xf numFmtId="164" fontId="0" fillId="0" borderId="23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20" fillId="0" borderId="24" xfId="0" applyNumberFormat="1" applyFont="1" applyBorder="1"/>
    <xf numFmtId="164" fontId="20" fillId="0" borderId="12" xfId="0" applyNumberFormat="1" applyFont="1" applyBorder="1"/>
    <xf numFmtId="164" fontId="20" fillId="0" borderId="13" xfId="0" applyNumberFormat="1" applyFont="1" applyBorder="1"/>
    <xf numFmtId="164" fontId="20" fillId="0" borderId="23" xfId="0" applyNumberFormat="1" applyFont="1" applyBorder="1"/>
    <xf numFmtId="0" fontId="0" fillId="0" borderId="28" xfId="0" applyBorder="1"/>
    <xf numFmtId="0" fontId="0" fillId="0" borderId="0" xfId="0" applyFill="1" applyBorder="1"/>
    <xf numFmtId="167" fontId="0" fillId="0" borderId="31" xfId="0" applyNumberFormat="1" applyBorder="1"/>
    <xf numFmtId="167" fontId="20" fillId="0" borderId="31" xfId="0" applyNumberFormat="1" applyFont="1" applyBorder="1"/>
    <xf numFmtId="167" fontId="20" fillId="0" borderId="30" xfId="0" applyNumberFormat="1" applyFont="1" applyBorder="1"/>
    <xf numFmtId="0" fontId="16" fillId="0" borderId="11" xfId="0" applyFont="1" applyBorder="1"/>
    <xf numFmtId="0" fontId="16" fillId="0" borderId="14" xfId="0" applyFont="1" applyBorder="1"/>
    <xf numFmtId="0" fontId="16" fillId="0" borderId="0" xfId="0" applyFont="1" applyBorder="1"/>
    <xf numFmtId="167" fontId="0" fillId="0" borderId="0" xfId="0" applyNumberFormat="1"/>
    <xf numFmtId="0" fontId="0" fillId="33" borderId="14" xfId="0" applyFill="1" applyBorder="1"/>
    <xf numFmtId="0" fontId="0" fillId="33" borderId="0" xfId="0" applyFill="1" applyBorder="1"/>
    <xf numFmtId="0" fontId="0" fillId="0" borderId="14" xfId="0" applyFont="1" applyBorder="1"/>
    <xf numFmtId="0" fontId="0" fillId="0" borderId="0" xfId="0" applyFont="1" applyBorder="1"/>
    <xf numFmtId="167" fontId="0" fillId="0" borderId="0" xfId="0" applyNumberFormat="1" applyFont="1" applyBorder="1"/>
    <xf numFmtId="167" fontId="19" fillId="0" borderId="0" xfId="0" applyNumberFormat="1" applyFont="1" applyFill="1" applyBorder="1"/>
    <xf numFmtId="167" fontId="20" fillId="0" borderId="35" xfId="0" applyNumberFormat="1" applyFont="1" applyBorder="1"/>
    <xf numFmtId="167" fontId="20" fillId="0" borderId="33" xfId="0" applyNumberFormat="1" applyFont="1" applyBorder="1"/>
    <xf numFmtId="167" fontId="0" fillId="33" borderId="31" xfId="0" applyNumberFormat="1" applyFill="1" applyBorder="1"/>
    <xf numFmtId="167" fontId="0" fillId="33" borderId="0" xfId="0" applyNumberFormat="1" applyFill="1" applyBorder="1"/>
    <xf numFmtId="164" fontId="0" fillId="33" borderId="23" xfId="0" applyNumberFormat="1" applyFill="1" applyBorder="1"/>
    <xf numFmtId="164" fontId="0" fillId="33" borderId="0" xfId="0" applyNumberFormat="1" applyFill="1" applyBorder="1"/>
    <xf numFmtId="164" fontId="0" fillId="33" borderId="10" xfId="0" applyNumberFormat="1" applyFill="1" applyBorder="1"/>
    <xf numFmtId="0" fontId="0" fillId="33" borderId="15" xfId="0" applyFill="1" applyBorder="1"/>
    <xf numFmtId="0" fontId="0" fillId="34" borderId="0" xfId="0" applyFill="1"/>
    <xf numFmtId="167" fontId="20" fillId="0" borderId="0" xfId="0" applyNumberFormat="1" applyFont="1" applyFill="1" applyBorder="1"/>
    <xf numFmtId="167" fontId="20" fillId="0" borderId="35" xfId="0" applyNumberFormat="1" applyFont="1" applyFill="1" applyBorder="1"/>
    <xf numFmtId="0" fontId="0" fillId="35" borderId="10" xfId="0" applyFill="1" applyBorder="1"/>
    <xf numFmtId="167" fontId="0" fillId="0" borderId="15" xfId="0" applyNumberFormat="1" applyBorder="1"/>
    <xf numFmtId="166" fontId="0" fillId="0" borderId="18" xfId="0" applyNumberFormat="1" applyBorder="1"/>
    <xf numFmtId="166" fontId="20" fillId="0" borderId="0" xfId="0" applyNumberFormat="1" applyFont="1" applyFill="1"/>
    <xf numFmtId="166" fontId="0" fillId="0" borderId="20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0" xfId="0" applyNumberFormat="1" applyFill="1" applyBorder="1"/>
    <xf numFmtId="167" fontId="0" fillId="0" borderId="23" xfId="0" applyNumberFormat="1" applyFill="1" applyBorder="1"/>
    <xf numFmtId="167" fontId="20" fillId="0" borderId="12" xfId="0" applyNumberFormat="1" applyFont="1" applyFill="1" applyBorder="1"/>
    <xf numFmtId="167" fontId="20" fillId="0" borderId="13" xfId="0" applyNumberFormat="1" applyFont="1" applyFill="1" applyBorder="1"/>
    <xf numFmtId="166" fontId="0" fillId="34" borderId="0" xfId="0" applyNumberFormat="1" applyFill="1" applyBorder="1"/>
    <xf numFmtId="166" fontId="0" fillId="34" borderId="17" xfId="0" applyNumberFormat="1" applyFill="1" applyBorder="1"/>
    <xf numFmtId="0" fontId="0" fillId="34" borderId="18" xfId="0" applyFill="1" applyBorder="1"/>
    <xf numFmtId="166" fontId="0" fillId="34" borderId="14" xfId="0" applyNumberFormat="1" applyFill="1" applyBorder="1"/>
    <xf numFmtId="0" fontId="0" fillId="34" borderId="0" xfId="0" applyFill="1" applyBorder="1"/>
    <xf numFmtId="166" fontId="0" fillId="34" borderId="20" xfId="0" applyNumberFormat="1" applyFill="1" applyBorder="1"/>
    <xf numFmtId="166" fontId="0" fillId="34" borderId="21" xfId="0" applyNumberFormat="1" applyFill="1" applyBorder="1"/>
    <xf numFmtId="0" fontId="0" fillId="34" borderId="21" xfId="0" applyFill="1" applyBorder="1"/>
    <xf numFmtId="0" fontId="0" fillId="34" borderId="12" xfId="0" applyFill="1" applyBorder="1"/>
    <xf numFmtId="0" fontId="24" fillId="0" borderId="14" xfId="0" applyFont="1" applyFill="1" applyBorder="1"/>
    <xf numFmtId="167" fontId="0" fillId="34" borderId="12" xfId="0" applyNumberFormat="1" applyFill="1" applyBorder="1"/>
    <xf numFmtId="0" fontId="0" fillId="0" borderId="19" xfId="0" applyBorder="1"/>
    <xf numFmtId="0" fontId="0" fillId="0" borderId="22" xfId="0" applyBorder="1"/>
    <xf numFmtId="167" fontId="0" fillId="33" borderId="20" xfId="0" applyNumberFormat="1" applyFont="1" applyFill="1" applyBorder="1"/>
    <xf numFmtId="167" fontId="0" fillId="33" borderId="21" xfId="0" applyNumberFormat="1" applyFill="1" applyBorder="1"/>
    <xf numFmtId="167" fontId="21" fillId="33" borderId="34" xfId="0" applyNumberFormat="1" applyFont="1" applyFill="1" applyBorder="1"/>
    <xf numFmtId="167" fontId="0" fillId="33" borderId="22" xfId="0" applyNumberForma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67" fontId="0" fillId="33" borderId="30" xfId="0" applyNumberFormat="1" applyFill="1" applyBorder="1" applyAlignment="1">
      <alignment horizontal="center"/>
    </xf>
    <xf numFmtId="167" fontId="0" fillId="33" borderId="12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164" fontId="0" fillId="33" borderId="12" xfId="0" applyNumberFormat="1" applyFill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167" fontId="0" fillId="33" borderId="21" xfId="0" applyNumberFormat="1" applyFill="1" applyBorder="1" applyAlignment="1">
      <alignment horizontal="center"/>
    </xf>
    <xf numFmtId="167" fontId="0" fillId="33" borderId="34" xfId="0" applyNumberFormat="1" applyFill="1" applyBorder="1" applyAlignment="1">
      <alignment horizontal="center"/>
    </xf>
    <xf numFmtId="167" fontId="0" fillId="33" borderId="22" xfId="0" applyNumberFormat="1" applyFill="1" applyBorder="1" applyAlignment="1">
      <alignment horizontal="center"/>
    </xf>
    <xf numFmtId="0" fontId="0" fillId="33" borderId="28" xfId="0" applyFill="1" applyBorder="1"/>
    <xf numFmtId="0" fontId="25" fillId="0" borderId="0" xfId="0" applyFont="1"/>
    <xf numFmtId="0" fontId="24" fillId="0" borderId="15" xfId="0" applyFont="1" applyFill="1" applyBorder="1"/>
    <xf numFmtId="0" fontId="0" fillId="0" borderId="15" xfId="0" applyFill="1" applyBorder="1"/>
    <xf numFmtId="0" fontId="20" fillId="0" borderId="15" xfId="0" applyFont="1" applyFill="1" applyBorder="1"/>
    <xf numFmtId="0" fontId="23" fillId="0" borderId="15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horizontal="center"/>
    </xf>
    <xf numFmtId="0" fontId="0" fillId="0" borderId="27" xfId="0" applyFill="1" applyBorder="1"/>
    <xf numFmtId="0" fontId="0" fillId="0" borderId="28" xfId="0" applyFill="1" applyBorder="1"/>
    <xf numFmtId="167" fontId="20" fillId="0" borderId="10" xfId="0" applyNumberFormat="1" applyFont="1" applyFill="1" applyBorder="1"/>
    <xf numFmtId="167" fontId="19" fillId="0" borderId="10" xfId="0" applyNumberFormat="1" applyFont="1" applyFill="1" applyBorder="1"/>
    <xf numFmtId="167" fontId="19" fillId="0" borderId="23" xfId="0" applyNumberFormat="1" applyFont="1" applyFill="1" applyBorder="1"/>
    <xf numFmtId="167" fontId="20" fillId="0" borderId="23" xfId="0" applyNumberFormat="1" applyFont="1" applyFill="1" applyBorder="1"/>
    <xf numFmtId="166" fontId="20" fillId="0" borderId="0" xfId="0" applyNumberFormat="1" applyFont="1" applyBorder="1"/>
    <xf numFmtId="1" fontId="0" fillId="0" borderId="0" xfId="0" applyNumberFormat="1"/>
    <xf numFmtId="1" fontId="0" fillId="0" borderId="12" xfId="0" applyNumberFormat="1" applyBorder="1"/>
    <xf numFmtId="1" fontId="0" fillId="0" borderId="13" xfId="0" applyNumberFormat="1" applyBorder="1"/>
    <xf numFmtId="166" fontId="0" fillId="0" borderId="12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0" borderId="17" xfId="0" applyNumberFormat="1" applyBorder="1"/>
    <xf numFmtId="1" fontId="0" fillId="0" borderId="20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27" xfId="0" applyBorder="1"/>
    <xf numFmtId="166" fontId="0" fillId="0" borderId="15" xfId="0" applyNumberFormat="1" applyBorder="1"/>
    <xf numFmtId="0" fontId="0" fillId="0" borderId="16" xfId="0" applyBorder="1"/>
    <xf numFmtId="166" fontId="0" fillId="0" borderId="28" xfId="0" applyNumberFormat="1" applyBorder="1"/>
    <xf numFmtId="0" fontId="0" fillId="0" borderId="10" xfId="0" applyBorder="1"/>
    <xf numFmtId="166" fontId="0" fillId="0" borderId="16" xfId="0" applyNumberFormat="1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16" fillId="0" borderId="0" xfId="0" applyFont="1"/>
    <xf numFmtId="11" fontId="0" fillId="0" borderId="20" xfId="0" applyNumberFormat="1" applyBorder="1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166" fontId="0" fillId="0" borderId="27" xfId="0" applyNumberFormat="1" applyBorder="1"/>
    <xf numFmtId="167" fontId="0" fillId="0" borderId="0" xfId="0" applyNumberFormat="1" applyFill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3" xfId="0" applyNumberFormat="1" applyBorder="1"/>
    <xf numFmtId="1" fontId="0" fillId="0" borderId="0" xfId="0" applyNumberFormat="1" applyFill="1" applyBorder="1"/>
    <xf numFmtId="167" fontId="0" fillId="0" borderId="12" xfId="0" applyNumberFormat="1" applyFill="1" applyBorder="1"/>
    <xf numFmtId="167" fontId="0" fillId="0" borderId="11" xfId="0" applyNumberFormat="1" applyBorder="1"/>
    <xf numFmtId="11" fontId="0" fillId="0" borderId="11" xfId="0" applyNumberFormat="1" applyFill="1" applyBorder="1" applyAlignment="1">
      <alignment horizontal="center"/>
    </xf>
    <xf numFmtId="167" fontId="0" fillId="0" borderId="14" xfId="0" applyNumberFormat="1" applyBorder="1"/>
    <xf numFmtId="166" fontId="0" fillId="34" borderId="12" xfId="0" applyNumberFormat="1" applyFill="1" applyBorder="1"/>
    <xf numFmtId="1" fontId="0" fillId="0" borderId="14" xfId="0" applyNumberFormat="1" applyFill="1" applyBorder="1"/>
    <xf numFmtId="1" fontId="0" fillId="0" borderId="10" xfId="0" applyNumberFormat="1" applyFill="1" applyBorder="1"/>
    <xf numFmtId="167" fontId="0" fillId="0" borderId="10" xfId="0" applyNumberFormat="1" applyFill="1" applyBorder="1"/>
    <xf numFmtId="167" fontId="0" fillId="0" borderId="19" xfId="0" applyNumberFormat="1" applyBorder="1"/>
    <xf numFmtId="167" fontId="0" fillId="0" borderId="18" xfId="0" applyNumberFormat="1" applyFill="1" applyBorder="1"/>
    <xf numFmtId="167" fontId="0" fillId="0" borderId="14" xfId="0" applyNumberFormat="1" applyFill="1" applyBorder="1"/>
    <xf numFmtId="167" fontId="0" fillId="0" borderId="20" xfId="0" applyNumberFormat="1" applyFill="1" applyBorder="1"/>
    <xf numFmtId="167" fontId="0" fillId="0" borderId="21" xfId="0" applyNumberFormat="1" applyFill="1" applyBorder="1"/>
    <xf numFmtId="166" fontId="0" fillId="0" borderId="17" xfId="0" applyNumberFormat="1" applyBorder="1"/>
    <xf numFmtId="166" fontId="0" fillId="0" borderId="19" xfId="0" applyNumberFormat="1" applyBorder="1"/>
    <xf numFmtId="1" fontId="0" fillId="0" borderId="17" xfId="0" applyNumberFormat="1" applyFill="1" applyBorder="1"/>
    <xf numFmtId="1" fontId="0" fillId="0" borderId="20" xfId="0" applyNumberFormat="1" applyFill="1" applyBorder="1"/>
    <xf numFmtId="1" fontId="0" fillId="0" borderId="21" xfId="0" applyNumberFormat="1" applyFill="1" applyBorder="1"/>
    <xf numFmtId="0" fontId="16" fillId="0" borderId="17" xfId="0" applyFont="1" applyBorder="1"/>
    <xf numFmtId="1" fontId="0" fillId="0" borderId="12" xfId="0" applyNumberFormat="1" applyFill="1" applyBorder="1"/>
    <xf numFmtId="167" fontId="0" fillId="0" borderId="14" xfId="0" applyNumberFormat="1" applyBorder="1" applyAlignment="1">
      <alignment horizontal="center"/>
    </xf>
    <xf numFmtId="1" fontId="0" fillId="0" borderId="11" xfId="0" applyNumberFormat="1" applyFill="1" applyBorder="1"/>
    <xf numFmtId="166" fontId="0" fillId="34" borderId="13" xfId="0" applyNumberFormat="1" applyFill="1" applyBorder="1"/>
    <xf numFmtId="0" fontId="0" fillId="0" borderId="17" xfId="0" applyBorder="1" applyAlignment="1">
      <alignment horizontal="center"/>
    </xf>
    <xf numFmtId="166" fontId="0" fillId="0" borderId="15" xfId="0" applyNumberFormat="1" applyFill="1" applyBorder="1"/>
    <xf numFmtId="166" fontId="0" fillId="34" borderId="0" xfId="0" applyNumberFormat="1" applyFill="1"/>
    <xf numFmtId="0" fontId="0" fillId="0" borderId="0" xfId="0" applyFill="1" applyBorder="1" applyAlignment="1">
      <alignment horizontal="center"/>
    </xf>
    <xf numFmtId="0" fontId="0" fillId="0" borderId="14" xfId="0" applyFill="1" applyBorder="1"/>
    <xf numFmtId="0" fontId="0" fillId="0" borderId="11" xfId="0" applyFill="1" applyBorder="1"/>
    <xf numFmtId="1" fontId="20" fillId="0" borderId="31" xfId="0" applyNumberFormat="1" applyFont="1" applyBorder="1"/>
    <xf numFmtId="1" fontId="20" fillId="0" borderId="0" xfId="0" applyNumberFormat="1" applyFont="1" applyBorder="1"/>
    <xf numFmtId="1" fontId="20" fillId="0" borderId="10" xfId="0" applyNumberFormat="1" applyFont="1" applyBorder="1"/>
    <xf numFmtId="1" fontId="0" fillId="0" borderId="31" xfId="0" applyNumberFormat="1" applyBorder="1"/>
    <xf numFmtId="1" fontId="0" fillId="0" borderId="23" xfId="0" applyNumberFormat="1" applyBorder="1"/>
    <xf numFmtId="166" fontId="20" fillId="34" borderId="0" xfId="0" applyNumberFormat="1" applyFont="1" applyFill="1" applyBorder="1"/>
    <xf numFmtId="166" fontId="20" fillId="0" borderId="0" xfId="0" applyNumberFormat="1" applyFont="1" applyFill="1" applyBorder="1"/>
    <xf numFmtId="166" fontId="0" fillId="0" borderId="0" xfId="0" applyNumberFormat="1" applyFill="1"/>
    <xf numFmtId="0" fontId="0" fillId="0" borderId="10" xfId="0" applyFill="1" applyBorder="1"/>
    <xf numFmtId="167" fontId="0" fillId="0" borderId="0" xfId="0" applyNumberFormat="1" applyFill="1"/>
    <xf numFmtId="167" fontId="0" fillId="0" borderId="15" xfId="0" applyNumberFormat="1" applyFill="1" applyBorder="1"/>
    <xf numFmtId="0" fontId="0" fillId="0" borderId="0" xfId="0" applyFill="1"/>
    <xf numFmtId="167" fontId="20" fillId="0" borderId="33" xfId="0" applyNumberFormat="1" applyFont="1" applyFill="1" applyBorder="1"/>
    <xf numFmtId="167" fontId="14" fillId="0" borderId="12" xfId="0" applyNumberFormat="1" applyFont="1" applyFill="1" applyBorder="1"/>
    <xf numFmtId="0" fontId="0" fillId="0" borderId="22" xfId="0" applyFill="1" applyBorder="1"/>
    <xf numFmtId="167" fontId="0" fillId="0" borderId="28" xfId="0" applyNumberFormat="1" applyFill="1" applyBorder="1"/>
    <xf numFmtId="0" fontId="0" fillId="0" borderId="13" xfId="0" applyFill="1" applyBorder="1"/>
    <xf numFmtId="167" fontId="0" fillId="0" borderId="11" xfId="0" applyNumberFormat="1" applyFill="1" applyBorder="1"/>
    <xf numFmtId="167" fontId="20" fillId="0" borderId="18" xfId="0" applyNumberFormat="1" applyFont="1" applyFill="1" applyBorder="1"/>
    <xf numFmtId="167" fontId="20" fillId="0" borderId="25" xfId="0" applyNumberFormat="1" applyFont="1" applyFill="1" applyBorder="1"/>
    <xf numFmtId="167" fontId="20" fillId="0" borderId="19" xfId="0" applyNumberFormat="1" applyFont="1" applyFill="1" applyBorder="1"/>
    <xf numFmtId="0" fontId="0" fillId="0" borderId="19" xfId="0" applyFill="1" applyBorder="1"/>
    <xf numFmtId="167" fontId="0" fillId="0" borderId="27" xfId="0" applyNumberFormat="1" applyFill="1" applyBorder="1"/>
    <xf numFmtId="167" fontId="20" fillId="0" borderId="21" xfId="0" applyNumberFormat="1" applyFont="1" applyFill="1" applyBorder="1"/>
    <xf numFmtId="167" fontId="20" fillId="0" borderId="26" xfId="0" applyNumberFormat="1" applyFont="1" applyFill="1" applyBorder="1"/>
    <xf numFmtId="167" fontId="20" fillId="0" borderId="22" xfId="0" applyNumberFormat="1" applyFont="1" applyFill="1" applyBorder="1"/>
    <xf numFmtId="166" fontId="0" fillId="0" borderId="18" xfId="0" applyNumberFormat="1" applyFill="1" applyBorder="1"/>
    <xf numFmtId="0" fontId="0" fillId="0" borderId="18" xfId="0" applyFill="1" applyBorder="1"/>
    <xf numFmtId="166" fontId="0" fillId="0" borderId="14" xfId="0" applyNumberFormat="1" applyFill="1" applyBorder="1"/>
    <xf numFmtId="166" fontId="0" fillId="0" borderId="20" xfId="0" applyNumberFormat="1" applyFill="1" applyBorder="1"/>
    <xf numFmtId="166" fontId="0" fillId="0" borderId="21" xfId="0" applyNumberFormat="1" applyFill="1" applyBorder="1"/>
    <xf numFmtId="0" fontId="0" fillId="0" borderId="21" xfId="0" applyFill="1" applyBorder="1"/>
    <xf numFmtId="0" fontId="0" fillId="0" borderId="17" xfId="0" applyFill="1" applyBorder="1"/>
    <xf numFmtId="2" fontId="20" fillId="0" borderId="0" xfId="0" applyNumberFormat="1" applyFont="1" applyFill="1" applyBorder="1"/>
    <xf numFmtId="2" fontId="20" fillId="0" borderId="21" xfId="0" applyNumberFormat="1" applyFont="1" applyFill="1" applyBorder="1"/>
    <xf numFmtId="166" fontId="0" fillId="0" borderId="12" xfId="0" applyNumberFormat="1" applyFill="1" applyBorder="1"/>
    <xf numFmtId="0" fontId="0" fillId="0" borderId="20" xfId="0" applyFill="1" applyBorder="1"/>
    <xf numFmtId="1" fontId="20" fillId="0" borderId="31" xfId="0" applyNumberFormat="1" applyFont="1" applyFill="1" applyBorder="1"/>
    <xf numFmtId="1" fontId="20" fillId="0" borderId="0" xfId="0" applyNumberFormat="1" applyFont="1" applyFill="1" applyBorder="1"/>
    <xf numFmtId="1" fontId="20" fillId="0" borderId="23" xfId="0" applyNumberFormat="1" applyFont="1" applyFill="1" applyBorder="1"/>
    <xf numFmtId="1" fontId="20" fillId="0" borderId="10" xfId="0" applyNumberFormat="1" applyFont="1" applyFill="1" applyBorder="1"/>
    <xf numFmtId="1" fontId="20" fillId="0" borderId="29" xfId="0" applyNumberFormat="1" applyFont="1" applyFill="1" applyBorder="1"/>
    <xf numFmtId="1" fontId="20" fillId="0" borderId="18" xfId="0" applyNumberFormat="1" applyFont="1" applyFill="1" applyBorder="1"/>
    <xf numFmtId="1" fontId="20" fillId="0" borderId="25" xfId="0" applyNumberFormat="1" applyFont="1" applyFill="1" applyBorder="1"/>
    <xf numFmtId="1" fontId="20" fillId="0" borderId="19" xfId="0" applyNumberFormat="1" applyFont="1" applyFill="1" applyBorder="1"/>
    <xf numFmtId="1" fontId="20" fillId="0" borderId="32" xfId="0" applyNumberFormat="1" applyFont="1" applyFill="1" applyBorder="1"/>
    <xf numFmtId="1" fontId="20" fillId="0" borderId="21" xfId="0" applyNumberFormat="1" applyFont="1" applyFill="1" applyBorder="1"/>
    <xf numFmtId="1" fontId="20" fillId="0" borderId="26" xfId="0" applyNumberFormat="1" applyFont="1" applyFill="1" applyBorder="1"/>
    <xf numFmtId="1" fontId="20" fillId="0" borderId="22" xfId="0" applyNumberFormat="1" applyFont="1" applyFill="1" applyBorder="1"/>
    <xf numFmtId="0" fontId="18" fillId="0" borderId="16" xfId="0" applyFont="1" applyFill="1" applyBorder="1"/>
    <xf numFmtId="1" fontId="19" fillId="0" borderId="0" xfId="0" applyNumberFormat="1" applyFont="1" applyFill="1" applyBorder="1"/>
    <xf numFmtId="165" fontId="0" fillId="0" borderId="21" xfId="0" applyNumberFormat="1" applyFill="1" applyBorder="1"/>
    <xf numFmtId="0" fontId="22" fillId="0" borderId="0" xfId="0" applyFont="1" applyFill="1"/>
    <xf numFmtId="1" fontId="0" fillId="0" borderId="31" xfId="0" applyNumberFormat="1" applyFill="1" applyBorder="1"/>
    <xf numFmtId="1" fontId="0" fillId="0" borderId="23" xfId="0" applyNumberFormat="1" applyFill="1" applyBorder="1"/>
    <xf numFmtId="167" fontId="20" fillId="0" borderId="29" xfId="0" applyNumberFormat="1" applyFont="1" applyBorder="1"/>
    <xf numFmtId="164" fontId="20" fillId="0" borderId="25" xfId="0" applyNumberFormat="1" applyFont="1" applyBorder="1"/>
    <xf numFmtId="164" fontId="20" fillId="0" borderId="18" xfId="0" applyNumberFormat="1" applyFont="1" applyBorder="1"/>
    <xf numFmtId="164" fontId="20" fillId="0" borderId="19" xfId="0" applyNumberFormat="1" applyFont="1" applyBorder="1"/>
    <xf numFmtId="167" fontId="20" fillId="0" borderId="36" xfId="0" applyNumberFormat="1" applyFont="1" applyBorder="1"/>
    <xf numFmtId="1" fontId="20" fillId="0" borderId="30" xfId="0" applyNumberFormat="1" applyFont="1" applyBorder="1"/>
    <xf numFmtId="1" fontId="20" fillId="0" borderId="12" xfId="0" applyNumberFormat="1" applyFont="1" applyBorder="1"/>
    <xf numFmtId="1" fontId="20" fillId="0" borderId="13" xfId="0" applyNumberFormat="1" applyFont="1" applyBorder="1"/>
    <xf numFmtId="166" fontId="20" fillId="0" borderId="12" xfId="0" applyNumberFormat="1" applyFont="1" applyBorder="1"/>
    <xf numFmtId="0" fontId="0" fillId="35" borderId="13" xfId="0" applyFill="1" applyBorder="1"/>
    <xf numFmtId="167" fontId="0" fillId="0" borderId="16" xfId="0" applyNumberFormat="1" applyBorder="1"/>
    <xf numFmtId="166" fontId="20" fillId="34" borderId="12" xfId="0" applyNumberFormat="1" applyFont="1" applyFill="1" applyBorder="1"/>
    <xf numFmtId="167" fontId="0" fillId="34" borderId="15" xfId="0" applyNumberFormat="1" applyFill="1" applyBorder="1"/>
    <xf numFmtId="166" fontId="0" fillId="34" borderId="15" xfId="0" applyNumberFormat="1" applyFill="1" applyBorder="1"/>
    <xf numFmtId="166" fontId="0" fillId="0" borderId="14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6" fontId="20" fillId="0" borderId="14" xfId="0" applyNumberFormat="1" applyFont="1" applyBorder="1"/>
    <xf numFmtId="167" fontId="20" fillId="0" borderId="34" xfId="0" applyNumberFormat="1" applyFont="1" applyFill="1" applyBorder="1"/>
    <xf numFmtId="1" fontId="20" fillId="0" borderId="30" xfId="0" applyNumberFormat="1" applyFont="1" applyFill="1" applyBorder="1"/>
    <xf numFmtId="1" fontId="20" fillId="0" borderId="12" xfId="0" applyNumberFormat="1" applyFont="1" applyFill="1" applyBorder="1"/>
    <xf numFmtId="1" fontId="20" fillId="0" borderId="24" xfId="0" applyNumberFormat="1" applyFont="1" applyFill="1" applyBorder="1"/>
    <xf numFmtId="1" fontId="20" fillId="0" borderId="13" xfId="0" applyNumberFormat="1" applyFont="1" applyFill="1" applyBorder="1"/>
    <xf numFmtId="167" fontId="20" fillId="0" borderId="24" xfId="0" applyNumberFormat="1" applyFont="1" applyFill="1" applyBorder="1"/>
    <xf numFmtId="166" fontId="20" fillId="0" borderId="13" xfId="0" applyNumberFormat="1" applyFont="1" applyFill="1" applyBorder="1"/>
    <xf numFmtId="0" fontId="0" fillId="0" borderId="21" xfId="0" applyFont="1" applyBorder="1"/>
    <xf numFmtId="0" fontId="0" fillId="0" borderId="37" xfId="0" applyFill="1" applyBorder="1"/>
    <xf numFmtId="0" fontId="0" fillId="0" borderId="15" xfId="0" applyFill="1" applyBorder="1" applyAlignment="1"/>
    <xf numFmtId="165" fontId="0" fillId="0" borderId="12" xfId="0" applyNumberFormat="1" applyFill="1" applyBorder="1"/>
    <xf numFmtId="166" fontId="0" fillId="0" borderId="11" xfId="0" applyNumberFormat="1" applyFill="1" applyBorder="1"/>
    <xf numFmtId="167" fontId="0" fillId="0" borderId="16" xfId="0" applyNumberFormat="1" applyFill="1" applyBorder="1"/>
    <xf numFmtId="2" fontId="20" fillId="0" borderId="31" xfId="0" applyNumberFormat="1" applyFont="1" applyFill="1" applyBorder="1"/>
    <xf numFmtId="2" fontId="20" fillId="0" borderId="23" xfId="0" applyNumberFormat="1" applyFont="1" applyFill="1" applyBorder="1"/>
    <xf numFmtId="2" fontId="20" fillId="0" borderId="10" xfId="0" applyNumberFormat="1" applyFont="1" applyFill="1" applyBorder="1"/>
    <xf numFmtId="2" fontId="20" fillId="0" borderId="32" xfId="0" applyNumberFormat="1" applyFont="1" applyFill="1" applyBorder="1"/>
    <xf numFmtId="2" fontId="20" fillId="0" borderId="22" xfId="0" applyNumberFormat="1" applyFont="1" applyFill="1" applyBorder="1"/>
    <xf numFmtId="167" fontId="20" fillId="0" borderId="21" xfId="0" applyNumberFormat="1" applyFont="1" applyBorder="1"/>
    <xf numFmtId="164" fontId="20" fillId="0" borderId="21" xfId="0" applyNumberFormat="1" applyFont="1" applyBorder="1"/>
    <xf numFmtId="164" fontId="20" fillId="0" borderId="22" xfId="0" applyNumberFormat="1" applyFont="1" applyBorder="1"/>
    <xf numFmtId="167" fontId="19" fillId="0" borderId="21" xfId="0" applyNumberFormat="1" applyFont="1" applyBorder="1"/>
    <xf numFmtId="167" fontId="19" fillId="0" borderId="34" xfId="0" applyNumberFormat="1" applyFont="1" applyBorder="1"/>
    <xf numFmtId="164" fontId="27" fillId="0" borderId="21" xfId="0" applyNumberFormat="1" applyFont="1" applyBorder="1"/>
    <xf numFmtId="164" fontId="27" fillId="0" borderId="22" xfId="0" applyNumberFormat="1" applyFont="1" applyBorder="1"/>
    <xf numFmtId="167" fontId="19" fillId="0" borderId="31" xfId="0" applyNumberFormat="1" applyFont="1" applyBorder="1"/>
    <xf numFmtId="167" fontId="19" fillId="0" borderId="32" xfId="0" applyNumberFormat="1" applyFont="1" applyBorder="1"/>
    <xf numFmtId="167" fontId="20" fillId="0" borderId="14" xfId="0" applyNumberFormat="1" applyFont="1" applyFill="1" applyBorder="1"/>
    <xf numFmtId="0" fontId="19" fillId="0" borderId="15" xfId="0" applyFont="1" applyFill="1" applyBorder="1"/>
    <xf numFmtId="1" fontId="0" fillId="0" borderId="0" xfId="0" applyNumberFormat="1" applyFill="1" applyBorder="1" applyAlignment="1">
      <alignment horizontal="center"/>
    </xf>
    <xf numFmtId="167" fontId="19" fillId="0" borderId="0" xfId="0" applyNumberFormat="1" applyFont="1" applyBorder="1"/>
    <xf numFmtId="167" fontId="19" fillId="0" borderId="35" xfId="0" applyNumberFormat="1" applyFont="1" applyBorder="1"/>
    <xf numFmtId="164" fontId="27" fillId="0" borderId="0" xfId="0" applyNumberFormat="1" applyFont="1" applyBorder="1"/>
    <xf numFmtId="164" fontId="27" fillId="0" borderId="10" xfId="0" applyNumberFormat="1" applyFont="1" applyBorder="1"/>
    <xf numFmtId="0" fontId="0" fillId="0" borderId="11" xfId="0" applyFont="1" applyBorder="1"/>
    <xf numFmtId="0" fontId="0" fillId="0" borderId="12" xfId="0" applyFont="1" applyBorder="1"/>
    <xf numFmtId="0" fontId="24" fillId="0" borderId="16" xfId="0" applyFont="1" applyFill="1" applyBorder="1"/>
    <xf numFmtId="167" fontId="19" fillId="0" borderId="12" xfId="0" applyNumberFormat="1" applyFont="1" applyFill="1" applyBorder="1"/>
    <xf numFmtId="167" fontId="19" fillId="0" borderId="13" xfId="0" applyNumberFormat="1" applyFont="1" applyFill="1" applyBorder="1"/>
    <xf numFmtId="167" fontId="0" fillId="0" borderId="24" xfId="0" applyNumberFormat="1" applyBorder="1"/>
    <xf numFmtId="167" fontId="19" fillId="0" borderId="14" xfId="0" applyNumberFormat="1" applyFont="1" applyFill="1" applyBorder="1"/>
    <xf numFmtId="167" fontId="20" fillId="0" borderId="32" xfId="0" applyNumberFormat="1" applyFont="1" applyBorder="1"/>
    <xf numFmtId="164" fontId="20" fillId="0" borderId="26" xfId="0" applyNumberFormat="1" applyFont="1" applyBorder="1"/>
    <xf numFmtId="166" fontId="18" fillId="0" borderId="12" xfId="0" applyNumberFormat="1" applyFont="1" applyFill="1" applyBorder="1" applyAlignment="1">
      <alignment horizontal="center"/>
    </xf>
    <xf numFmtId="0" fontId="22" fillId="0" borderId="11" xfId="0" applyFont="1" applyBorder="1"/>
    <xf numFmtId="167" fontId="14" fillId="0" borderId="12" xfId="0" applyNumberFormat="1" applyFont="1" applyBorder="1"/>
    <xf numFmtId="167" fontId="20" fillId="0" borderId="39" xfId="0" applyNumberFormat="1" applyFont="1" applyFill="1" applyBorder="1"/>
    <xf numFmtId="166" fontId="0" fillId="0" borderId="11" xfId="0" applyNumberFormat="1" applyFill="1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167" fontId="0" fillId="0" borderId="12" xfId="0" applyNumberFormat="1" applyFill="1" applyBorder="1" applyAlignment="1">
      <alignment horizontal="center"/>
    </xf>
    <xf numFmtId="166" fontId="20" fillId="0" borderId="12" xfId="0" applyNumberFormat="1" applyFont="1" applyFill="1" applyBorder="1"/>
    <xf numFmtId="0" fontId="16" fillId="0" borderId="20" xfId="0" applyFont="1" applyBorder="1"/>
    <xf numFmtId="167" fontId="14" fillId="0" borderId="21" xfId="0" applyNumberFormat="1" applyFont="1" applyFill="1" applyBorder="1"/>
    <xf numFmtId="167" fontId="14" fillId="0" borderId="0" xfId="0" applyNumberFormat="1" applyFont="1" applyFill="1" applyBorder="1"/>
    <xf numFmtId="0" fontId="16" fillId="0" borderId="12" xfId="0" applyFont="1" applyBorder="1"/>
    <xf numFmtId="166" fontId="20" fillId="0" borderId="11" xfId="0" applyNumberFormat="1" applyFont="1" applyBorder="1"/>
    <xf numFmtId="169" fontId="20" fillId="0" borderId="10" xfId="0" applyNumberFormat="1" applyFont="1" applyBorder="1"/>
    <xf numFmtId="166" fontId="20" fillId="0" borderId="14" xfId="0" applyNumberFormat="1" applyFont="1" applyFill="1" applyBorder="1"/>
    <xf numFmtId="169" fontId="20" fillId="0" borderId="13" xfId="0" applyNumberFormat="1" applyFont="1" applyBorder="1"/>
    <xf numFmtId="0" fontId="16" fillId="0" borderId="20" xfId="0" applyFont="1" applyFill="1" applyBorder="1"/>
    <xf numFmtId="0" fontId="18" fillId="0" borderId="27" xfId="0" applyFont="1" applyFill="1" applyBorder="1"/>
    <xf numFmtId="0" fontId="16" fillId="0" borderId="11" xfId="0" applyFont="1" applyFill="1" applyBorder="1"/>
    <xf numFmtId="2" fontId="20" fillId="34" borderId="11" xfId="0" applyNumberFormat="1" applyFont="1" applyFill="1" applyBorder="1" applyAlignment="1">
      <alignment horizontal="center"/>
    </xf>
    <xf numFmtId="2" fontId="20" fillId="34" borderId="13" xfId="0" applyNumberFormat="1" applyFont="1" applyFill="1" applyBorder="1" applyAlignment="1">
      <alignment horizontal="center"/>
    </xf>
    <xf numFmtId="167" fontId="20" fillId="34" borderId="11" xfId="0" applyNumberFormat="1" applyFont="1" applyFill="1" applyBorder="1"/>
    <xf numFmtId="167" fontId="20" fillId="34" borderId="38" xfId="0" applyNumberFormat="1" applyFont="1" applyFill="1" applyBorder="1"/>
    <xf numFmtId="2" fontId="20" fillId="0" borderId="11" xfId="0" applyNumberFormat="1" applyFont="1" applyFill="1" applyBorder="1"/>
    <xf numFmtId="2" fontId="20" fillId="0" borderId="13" xfId="0" applyNumberFormat="1" applyFont="1" applyFill="1" applyBorder="1"/>
    <xf numFmtId="0" fontId="0" fillId="34" borderId="10" xfId="0" applyFill="1" applyBorder="1"/>
    <xf numFmtId="0" fontId="18" fillId="0" borderId="0" xfId="0" applyFont="1" applyFill="1" applyBorder="1"/>
    <xf numFmtId="0" fontId="18" fillId="0" borderId="11" xfId="0" applyFont="1" applyFill="1" applyBorder="1"/>
    <xf numFmtId="166" fontId="18" fillId="0" borderId="18" xfId="0" applyNumberFormat="1" applyFont="1" applyFill="1" applyBorder="1" applyAlignment="1">
      <alignment horizontal="center"/>
    </xf>
    <xf numFmtId="0" fontId="22" fillId="0" borderId="17" xfId="0" applyFont="1" applyFill="1" applyBorder="1"/>
    <xf numFmtId="0" fontId="22" fillId="0" borderId="11" xfId="0" applyFont="1" applyFill="1" applyBorder="1"/>
    <xf numFmtId="0" fontId="0" fillId="33" borderId="12" xfId="0" applyFill="1" applyBorder="1"/>
    <xf numFmtId="0" fontId="0" fillId="33" borderId="16" xfId="0" applyFill="1" applyBorder="1"/>
    <xf numFmtId="166" fontId="0" fillId="33" borderId="12" xfId="0" applyNumberFormat="1" applyFill="1" applyBorder="1"/>
    <xf numFmtId="0" fontId="0" fillId="33" borderId="13" xfId="0" applyFill="1" applyBorder="1"/>
    <xf numFmtId="0" fontId="0" fillId="33" borderId="0" xfId="0" applyFill="1"/>
    <xf numFmtId="0" fontId="14" fillId="0" borderId="0" xfId="0" applyFont="1"/>
    <xf numFmtId="166" fontId="20" fillId="34" borderId="0" xfId="0" applyNumberFormat="1" applyFont="1" applyFill="1"/>
    <xf numFmtId="167" fontId="16" fillId="0" borderId="11" xfId="0" applyNumberFormat="1" applyFont="1" applyBorder="1"/>
    <xf numFmtId="0" fontId="16" fillId="0" borderId="13" xfId="0" applyFont="1" applyBorder="1"/>
    <xf numFmtId="0" fontId="16" fillId="0" borderId="14" xfId="0" applyFont="1" applyFill="1" applyBorder="1"/>
    <xf numFmtId="0" fontId="16" fillId="0" borderId="0" xfId="0" applyFont="1" applyFill="1"/>
    <xf numFmtId="0" fontId="0" fillId="34" borderId="27" xfId="0" applyFill="1" applyBorder="1"/>
    <xf numFmtId="0" fontId="0" fillId="34" borderId="11" xfId="0" applyFill="1" applyBorder="1"/>
    <xf numFmtId="0" fontId="0" fillId="34" borderId="14" xfId="0" applyFill="1" applyBorder="1"/>
    <xf numFmtId="0" fontId="0" fillId="34" borderId="20" xfId="0" applyFill="1" applyBorder="1"/>
    <xf numFmtId="0" fontId="22" fillId="0" borderId="16" xfId="0" applyFont="1" applyBorder="1"/>
    <xf numFmtId="0" fontId="0" fillId="34" borderId="13" xfId="0" applyFill="1" applyBorder="1"/>
    <xf numFmtId="167" fontId="18" fillId="0" borderId="23" xfId="0" applyNumberFormat="1" applyFont="1" applyBorder="1"/>
    <xf numFmtId="0" fontId="20" fillId="0" borderId="0" xfId="0" applyFont="1"/>
    <xf numFmtId="166" fontId="0" fillId="0" borderId="16" xfId="0" applyNumberFormat="1" applyFill="1" applyBorder="1"/>
    <xf numFmtId="2" fontId="0" fillId="0" borderId="0" xfId="0" applyNumberFormat="1" applyFill="1" applyBorder="1"/>
    <xf numFmtId="0" fontId="0" fillId="34" borderId="19" xfId="0" applyFill="1" applyBorder="1"/>
    <xf numFmtId="0" fontId="0" fillId="34" borderId="22" xfId="0" applyFill="1" applyBorder="1"/>
    <xf numFmtId="1" fontId="0" fillId="0" borderId="0" xfId="0" applyNumberFormat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1" fontId="0" fillId="34" borderId="21" xfId="0" applyNumberFormat="1" applyFill="1" applyBorder="1" applyAlignment="1">
      <alignment horizontal="center"/>
    </xf>
    <xf numFmtId="1" fontId="0" fillId="34" borderId="22" xfId="0" applyNumberFormat="1" applyFill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28" xfId="0" applyNumberFormat="1" applyFill="1" applyBorder="1" applyAlignment="1">
      <alignment horizontal="center"/>
    </xf>
    <xf numFmtId="1" fontId="0" fillId="34" borderId="15" xfId="0" applyNumberFormat="1" applyFill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30" fillId="34" borderId="22" xfId="0" applyNumberFormat="1" applyFont="1" applyFill="1" applyBorder="1" applyAlignment="1">
      <alignment horizontal="center"/>
    </xf>
    <xf numFmtId="0" fontId="0" fillId="34" borderId="17" xfId="0" applyFill="1" applyBorder="1"/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1" fontId="0" fillId="34" borderId="27" xfId="0" applyNumberFormat="1" applyFill="1" applyBorder="1" applyAlignment="1">
      <alignment horizontal="center"/>
    </xf>
    <xf numFmtId="1" fontId="0" fillId="34" borderId="28" xfId="0" applyNumberFormat="1" applyFill="1" applyBorder="1" applyAlignment="1">
      <alignment horizontal="center"/>
    </xf>
    <xf numFmtId="166" fontId="0" fillId="0" borderId="13" xfId="0" applyNumberFormat="1" applyFill="1" applyBorder="1"/>
    <xf numFmtId="0" fontId="0" fillId="0" borderId="20" xfId="0" applyFill="1" applyBorder="1" applyAlignment="1">
      <alignment horizontal="center"/>
    </xf>
    <xf numFmtId="11" fontId="0" fillId="0" borderId="20" xfId="0" applyNumberFormat="1" applyFill="1" applyBorder="1" applyAlignment="1">
      <alignment horizontal="center"/>
    </xf>
    <xf numFmtId="167" fontId="0" fillId="34" borderId="10" xfId="0" applyNumberFormat="1" applyFill="1" applyBorder="1"/>
    <xf numFmtId="1" fontId="20" fillId="34" borderId="15" xfId="0" applyNumberFormat="1" applyFont="1" applyFill="1" applyBorder="1" applyAlignment="1">
      <alignment horizontal="center"/>
    </xf>
    <xf numFmtId="1" fontId="31" fillId="34" borderId="15" xfId="0" applyNumberFormat="1" applyFont="1" applyFill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8" fillId="0" borderId="17" xfId="0" applyFont="1" applyBorder="1"/>
    <xf numFmtId="166" fontId="0" fillId="0" borderId="2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4" borderId="12" xfId="0" applyFill="1" applyBorder="1" applyAlignment="1">
      <alignment horizontal="center"/>
    </xf>
    <xf numFmtId="1" fontId="0" fillId="33" borderId="27" xfId="0" applyNumberFormat="1" applyFill="1" applyBorder="1" applyAlignment="1">
      <alignment horizontal="center"/>
    </xf>
    <xf numFmtId="1" fontId="0" fillId="33" borderId="15" xfId="0" applyNumberFormat="1" applyFill="1" applyBorder="1" applyAlignment="1">
      <alignment horizontal="center"/>
    </xf>
    <xf numFmtId="1" fontId="22" fillId="33" borderId="15" xfId="0" applyNumberFormat="1" applyFont="1" applyFill="1" applyBorder="1" applyAlignment="1">
      <alignment horizontal="center"/>
    </xf>
    <xf numFmtId="1" fontId="29" fillId="33" borderId="15" xfId="0" applyNumberFormat="1" applyFont="1" applyFill="1" applyBorder="1" applyAlignment="1">
      <alignment horizontal="center"/>
    </xf>
    <xf numFmtId="0" fontId="0" fillId="34" borderId="28" xfId="0" applyFill="1" applyBorder="1"/>
    <xf numFmtId="0" fontId="0" fillId="34" borderId="16" xfId="0" applyFill="1" applyBorder="1" applyAlignment="1">
      <alignment horizontal="center"/>
    </xf>
    <xf numFmtId="0" fontId="0" fillId="34" borderId="15" xfId="0" applyFill="1" applyBorder="1"/>
    <xf numFmtId="1" fontId="0" fillId="0" borderId="2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16" fillId="34" borderId="20" xfId="0" applyFont="1" applyFill="1" applyBorder="1"/>
    <xf numFmtId="1" fontId="0" fillId="0" borderId="13" xfId="0" applyNumberFormat="1" applyFill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1" fontId="0" fillId="33" borderId="19" xfId="0" applyNumberFormat="1" applyFill="1" applyBorder="1" applyAlignment="1">
      <alignment horizontal="center"/>
    </xf>
    <xf numFmtId="1" fontId="22" fillId="33" borderId="10" xfId="0" applyNumberFormat="1" applyFon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27" xfId="0" applyNumberFormat="1" applyBorder="1"/>
    <xf numFmtId="166" fontId="0" fillId="34" borderId="18" xfId="0" applyNumberFormat="1" applyFill="1" applyBorder="1"/>
    <xf numFmtId="166" fontId="0" fillId="34" borderId="21" xfId="0" applyNumberFormat="1" applyFill="1" applyBorder="1" applyAlignment="1">
      <alignment horizontal="center"/>
    </xf>
    <xf numFmtId="0" fontId="0" fillId="34" borderId="28" xfId="0" applyFill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27" xfId="0" applyNumberFormat="1" applyBorder="1" applyAlignment="1">
      <alignment horizontal="center"/>
    </xf>
    <xf numFmtId="167" fontId="0" fillId="34" borderId="16" xfId="0" applyNumberFormat="1" applyFill="1" applyBorder="1" applyAlignment="1">
      <alignment horizontal="center"/>
    </xf>
    <xf numFmtId="0" fontId="22" fillId="0" borderId="27" xfId="0" applyFont="1" applyBorder="1"/>
    <xf numFmtId="0" fontId="16" fillId="0" borderId="28" xfId="0" applyFont="1" applyBorder="1"/>
    <xf numFmtId="1" fontId="0" fillId="33" borderId="31" xfId="0" applyNumberFormat="1" applyFill="1" applyBorder="1"/>
    <xf numFmtId="1" fontId="0" fillId="33" borderId="0" xfId="0" applyNumberFormat="1" applyFill="1" applyBorder="1"/>
    <xf numFmtId="1" fontId="0" fillId="33" borderId="10" xfId="0" applyNumberFormat="1" applyFill="1" applyBorder="1"/>
    <xf numFmtId="167" fontId="20" fillId="0" borderId="40" xfId="0" applyNumberFormat="1" applyFont="1" applyFill="1" applyBorder="1"/>
    <xf numFmtId="0" fontId="16" fillId="0" borderId="18" xfId="0" applyFont="1" applyBorder="1"/>
    <xf numFmtId="0" fontId="16" fillId="0" borderId="18" xfId="0" applyFont="1" applyFill="1" applyBorder="1"/>
    <xf numFmtId="167" fontId="20" fillId="0" borderId="19" xfId="0" applyNumberFormat="1" applyFont="1" applyBorder="1"/>
    <xf numFmtId="9" fontId="0" fillId="0" borderId="14" xfId="0" applyNumberFormat="1" applyBorder="1"/>
    <xf numFmtId="166" fontId="20" fillId="34" borderId="10" xfId="0" applyNumberFormat="1" applyFont="1" applyFill="1" applyBorder="1"/>
    <xf numFmtId="166" fontId="20" fillId="0" borderId="10" xfId="0" applyNumberFormat="1" applyFont="1" applyFill="1" applyBorder="1"/>
    <xf numFmtId="1" fontId="20" fillId="0" borderId="21" xfId="0" applyNumberFormat="1" applyFont="1" applyBorder="1"/>
    <xf numFmtId="1" fontId="20" fillId="0" borderId="22" xfId="0" applyNumberFormat="1" applyFont="1" applyBorder="1"/>
    <xf numFmtId="166" fontId="20" fillId="0" borderId="20" xfId="0" applyNumberFormat="1" applyFont="1" applyFill="1" applyBorder="1"/>
    <xf numFmtId="166" fontId="20" fillId="0" borderId="21" xfId="0" applyNumberFormat="1" applyFont="1" applyFill="1" applyBorder="1"/>
    <xf numFmtId="166" fontId="20" fillId="0" borderId="22" xfId="0" applyNumberFormat="1" applyFont="1" applyFill="1" applyBorder="1"/>
    <xf numFmtId="166" fontId="20" fillId="0" borderId="18" xfId="0" applyNumberFormat="1" applyFont="1" applyFill="1" applyBorder="1"/>
    <xf numFmtId="166" fontId="20" fillId="0" borderId="19" xfId="0" applyNumberFormat="1" applyFont="1" applyFill="1" applyBorder="1"/>
    <xf numFmtId="0" fontId="0" fillId="0" borderId="0" xfId="0" applyFont="1" applyFill="1" applyBorder="1"/>
    <xf numFmtId="0" fontId="16" fillId="0" borderId="12" xfId="0" applyFont="1" applyFill="1" applyBorder="1"/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167" fontId="28" fillId="0" borderId="18" xfId="0" applyNumberFormat="1" applyFont="1" applyBorder="1"/>
    <xf numFmtId="164" fontId="28" fillId="0" borderId="18" xfId="0" applyNumberFormat="1" applyFont="1" applyBorder="1"/>
    <xf numFmtId="167" fontId="28" fillId="0" borderId="19" xfId="0" applyNumberFormat="1" applyFont="1" applyBorder="1"/>
    <xf numFmtId="0" fontId="0" fillId="0" borderId="13" xfId="0" applyFont="1" applyBorder="1"/>
    <xf numFmtId="0" fontId="0" fillId="33" borderId="21" xfId="0" applyFont="1" applyFill="1" applyBorder="1" applyAlignment="1">
      <alignment horizontal="center"/>
    </xf>
    <xf numFmtId="0" fontId="22" fillId="0" borderId="15" xfId="0" applyFont="1" applyBorder="1"/>
    <xf numFmtId="0" fontId="16" fillId="0" borderId="27" xfId="0" applyFont="1" applyBorder="1"/>
    <xf numFmtId="14" fontId="0" fillId="0" borderId="28" xfId="0" applyNumberFormat="1" applyBorder="1"/>
    <xf numFmtId="167" fontId="16" fillId="34" borderId="16" xfId="0" applyNumberFormat="1" applyFont="1" applyFill="1" applyBorder="1" applyAlignment="1">
      <alignment horizontal="center"/>
    </xf>
    <xf numFmtId="2" fontId="0" fillId="34" borderId="0" xfId="0" applyNumberFormat="1" applyFill="1" applyBorder="1"/>
    <xf numFmtId="0" fontId="0" fillId="0" borderId="11" xfId="0" applyFont="1" applyFill="1" applyBorder="1"/>
    <xf numFmtId="167" fontId="0" fillId="33" borderId="28" xfId="0" applyNumberFormat="1" applyFill="1" applyBorder="1" applyAlignment="1">
      <alignment horizontal="center"/>
    </xf>
    <xf numFmtId="167" fontId="21" fillId="33" borderId="27" xfId="0" applyNumberFormat="1" applyFont="1" applyFill="1" applyBorder="1" applyAlignment="1">
      <alignment horizontal="center"/>
    </xf>
    <xf numFmtId="167" fontId="0" fillId="33" borderId="15" xfId="0" applyNumberForma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14" fontId="0" fillId="0" borderId="11" xfId="0" applyNumberFormat="1" applyFont="1" applyFill="1" applyBorder="1"/>
    <xf numFmtId="167" fontId="0" fillId="33" borderId="20" xfId="0" applyNumberFormat="1" applyFill="1" applyBorder="1" applyAlignment="1">
      <alignment horizontal="center"/>
    </xf>
    <xf numFmtId="167" fontId="0" fillId="33" borderId="27" xfId="0" applyNumberFormat="1" applyFill="1" applyBorder="1" applyAlignment="1">
      <alignment horizontal="center"/>
    </xf>
    <xf numFmtId="167" fontId="0" fillId="0" borderId="16" xfId="0" applyNumberFormat="1" applyFont="1" applyBorder="1"/>
    <xf numFmtId="167" fontId="20" fillId="0" borderId="16" xfId="0" applyNumberFormat="1" applyFont="1" applyFill="1" applyBorder="1"/>
    <xf numFmtId="166" fontId="20" fillId="34" borderId="15" xfId="0" applyNumberFormat="1" applyFont="1" applyFill="1" applyBorder="1"/>
    <xf numFmtId="166" fontId="20" fillId="0" borderId="21" xfId="0" applyNumberFormat="1" applyFont="1" applyBorder="1"/>
    <xf numFmtId="167" fontId="0" fillId="34" borderId="15" xfId="0" applyNumberFormat="1" applyFill="1" applyBorder="1" applyAlignment="1">
      <alignment horizontal="center"/>
    </xf>
    <xf numFmtId="167" fontId="0" fillId="34" borderId="10" xfId="0" applyNumberFormat="1" applyFill="1" applyBorder="1" applyAlignment="1">
      <alignment horizontal="center"/>
    </xf>
    <xf numFmtId="167" fontId="0" fillId="33" borderId="15" xfId="0" applyNumberFormat="1" applyFont="1" applyFill="1" applyBorder="1" applyAlignment="1">
      <alignment horizontal="center"/>
    </xf>
    <xf numFmtId="1" fontId="16" fillId="0" borderId="11" xfId="0" applyNumberFormat="1" applyFont="1" applyBorder="1"/>
    <xf numFmtId="1" fontId="20" fillId="0" borderId="11" xfId="0" applyNumberFormat="1" applyFont="1" applyBorder="1"/>
    <xf numFmtId="1" fontId="20" fillId="0" borderId="14" xfId="0" applyNumberFormat="1" applyFont="1" applyBorder="1"/>
    <xf numFmtId="1" fontId="20" fillId="0" borderId="20" xfId="0" applyNumberFormat="1" applyFont="1" applyBorder="1"/>
    <xf numFmtId="166" fontId="0" fillId="34" borderId="28" xfId="0" applyNumberFormat="1" applyFill="1" applyBorder="1"/>
    <xf numFmtId="0" fontId="0" fillId="0" borderId="27" xfId="0" applyFill="1" applyBorder="1" applyAlignment="1">
      <alignment horizontal="center"/>
    </xf>
    <xf numFmtId="167" fontId="0" fillId="0" borderId="18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7" fontId="0" fillId="33" borderId="0" xfId="0" applyNumberFormat="1" applyFill="1" applyBorder="1" applyAlignment="1">
      <alignment horizontal="center"/>
    </xf>
    <xf numFmtId="167" fontId="0" fillId="0" borderId="12" xfId="0" applyNumberFormat="1" applyFont="1" applyFill="1" applyBorder="1"/>
    <xf numFmtId="166" fontId="0" fillId="34" borderId="10" xfId="0" applyNumberFormat="1" applyFill="1" applyBorder="1"/>
    <xf numFmtId="166" fontId="0" fillId="34" borderId="22" xfId="0" applyNumberFormat="1" applyFill="1" applyBorder="1"/>
    <xf numFmtId="167" fontId="0" fillId="34" borderId="17" xfId="0" applyNumberForma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14" fontId="0" fillId="0" borderId="14" xfId="0" applyNumberFormat="1" applyBorder="1"/>
    <xf numFmtId="167" fontId="21" fillId="0" borderId="12" xfId="0" applyNumberFormat="1" applyFont="1" applyFill="1" applyBorder="1" applyAlignment="1">
      <alignment horizontal="center"/>
    </xf>
    <xf numFmtId="167" fontId="20" fillId="0" borderId="17" xfId="0" applyNumberFormat="1" applyFont="1" applyFill="1" applyBorder="1"/>
    <xf numFmtId="167" fontId="20" fillId="0" borderId="20" xfId="0" applyNumberFormat="1" applyFont="1" applyFill="1" applyBorder="1"/>
    <xf numFmtId="167" fontId="20" fillId="34" borderId="15" xfId="0" applyNumberFormat="1" applyFont="1" applyFill="1" applyBorder="1"/>
    <xf numFmtId="167" fontId="20" fillId="34" borderId="27" xfId="0" applyNumberFormat="1" applyFont="1" applyFill="1" applyBorder="1"/>
    <xf numFmtId="167" fontId="0" fillId="34" borderId="28" xfId="0" applyNumberFormat="1" applyFill="1" applyBorder="1"/>
    <xf numFmtId="167" fontId="0" fillId="0" borderId="13" xfId="0" applyNumberFormat="1" applyFill="1" applyBorder="1" applyAlignment="1">
      <alignment horizontal="center"/>
    </xf>
    <xf numFmtId="167" fontId="0" fillId="34" borderId="27" xfId="0" applyNumberFormat="1" applyFill="1" applyBorder="1" applyAlignment="1">
      <alignment horizontal="center"/>
    </xf>
    <xf numFmtId="167" fontId="0" fillId="0" borderId="15" xfId="0" applyNumberFormat="1" applyFill="1" applyBorder="1" applyAlignment="1">
      <alignment horizontal="center"/>
    </xf>
    <xf numFmtId="167" fontId="0" fillId="34" borderId="28" xfId="0" applyNumberFormat="1" applyFill="1" applyBorder="1" applyAlignment="1">
      <alignment horizontal="center"/>
    </xf>
    <xf numFmtId="167" fontId="20" fillId="34" borderId="28" xfId="0" applyNumberFormat="1" applyFont="1" applyFill="1" applyBorder="1"/>
    <xf numFmtId="167" fontId="21" fillId="34" borderId="12" xfId="0" applyNumberFormat="1" applyFont="1" applyFill="1" applyBorder="1" applyAlignment="1">
      <alignment horizontal="center"/>
    </xf>
    <xf numFmtId="167" fontId="20" fillId="0" borderId="11" xfId="0" applyNumberFormat="1" applyFont="1" applyFill="1" applyBorder="1"/>
    <xf numFmtId="1" fontId="20" fillId="0" borderId="17" xfId="0" applyNumberFormat="1" applyFont="1" applyFill="1" applyBorder="1"/>
    <xf numFmtId="1" fontId="20" fillId="0" borderId="11" xfId="0" applyNumberFormat="1" applyFont="1" applyFill="1" applyBorder="1"/>
    <xf numFmtId="1" fontId="20" fillId="0" borderId="14" xfId="0" applyNumberFormat="1" applyFont="1" applyFill="1" applyBorder="1"/>
    <xf numFmtId="166" fontId="0" fillId="0" borderId="17" xfId="0" applyNumberFormat="1" applyFill="1" applyBorder="1" applyAlignment="1">
      <alignment horizontal="center"/>
    </xf>
    <xf numFmtId="166" fontId="0" fillId="0" borderId="20" xfId="0" applyNumberFormat="1" applyFill="1" applyBorder="1" applyAlignment="1">
      <alignment horizontal="center"/>
    </xf>
    <xf numFmtId="0" fontId="0" fillId="0" borderId="17" xfId="0" applyFont="1" applyFill="1" applyBorder="1"/>
    <xf numFmtId="0" fontId="18" fillId="0" borderId="20" xfId="0" applyFont="1" applyFill="1" applyBorder="1"/>
    <xf numFmtId="0" fontId="18" fillId="0" borderId="17" xfId="0" applyFont="1" applyFill="1" applyBorder="1"/>
    <xf numFmtId="167" fontId="0" fillId="0" borderId="19" xfId="0" applyNumberFormat="1" applyFill="1" applyBorder="1" applyAlignment="1">
      <alignment horizontal="center"/>
    </xf>
    <xf numFmtId="167" fontId="20" fillId="0" borderId="17" xfId="0" applyNumberFormat="1" applyFont="1" applyBorder="1"/>
    <xf numFmtId="167" fontId="0" fillId="0" borderId="11" xfId="0" applyNumberFormat="1" applyFont="1" applyFill="1" applyBorder="1"/>
    <xf numFmtId="167" fontId="0" fillId="0" borderId="13" xfId="0" applyNumberFormat="1" applyFont="1" applyFill="1" applyBorder="1"/>
    <xf numFmtId="1" fontId="0" fillId="33" borderId="20" xfId="0" applyNumberFormat="1" applyFill="1" applyBorder="1"/>
    <xf numFmtId="1" fontId="0" fillId="33" borderId="21" xfId="0" applyNumberFormat="1" applyFill="1" applyBorder="1"/>
    <xf numFmtId="1" fontId="0" fillId="33" borderId="22" xfId="0" applyNumberFormat="1" applyFill="1" applyBorder="1"/>
    <xf numFmtId="0" fontId="0" fillId="33" borderId="37" xfId="0" applyFill="1" applyBorder="1" applyAlignment="1">
      <alignment horizontal="center"/>
    </xf>
    <xf numFmtId="166" fontId="0" fillId="34" borderId="14" xfId="0" applyNumberFormat="1" applyFill="1" applyBorder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166" fontId="0" fillId="34" borderId="0" xfId="0" applyNumberFormat="1" applyFill="1" applyBorder="1" applyAlignment="1">
      <alignment horizontal="center"/>
    </xf>
    <xf numFmtId="166" fontId="0" fillId="34" borderId="22" xfId="0" applyNumberFormat="1" applyFill="1" applyBorder="1" applyAlignment="1">
      <alignment horizontal="center"/>
    </xf>
    <xf numFmtId="166" fontId="0" fillId="0" borderId="27" xfId="0" applyNumberFormat="1" applyFill="1" applyBorder="1"/>
    <xf numFmtId="166" fontId="0" fillId="0" borderId="17" xfId="0" applyNumberFormat="1" applyFill="1" applyBorder="1"/>
    <xf numFmtId="2" fontId="20" fillId="0" borderId="18" xfId="0" applyNumberFormat="1" applyFont="1" applyFill="1" applyBorder="1"/>
    <xf numFmtId="0" fontId="25" fillId="0" borderId="18" xfId="0" applyFont="1" applyBorder="1"/>
    <xf numFmtId="0" fontId="25" fillId="0" borderId="18" xfId="0" applyFont="1" applyFill="1" applyBorder="1"/>
    <xf numFmtId="167" fontId="32" fillId="0" borderId="18" xfId="0" applyNumberFormat="1" applyFont="1" applyBorder="1"/>
    <xf numFmtId="164" fontId="32" fillId="0" borderId="18" xfId="0" applyNumberFormat="1" applyFont="1" applyBorder="1"/>
    <xf numFmtId="167" fontId="32" fillId="0" borderId="19" xfId="0" applyNumberFormat="1" applyFont="1" applyBorder="1"/>
    <xf numFmtId="167" fontId="25" fillId="34" borderId="16" xfId="0" applyNumberFormat="1" applyFont="1" applyFill="1" applyBorder="1" applyAlignment="1">
      <alignment horizontal="center"/>
    </xf>
    <xf numFmtId="9" fontId="0" fillId="0" borderId="20" xfId="0" applyNumberFormat="1" applyBorder="1"/>
    <xf numFmtId="166" fontId="20" fillId="34" borderId="22" xfId="0" applyNumberFormat="1" applyFont="1" applyFill="1" applyBorder="1"/>
    <xf numFmtId="0" fontId="25" fillId="0" borderId="17" xfId="0" applyFont="1" applyBorder="1"/>
    <xf numFmtId="167" fontId="0" fillId="33" borderId="0" xfId="0" applyNumberFormat="1" applyFill="1" applyAlignment="1">
      <alignment horizontal="center"/>
    </xf>
    <xf numFmtId="167" fontId="22" fillId="33" borderId="0" xfId="0" applyNumberFormat="1" applyFont="1" applyFill="1" applyAlignment="1">
      <alignment horizontal="center"/>
    </xf>
    <xf numFmtId="167" fontId="22" fillId="33" borderId="15" xfId="0" applyNumberFormat="1" applyFont="1" applyFill="1" applyBorder="1" applyAlignment="1">
      <alignment horizontal="center"/>
    </xf>
    <xf numFmtId="166" fontId="33" fillId="34" borderId="0" xfId="0" applyNumberFormat="1" applyFont="1" applyFill="1"/>
    <xf numFmtId="166" fontId="0" fillId="0" borderId="0" xfId="0" applyNumberFormat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8" xfId="0" applyNumberFormat="1" applyFont="1" applyFill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18" fillId="33" borderId="15" xfId="0" applyNumberFormat="1" applyFont="1" applyFill="1" applyBorder="1" applyAlignment="1">
      <alignment horizontal="center"/>
    </xf>
    <xf numFmtId="167" fontId="33" fillId="34" borderId="15" xfId="0" applyNumberFormat="1" applyFont="1" applyFill="1" applyBorder="1" applyAlignment="1">
      <alignment horizontal="center"/>
    </xf>
    <xf numFmtId="167" fontId="0" fillId="34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34" borderId="15" xfId="0" applyNumberFormat="1" applyFill="1" applyBorder="1" applyAlignment="1">
      <alignment horizontal="center"/>
    </xf>
    <xf numFmtId="166" fontId="0" fillId="34" borderId="16" xfId="0" applyNumberFormat="1" applyFill="1" applyBorder="1" applyAlignment="1">
      <alignment horizontal="center"/>
    </xf>
    <xf numFmtId="166" fontId="20" fillId="34" borderId="15" xfId="0" applyNumberFormat="1" applyFont="1" applyFill="1" applyBorder="1" applyAlignment="1">
      <alignment horizontal="center"/>
    </xf>
    <xf numFmtId="166" fontId="20" fillId="34" borderId="16" xfId="0" applyNumberFormat="1" applyFont="1" applyFill="1" applyBorder="1" applyAlignment="1">
      <alignment horizontal="center"/>
    </xf>
    <xf numFmtId="166" fontId="19" fillId="0" borderId="18" xfId="0" applyNumberFormat="1" applyFont="1" applyFill="1" applyBorder="1" applyAlignment="1">
      <alignment horizontal="center"/>
    </xf>
    <xf numFmtId="0" fontId="25" fillId="0" borderId="14" xfId="0" applyFont="1" applyBorder="1"/>
    <xf numFmtId="166" fontId="33" fillId="34" borderId="0" xfId="0" applyNumberFormat="1" applyFont="1" applyFill="1" applyBorder="1"/>
    <xf numFmtId="166" fontId="0" fillId="34" borderId="28" xfId="0" applyNumberFormat="1" applyFill="1" applyBorder="1" applyAlignment="1">
      <alignment horizontal="center"/>
    </xf>
    <xf numFmtId="166" fontId="0" fillId="34" borderId="28" xfId="0" applyNumberFormat="1" applyFont="1" applyFill="1" applyBorder="1" applyAlignment="1">
      <alignment horizontal="center"/>
    </xf>
    <xf numFmtId="167" fontId="0" fillId="0" borderId="17" xfId="0" applyNumberFormat="1" applyFont="1" applyBorder="1"/>
    <xf numFmtId="167" fontId="21" fillId="33" borderId="41" xfId="0" applyNumberFormat="1" applyFont="1" applyFill="1" applyBorder="1"/>
    <xf numFmtId="167" fontId="0" fillId="33" borderId="41" xfId="0" applyNumberFormat="1" applyFill="1" applyBorder="1" applyAlignment="1">
      <alignment horizontal="center"/>
    </xf>
    <xf numFmtId="167" fontId="20" fillId="0" borderId="14" xfId="0" applyNumberFormat="1" applyFont="1" applyBorder="1"/>
    <xf numFmtId="170" fontId="20" fillId="0" borderId="42" xfId="0" applyNumberFormat="1" applyFont="1" applyBorder="1" applyAlignment="1">
      <alignment horizontal="center"/>
    </xf>
    <xf numFmtId="167" fontId="20" fillId="0" borderId="11" xfId="0" applyNumberFormat="1" applyFont="1" applyBorder="1"/>
    <xf numFmtId="167" fontId="20" fillId="0" borderId="43" xfId="0" applyNumberFormat="1" applyFont="1" applyBorder="1"/>
    <xf numFmtId="167" fontId="20" fillId="0" borderId="42" xfId="0" applyNumberFormat="1" applyFont="1" applyBorder="1"/>
    <xf numFmtId="167" fontId="20" fillId="0" borderId="42" xfId="0" applyNumberFormat="1" applyFont="1" applyFill="1" applyBorder="1"/>
    <xf numFmtId="167" fontId="0" fillId="0" borderId="18" xfId="0" applyNumberFormat="1" applyFont="1" applyFill="1" applyBorder="1" applyAlignment="1">
      <alignment horizontal="center"/>
    </xf>
    <xf numFmtId="0" fontId="0" fillId="35" borderId="12" xfId="0" applyFill="1" applyBorder="1"/>
    <xf numFmtId="166" fontId="0" fillId="0" borderId="19" xfId="0" applyNumberFormat="1" applyFill="1" applyBorder="1"/>
    <xf numFmtId="167" fontId="20" fillId="0" borderId="44" xfId="0" applyNumberFormat="1" applyFont="1" applyBorder="1"/>
    <xf numFmtId="0" fontId="22" fillId="0" borderId="20" xfId="0" applyFont="1" applyFill="1" applyBorder="1"/>
    <xf numFmtId="166" fontId="0" fillId="34" borderId="21" xfId="0" applyNumberFormat="1" applyFont="1" applyFill="1" applyBorder="1" applyAlignment="1">
      <alignment horizontal="center"/>
    </xf>
    <xf numFmtId="167" fontId="0" fillId="0" borderId="21" xfId="0" applyNumberFormat="1" applyFill="1" applyBorder="1" applyAlignment="1">
      <alignment horizontal="center"/>
    </xf>
    <xf numFmtId="167" fontId="0" fillId="34" borderId="21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166" fontId="19" fillId="0" borderId="21" xfId="0" applyNumberFormat="1" applyFont="1" applyFill="1" applyBorder="1" applyAlignment="1">
      <alignment horizontal="center"/>
    </xf>
    <xf numFmtId="166" fontId="19" fillId="34" borderId="21" xfId="0" applyNumberFormat="1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"/>
    </xf>
    <xf numFmtId="167" fontId="0" fillId="0" borderId="22" xfId="0" applyNumberFormat="1" applyFill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19" xfId="0" applyNumberFormat="1" applyFont="1" applyBorder="1" applyAlignment="1">
      <alignment horizontal="center"/>
    </xf>
    <xf numFmtId="0" fontId="0" fillId="35" borderId="10" xfId="0" applyFill="1" applyBorder="1" applyAlignment="1">
      <alignment horizontal="center"/>
    </xf>
    <xf numFmtId="166" fontId="19" fillId="0" borderId="14" xfId="0" applyNumberFormat="1" applyFont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166" fontId="19" fillId="0" borderId="20" xfId="0" applyNumberFormat="1" applyFont="1" applyBorder="1" applyAlignment="1">
      <alignment horizontal="center"/>
    </xf>
    <xf numFmtId="166" fontId="19" fillId="0" borderId="21" xfId="0" applyNumberFormat="1" applyFont="1" applyBorder="1" applyAlignment="1">
      <alignment horizontal="center"/>
    </xf>
    <xf numFmtId="166" fontId="19" fillId="0" borderId="22" xfId="0" applyNumberFormat="1" applyFont="1" applyBorder="1" applyAlignment="1">
      <alignment horizontal="center"/>
    </xf>
    <xf numFmtId="166" fontId="19" fillId="0" borderId="0" xfId="0" applyNumberFormat="1" applyFont="1" applyBorder="1" applyAlignment="1">
      <alignment horizontal="center"/>
    </xf>
    <xf numFmtId="166" fontId="19" fillId="0" borderId="12" xfId="0" applyNumberFormat="1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35" borderId="13" xfId="0" applyFill="1" applyBorder="1" applyAlignment="1">
      <alignment horizontal="center"/>
    </xf>
    <xf numFmtId="166" fontId="19" fillId="34" borderId="0" xfId="0" applyNumberFormat="1" applyFont="1" applyFill="1" applyAlignment="1">
      <alignment horizontal="center"/>
    </xf>
    <xf numFmtId="166" fontId="33" fillId="34" borderId="0" xfId="0" applyNumberFormat="1" applyFont="1" applyFill="1" applyAlignment="1">
      <alignment horizontal="center"/>
    </xf>
    <xf numFmtId="166" fontId="0" fillId="34" borderId="0" xfId="0" applyNumberFormat="1" applyFill="1" applyAlignment="1">
      <alignment horizontal="center"/>
    </xf>
    <xf numFmtId="166" fontId="19" fillId="34" borderId="12" xfId="0" applyNumberFormat="1" applyFon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166" fontId="19" fillId="0" borderId="0" xfId="0" applyNumberFormat="1" applyFont="1" applyFill="1" applyAlignment="1">
      <alignment horizontal="center"/>
    </xf>
    <xf numFmtId="166" fontId="0" fillId="0" borderId="27" xfId="0" applyNumberFormat="1" applyFill="1" applyBorder="1" applyAlignment="1">
      <alignment horizontal="center"/>
    </xf>
    <xf numFmtId="166" fontId="0" fillId="0" borderId="27" xfId="0" applyNumberFormat="1" applyFont="1" applyFill="1" applyBorder="1" applyAlignment="1">
      <alignment horizontal="center"/>
    </xf>
    <xf numFmtId="0" fontId="0" fillId="37" borderId="12" xfId="0" applyFill="1" applyBorder="1"/>
    <xf numFmtId="166" fontId="0" fillId="0" borderId="1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34" borderId="13" xfId="0" applyNumberFormat="1" applyFill="1" applyBorder="1" applyAlignment="1">
      <alignment horizontal="center"/>
    </xf>
    <xf numFmtId="166" fontId="0" fillId="0" borderId="19" xfId="0" applyNumberFormat="1" applyFont="1" applyFill="1" applyBorder="1" applyAlignment="1">
      <alignment horizontal="center"/>
    </xf>
    <xf numFmtId="166" fontId="0" fillId="34" borderId="22" xfId="0" applyNumberFormat="1" applyFont="1" applyFill="1" applyBorder="1" applyAlignment="1">
      <alignment horizontal="center"/>
    </xf>
    <xf numFmtId="167" fontId="18" fillId="33" borderId="0" xfId="0" applyNumberFormat="1" applyFont="1" applyFill="1" applyBorder="1" applyAlignment="1">
      <alignment horizontal="center"/>
    </xf>
    <xf numFmtId="167" fontId="22" fillId="33" borderId="0" xfId="0" applyNumberFormat="1" applyFon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34" borderId="0" xfId="0" applyNumberFormat="1" applyFill="1" applyBorder="1" applyAlignment="1">
      <alignment horizontal="center"/>
    </xf>
    <xf numFmtId="167" fontId="33" fillId="34" borderId="0" xfId="0" applyNumberFormat="1" applyFont="1" applyFill="1" applyBorder="1" applyAlignment="1">
      <alignment horizontal="center"/>
    </xf>
    <xf numFmtId="167" fontId="0" fillId="33" borderId="18" xfId="0" applyNumberFormat="1" applyFill="1" applyBorder="1" applyAlignment="1">
      <alignment horizontal="center"/>
    </xf>
    <xf numFmtId="167" fontId="0" fillId="34" borderId="12" xfId="0" applyNumberFormat="1" applyFill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5" xfId="0" applyNumberFormat="1" applyFont="1" applyFill="1" applyBorder="1" applyAlignment="1">
      <alignment horizontal="center"/>
    </xf>
    <xf numFmtId="167" fontId="0" fillId="34" borderId="28" xfId="0" applyNumberFormat="1" applyFont="1" applyFill="1" applyBorder="1" applyAlignment="1">
      <alignment horizontal="center"/>
    </xf>
    <xf numFmtId="166" fontId="0" fillId="0" borderId="15" xfId="0" applyNumberFormat="1" applyFill="1" applyBorder="1" applyAlignment="1">
      <alignment horizontal="center"/>
    </xf>
    <xf numFmtId="166" fontId="0" fillId="0" borderId="10" xfId="0" applyNumberFormat="1" applyFont="1" applyFill="1" applyBorder="1" applyAlignment="1">
      <alignment horizontal="center"/>
    </xf>
    <xf numFmtId="166" fontId="20" fillId="34" borderId="11" xfId="0" applyNumberFormat="1" applyFon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33" borderId="27" xfId="0" applyNumberFormat="1" applyFill="1" applyBorder="1" applyAlignment="1">
      <alignment horizontal="center"/>
    </xf>
    <xf numFmtId="166" fontId="0" fillId="33" borderId="19" xfId="0" applyNumberFormat="1" applyFill="1" applyBorder="1" applyAlignment="1">
      <alignment horizontal="center"/>
    </xf>
    <xf numFmtId="166" fontId="0" fillId="33" borderId="15" xfId="0" applyNumberFormat="1" applyFill="1" applyBorder="1" applyAlignment="1">
      <alignment horizontal="center"/>
    </xf>
    <xf numFmtId="166" fontId="0" fillId="33" borderId="10" xfId="0" applyNumberFormat="1" applyFill="1" applyBorder="1" applyAlignment="1">
      <alignment horizontal="center"/>
    </xf>
    <xf numFmtId="166" fontId="22" fillId="33" borderId="10" xfId="0" applyNumberFormat="1" applyFont="1" applyFill="1" applyBorder="1" applyAlignment="1">
      <alignment horizontal="center"/>
    </xf>
    <xf numFmtId="166" fontId="22" fillId="33" borderId="15" xfId="0" applyNumberFormat="1" applyFont="1" applyFill="1" applyBorder="1" applyAlignment="1">
      <alignment horizontal="center"/>
    </xf>
    <xf numFmtId="166" fontId="33" fillId="34" borderId="10" xfId="0" applyNumberFormat="1" applyFont="1" applyFill="1" applyBorder="1" applyAlignment="1">
      <alignment horizontal="center"/>
    </xf>
    <xf numFmtId="166" fontId="18" fillId="0" borderId="27" xfId="0" applyNumberFormat="1" applyFont="1" applyBorder="1" applyAlignment="1">
      <alignment horizontal="center"/>
    </xf>
    <xf numFmtId="169" fontId="0" fillId="0" borderId="0" xfId="0" applyNumberFormat="1"/>
    <xf numFmtId="1" fontId="18" fillId="34" borderId="12" xfId="0" applyNumberFormat="1" applyFont="1" applyFill="1" applyBorder="1" applyAlignment="1">
      <alignment horizontal="center"/>
    </xf>
    <xf numFmtId="1" fontId="35" fillId="34" borderId="1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8" fillId="34" borderId="18" xfId="0" applyNumberFormat="1" applyFont="1" applyFill="1" applyBorder="1" applyAlignment="1">
      <alignment horizontal="center"/>
    </xf>
    <xf numFmtId="1" fontId="18" fillId="34" borderId="27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20" xfId="0" applyFont="1" applyBorder="1"/>
    <xf numFmtId="0" fontId="18" fillId="0" borderId="0" xfId="0" applyFont="1"/>
    <xf numFmtId="0" fontId="39" fillId="38" borderId="15" xfId="0" applyFont="1" applyFill="1" applyBorder="1"/>
    <xf numFmtId="0" fontId="39" fillId="38" borderId="28" xfId="0" applyFont="1" applyFill="1" applyBorder="1" applyAlignment="1">
      <alignment horizontal="center"/>
    </xf>
    <xf numFmtId="167" fontId="21" fillId="33" borderId="17" xfId="0" applyNumberFormat="1" applyFont="1" applyFill="1" applyBorder="1" applyAlignment="1">
      <alignment horizontal="center"/>
    </xf>
    <xf numFmtId="167" fontId="0" fillId="33" borderId="14" xfId="0" applyNumberFormat="1" applyFill="1" applyBorder="1" applyAlignment="1">
      <alignment horizontal="center"/>
    </xf>
    <xf numFmtId="166" fontId="20" fillId="34" borderId="14" xfId="0" applyNumberFormat="1" applyFont="1" applyFill="1" applyBorder="1"/>
    <xf numFmtId="167" fontId="0" fillId="34" borderId="11" xfId="0" applyNumberFormat="1" applyFill="1" applyBorder="1" applyAlignment="1"/>
    <xf numFmtId="0" fontId="0" fillId="34" borderId="12" xfId="0" applyFill="1" applyBorder="1" applyAlignment="1"/>
    <xf numFmtId="0" fontId="21" fillId="0" borderId="28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4" xfId="0" applyFont="1" applyBorder="1"/>
    <xf numFmtId="0" fontId="21" fillId="0" borderId="20" xfId="0" applyFont="1" applyBorder="1"/>
    <xf numFmtId="0" fontId="35" fillId="0" borderId="20" xfId="0" applyFont="1" applyBorder="1"/>
    <xf numFmtId="0" fontId="18" fillId="0" borderId="28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9" fontId="18" fillId="0" borderId="28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35" fillId="0" borderId="17" xfId="0" applyFont="1" applyBorder="1"/>
    <xf numFmtId="9" fontId="18" fillId="0" borderId="27" xfId="0" applyNumberFormat="1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5" fillId="0" borderId="11" xfId="0" applyFont="1" applyBorder="1"/>
    <xf numFmtId="0" fontId="18" fillId="0" borderId="1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9" fontId="18" fillId="0" borderId="16" xfId="0" applyNumberFormat="1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42" fillId="0" borderId="28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18" fillId="33" borderId="28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35" fillId="33" borderId="14" xfId="0" applyFont="1" applyFill="1" applyBorder="1"/>
    <xf numFmtId="0" fontId="18" fillId="33" borderId="15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0" fontId="18" fillId="33" borderId="27" xfId="0" applyFont="1" applyFill="1" applyBorder="1" applyAlignment="1">
      <alignment horizontal="center"/>
    </xf>
    <xf numFmtId="9" fontId="18" fillId="33" borderId="15" xfId="0" applyNumberFormat="1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4" xfId="0" applyFont="1" applyFill="1" applyBorder="1"/>
    <xf numFmtId="0" fontId="43" fillId="33" borderId="15" xfId="0" applyFont="1" applyFill="1" applyBorder="1" applyAlignment="1">
      <alignment horizontal="center"/>
    </xf>
    <xf numFmtId="0" fontId="43" fillId="33" borderId="10" xfId="0" applyFont="1" applyFill="1" applyBorder="1" applyAlignment="1">
      <alignment horizontal="center"/>
    </xf>
    <xf numFmtId="0" fontId="18" fillId="33" borderId="15" xfId="0" applyFont="1" applyFill="1" applyBorder="1"/>
    <xf numFmtId="0" fontId="18" fillId="33" borderId="0" xfId="0" applyFont="1" applyFill="1" applyBorder="1"/>
    <xf numFmtId="0" fontId="18" fillId="33" borderId="10" xfId="0" applyFont="1" applyFill="1" applyBorder="1"/>
    <xf numFmtId="0" fontId="35" fillId="33" borderId="17" xfId="0" applyFont="1" applyFill="1" applyBorder="1"/>
    <xf numFmtId="0" fontId="18" fillId="33" borderId="27" xfId="0" applyFont="1" applyFill="1" applyBorder="1"/>
    <xf numFmtId="0" fontId="18" fillId="33" borderId="18" xfId="0" applyFont="1" applyFill="1" applyBorder="1" applyAlignment="1">
      <alignment horizontal="center"/>
    </xf>
    <xf numFmtId="0" fontId="18" fillId="33" borderId="18" xfId="0" applyFont="1" applyFill="1" applyBorder="1"/>
    <xf numFmtId="0" fontId="18" fillId="33" borderId="19" xfId="0" applyFont="1" applyFill="1" applyBorder="1"/>
    <xf numFmtId="0" fontId="21" fillId="33" borderId="20" xfId="0" applyFont="1" applyFill="1" applyBorder="1"/>
    <xf numFmtId="0" fontId="16" fillId="39" borderId="45" xfId="0" applyFont="1" applyFill="1" applyBorder="1" applyAlignment="1">
      <alignment horizontal="center"/>
    </xf>
    <xf numFmtId="0" fontId="16" fillId="39" borderId="46" xfId="0" applyFont="1" applyFill="1" applyBorder="1" applyAlignment="1">
      <alignment horizontal="center"/>
    </xf>
    <xf numFmtId="0" fontId="16" fillId="39" borderId="47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44" fillId="36" borderId="48" xfId="0" applyFont="1" applyFill="1" applyBorder="1"/>
    <xf numFmtId="0" fontId="44" fillId="36" borderId="48" xfId="0" applyFont="1" applyFill="1" applyBorder="1" applyAlignment="1">
      <alignment horizontal="center"/>
    </xf>
    <xf numFmtId="0" fontId="16" fillId="39" borderId="17" xfId="0" applyFont="1" applyFill="1" applyBorder="1" applyAlignment="1">
      <alignment horizontal="center"/>
    </xf>
    <xf numFmtId="0" fontId="16" fillId="39" borderId="27" xfId="0" applyFont="1" applyFill="1" applyBorder="1" applyAlignment="1">
      <alignment horizontal="center"/>
    </xf>
    <xf numFmtId="0" fontId="16" fillId="39" borderId="18" xfId="0" applyFont="1" applyFill="1" applyBorder="1" applyAlignment="1">
      <alignment horizontal="center"/>
    </xf>
    <xf numFmtId="0" fontId="35" fillId="39" borderId="18" xfId="0" applyFont="1" applyFill="1" applyBorder="1" applyAlignment="1">
      <alignment horizontal="center"/>
    </xf>
    <xf numFmtId="0" fontId="16" fillId="39" borderId="19" xfId="0" applyFont="1" applyFill="1" applyBorder="1" applyAlignment="1">
      <alignment horizontal="center"/>
    </xf>
    <xf numFmtId="0" fontId="16" fillId="39" borderId="49" xfId="0" applyFont="1" applyFill="1" applyBorder="1"/>
    <xf numFmtId="0" fontId="42" fillId="0" borderId="16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167" fontId="0" fillId="34" borderId="18" xfId="0" applyNumberFormat="1" applyFill="1" applyBorder="1" applyAlignment="1">
      <alignment horizontal="center"/>
    </xf>
    <xf numFmtId="167" fontId="0" fillId="34" borderId="19" xfId="0" applyNumberFormat="1" applyFill="1" applyBorder="1" applyAlignment="1">
      <alignment horizontal="center"/>
    </xf>
    <xf numFmtId="49" fontId="0" fillId="0" borderId="18" xfId="0" applyNumberFormat="1" applyBorder="1"/>
    <xf numFmtId="0" fontId="0" fillId="0" borderId="50" xfId="0" applyBorder="1"/>
    <xf numFmtId="0" fontId="16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16" fillId="40" borderId="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0" fillId="34" borderId="51" xfId="0" applyFill="1" applyBorder="1" applyAlignment="1">
      <alignment horizontal="center"/>
    </xf>
    <xf numFmtId="2" fontId="0" fillId="40" borderId="0" xfId="0" applyNumberFormat="1" applyFill="1" applyBorder="1"/>
    <xf numFmtId="0" fontId="0" fillId="34" borderId="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166" fontId="0" fillId="0" borderId="53" xfId="0" applyNumberFormat="1" applyFill="1" applyBorder="1"/>
    <xf numFmtId="166" fontId="0" fillId="34" borderId="31" xfId="0" applyNumberFormat="1" applyFill="1" applyBorder="1"/>
    <xf numFmtId="0" fontId="0" fillId="0" borderId="31" xfId="0" applyFill="1" applyBorder="1"/>
    <xf numFmtId="2" fontId="0" fillId="40" borderId="21" xfId="0" applyNumberFormat="1" applyFill="1" applyBorder="1"/>
    <xf numFmtId="166" fontId="0" fillId="0" borderId="54" xfId="0" applyNumberFormat="1" applyFill="1" applyBorder="1"/>
    <xf numFmtId="166" fontId="0" fillId="34" borderId="32" xfId="0" applyNumberFormat="1" applyFill="1" applyBorder="1"/>
    <xf numFmtId="2" fontId="0" fillId="0" borderId="21" xfId="0" applyNumberFormat="1" applyBorder="1"/>
    <xf numFmtId="2" fontId="0" fillId="0" borderId="12" xfId="0" applyNumberFormat="1" applyBorder="1"/>
    <xf numFmtId="2" fontId="0" fillId="0" borderId="0" xfId="0" applyNumberFormat="1"/>
    <xf numFmtId="17" fontId="0" fillId="0" borderId="0" xfId="0" applyNumberFormat="1"/>
    <xf numFmtId="166" fontId="0" fillId="0" borderId="28" xfId="0" applyNumberFormat="1" applyFill="1" applyBorder="1"/>
    <xf numFmtId="2" fontId="14" fillId="40" borderId="0" xfId="0" applyNumberFormat="1" applyFont="1" applyFill="1" applyBorder="1"/>
    <xf numFmtId="2" fontId="14" fillId="40" borderId="21" xfId="0" applyNumberFormat="1" applyFont="1" applyFill="1" applyBorder="1"/>
    <xf numFmtId="1" fontId="0" fillId="0" borderId="15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9" fontId="0" fillId="0" borderId="12" xfId="0" applyNumberFormat="1" applyBorder="1"/>
    <xf numFmtId="2" fontId="0" fillId="0" borderId="11" xfId="0" applyNumberFormat="1" applyBorder="1" applyAlignment="1">
      <alignment horizontal="center"/>
    </xf>
    <xf numFmtId="169" fontId="0" fillId="0" borderId="11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168" fontId="0" fillId="0" borderId="0" xfId="0" applyNumberFormat="1"/>
    <xf numFmtId="165" fontId="0" fillId="0" borderId="12" xfId="0" applyNumberFormat="1" applyBorder="1"/>
    <xf numFmtId="169" fontId="0" fillId="0" borderId="15" xfId="0" applyNumberFormat="1" applyBorder="1"/>
    <xf numFmtId="17" fontId="0" fillId="33" borderId="12" xfId="0" applyNumberFormat="1" applyFill="1" applyBorder="1"/>
    <xf numFmtId="0" fontId="0" fillId="33" borderId="11" xfId="0" applyFill="1" applyBorder="1"/>
    <xf numFmtId="165" fontId="0" fillId="33" borderId="12" xfId="0" applyNumberFormat="1" applyFill="1" applyBorder="1"/>
    <xf numFmtId="166" fontId="0" fillId="33" borderId="11" xfId="0" applyNumberFormat="1" applyFill="1" applyBorder="1"/>
    <xf numFmtId="1" fontId="0" fillId="0" borderId="27" xfId="0" applyNumberFormat="1" applyBorder="1"/>
    <xf numFmtId="1" fontId="0" fillId="0" borderId="15" xfId="0" applyNumberFormat="1" applyBorder="1"/>
    <xf numFmtId="166" fontId="18" fillId="0" borderId="0" xfId="0" applyNumberFormat="1" applyFont="1" applyBorder="1"/>
    <xf numFmtId="166" fontId="18" fillId="0" borderId="17" xfId="0" applyNumberFormat="1" applyFont="1" applyBorder="1"/>
    <xf numFmtId="166" fontId="18" fillId="0" borderId="18" xfId="0" applyNumberFormat="1" applyFont="1" applyBorder="1"/>
    <xf numFmtId="166" fontId="18" fillId="0" borderId="19" xfId="0" applyNumberFormat="1" applyFont="1" applyBorder="1"/>
    <xf numFmtId="166" fontId="0" fillId="0" borderId="22" xfId="0" applyNumberFormat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0" fontId="0" fillId="33" borderId="17" xfId="0" applyFill="1" applyBorder="1"/>
    <xf numFmtId="0" fontId="0" fillId="33" borderId="18" xfId="0" applyFill="1" applyBorder="1"/>
    <xf numFmtId="166" fontId="0" fillId="33" borderId="18" xfId="0" applyNumberFormat="1" applyFill="1" applyBorder="1"/>
    <xf numFmtId="0" fontId="0" fillId="33" borderId="19" xfId="0" applyFill="1" applyBorder="1"/>
    <xf numFmtId="0" fontId="0" fillId="0" borderId="16" xfId="0" applyFont="1" applyBorder="1"/>
    <xf numFmtId="167" fontId="0" fillId="0" borderId="12" xfId="0" applyNumberFormat="1" applyFont="1" applyBorder="1"/>
    <xf numFmtId="1" fontId="0" fillId="33" borderId="14" xfId="0" applyNumberFormat="1" applyFill="1" applyBorder="1" applyAlignment="1">
      <alignment horizontal="center"/>
    </xf>
    <xf numFmtId="166" fontId="0" fillId="33" borderId="0" xfId="0" applyNumberFormat="1" applyFill="1" applyBorder="1"/>
    <xf numFmtId="0" fontId="0" fillId="33" borderId="10" xfId="0" applyFill="1" applyBorder="1"/>
    <xf numFmtId="0" fontId="0" fillId="0" borderId="10" xfId="0" applyFont="1" applyBorder="1"/>
    <xf numFmtId="0" fontId="0" fillId="0" borderId="15" xfId="0" applyFont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1" fontId="0" fillId="33" borderId="20" xfId="0" applyNumberFormat="1" applyFill="1" applyBorder="1" applyAlignment="1">
      <alignment horizontal="center"/>
    </xf>
    <xf numFmtId="0" fontId="0" fillId="33" borderId="21" xfId="0" applyFill="1" applyBorder="1"/>
    <xf numFmtId="166" fontId="0" fillId="33" borderId="21" xfId="0" applyNumberFormat="1" applyFill="1" applyBorder="1"/>
    <xf numFmtId="0" fontId="0" fillId="33" borderId="22" xfId="0" applyFill="1" applyBorder="1"/>
    <xf numFmtId="1" fontId="0" fillId="0" borderId="0" xfId="0" applyNumberFormat="1" applyBorder="1" applyAlignment="1">
      <alignment horizontal="center"/>
    </xf>
    <xf numFmtId="0" fontId="0" fillId="0" borderId="14" xfId="0" applyFont="1" applyFill="1" applyBorder="1"/>
    <xf numFmtId="0" fontId="0" fillId="0" borderId="10" xfId="0" applyFont="1" applyFill="1" applyBorder="1"/>
    <xf numFmtId="0" fontId="0" fillId="35" borderId="14" xfId="0" applyFont="1" applyFill="1" applyBorder="1"/>
    <xf numFmtId="0" fontId="0" fillId="35" borderId="0" xfId="0" applyFont="1" applyFill="1" applyBorder="1"/>
    <xf numFmtId="0" fontId="0" fillId="35" borderId="10" xfId="0" applyFont="1" applyFill="1" applyBorder="1"/>
    <xf numFmtId="0" fontId="0" fillId="35" borderId="15" xfId="0" applyFont="1" applyFill="1" applyBorder="1"/>
    <xf numFmtId="166" fontId="0" fillId="35" borderId="0" xfId="0" applyNumberFormat="1" applyFont="1" applyFill="1" applyBorder="1"/>
    <xf numFmtId="167" fontId="0" fillId="35" borderId="0" xfId="0" applyNumberFormat="1" applyFont="1" applyFill="1" applyBorder="1"/>
    <xf numFmtId="166" fontId="0" fillId="35" borderId="14" xfId="0" applyNumberFormat="1" applyFill="1" applyBorder="1"/>
    <xf numFmtId="166" fontId="0" fillId="35" borderId="0" xfId="0" applyNumberFormat="1" applyFill="1" applyBorder="1"/>
    <xf numFmtId="1" fontId="0" fillId="0" borderId="20" xfId="0" applyNumberFormat="1" applyBorder="1" applyAlignment="1">
      <alignment horizontal="center"/>
    </xf>
    <xf numFmtId="166" fontId="0" fillId="0" borderId="0" xfId="0" applyNumberFormat="1" applyFont="1" applyBorder="1"/>
    <xf numFmtId="1" fontId="0" fillId="35" borderId="14" xfId="0" applyNumberFormat="1" applyFill="1" applyBorder="1" applyAlignment="1">
      <alignment horizontal="center"/>
    </xf>
    <xf numFmtId="0" fontId="0" fillId="35" borderId="0" xfId="0" applyFill="1" applyBorder="1"/>
    <xf numFmtId="1" fontId="0" fillId="35" borderId="17" xfId="0" applyNumberFormat="1" applyFill="1" applyBorder="1" applyAlignment="1">
      <alignment horizontal="center"/>
    </xf>
    <xf numFmtId="0" fontId="0" fillId="35" borderId="18" xfId="0" applyFill="1" applyBorder="1"/>
    <xf numFmtId="166" fontId="0" fillId="35" borderId="18" xfId="0" applyNumberFormat="1" applyFill="1" applyBorder="1"/>
    <xf numFmtId="166" fontId="0" fillId="35" borderId="17" xfId="0" applyNumberFormat="1" applyFill="1" applyBorder="1"/>
    <xf numFmtId="166" fontId="0" fillId="35" borderId="19" xfId="0" applyNumberFormat="1" applyFill="1" applyBorder="1"/>
    <xf numFmtId="166" fontId="0" fillId="35" borderId="10" xfId="0" applyNumberFormat="1" applyFill="1" applyBorder="1"/>
    <xf numFmtId="0" fontId="14" fillId="0" borderId="15" xfId="0" applyFont="1" applyBorder="1"/>
    <xf numFmtId="1" fontId="0" fillId="35" borderId="20" xfId="0" applyNumberFormat="1" applyFill="1" applyBorder="1" applyAlignment="1">
      <alignment horizontal="center"/>
    </xf>
    <xf numFmtId="0" fontId="0" fillId="35" borderId="21" xfId="0" applyFill="1" applyBorder="1"/>
    <xf numFmtId="166" fontId="0" fillId="35" borderId="21" xfId="0" applyNumberFormat="1" applyFill="1" applyBorder="1"/>
    <xf numFmtId="166" fontId="0" fillId="35" borderId="20" xfId="0" applyNumberFormat="1" applyFill="1" applyBorder="1"/>
    <xf numFmtId="166" fontId="0" fillId="35" borderId="22" xfId="0" applyNumberFormat="1" applyFill="1" applyBorder="1"/>
    <xf numFmtId="1" fontId="0" fillId="35" borderId="0" xfId="0" applyNumberFormat="1" applyFill="1" applyBorder="1" applyAlignment="1">
      <alignment horizontal="center"/>
    </xf>
    <xf numFmtId="166" fontId="20" fillId="35" borderId="14" xfId="0" applyNumberFormat="1" applyFont="1" applyFill="1" applyBorder="1"/>
    <xf numFmtId="166" fontId="20" fillId="35" borderId="0" xfId="0" applyNumberFormat="1" applyFont="1" applyFill="1" applyBorder="1"/>
    <xf numFmtId="1" fontId="0" fillId="33" borderId="0" xfId="0" applyNumberFormat="1" applyFill="1" applyBorder="1" applyAlignment="1">
      <alignment horizontal="center"/>
    </xf>
    <xf numFmtId="166" fontId="0" fillId="33" borderId="14" xfId="0" applyNumberFormat="1" applyFill="1" applyBorder="1"/>
    <xf numFmtId="166" fontId="0" fillId="33" borderId="0" xfId="0" applyNumberFormat="1" applyFill="1" applyBorder="1" applyAlignment="1">
      <alignment horizontal="center"/>
    </xf>
    <xf numFmtId="0" fontId="14" fillId="35" borderId="15" xfId="0" applyFont="1" applyFill="1" applyBorder="1"/>
    <xf numFmtId="166" fontId="14" fillId="35" borderId="0" xfId="0" applyNumberFormat="1" applyFont="1" applyFill="1" applyBorder="1"/>
    <xf numFmtId="166" fontId="14" fillId="34" borderId="0" xfId="0" applyNumberFormat="1" applyFont="1" applyFill="1" applyBorder="1"/>
    <xf numFmtId="0" fontId="0" fillId="35" borderId="20" xfId="0" applyFont="1" applyFill="1" applyBorder="1"/>
    <xf numFmtId="0" fontId="0" fillId="35" borderId="21" xfId="0" applyFont="1" applyFill="1" applyBorder="1"/>
    <xf numFmtId="0" fontId="0" fillId="35" borderId="22" xfId="0" applyFont="1" applyFill="1" applyBorder="1"/>
    <xf numFmtId="1" fontId="16" fillId="0" borderId="17" xfId="0" applyNumberFormat="1" applyFont="1" applyBorder="1"/>
    <xf numFmtId="0" fontId="0" fillId="0" borderId="19" xfId="0" applyFont="1" applyFill="1" applyBorder="1"/>
    <xf numFmtId="0" fontId="16" fillId="0" borderId="21" xfId="0" applyFont="1" applyFill="1" applyBorder="1"/>
    <xf numFmtId="1" fontId="0" fillId="33" borderId="18" xfId="0" applyNumberFormat="1" applyFill="1" applyBorder="1" applyAlignment="1">
      <alignment horizontal="center"/>
    </xf>
    <xf numFmtId="166" fontId="0" fillId="33" borderId="17" xfId="0" applyNumberFormat="1" applyFill="1" applyBorder="1"/>
    <xf numFmtId="166" fontId="0" fillId="33" borderId="21" xfId="0" applyNumberFormat="1" applyFill="1" applyBorder="1" applyAlignment="1">
      <alignment horizontal="center"/>
    </xf>
    <xf numFmtId="166" fontId="0" fillId="33" borderId="20" xfId="0" applyNumberFormat="1" applyFill="1" applyBorder="1"/>
    <xf numFmtId="1" fontId="0" fillId="35" borderId="0" xfId="0" applyNumberFormat="1" applyFill="1"/>
    <xf numFmtId="0" fontId="0" fillId="35" borderId="0" xfId="0" applyFill="1"/>
    <xf numFmtId="166" fontId="0" fillId="35" borderId="0" xfId="0" applyNumberFormat="1" applyFill="1"/>
    <xf numFmtId="1" fontId="0" fillId="35" borderId="18" xfId="0" applyNumberFormat="1" applyFill="1" applyBorder="1"/>
    <xf numFmtId="166" fontId="14" fillId="0" borderId="14" xfId="0" applyNumberFormat="1" applyFont="1" applyBorder="1"/>
    <xf numFmtId="166" fontId="14" fillId="0" borderId="0" xfId="0" applyNumberFormat="1" applyFont="1" applyBorder="1"/>
    <xf numFmtId="1" fontId="0" fillId="35" borderId="0" xfId="0" applyNumberFormat="1" applyFill="1" applyBorder="1"/>
    <xf numFmtId="1" fontId="14" fillId="0" borderId="0" xfId="0" applyNumberFormat="1" applyFont="1" applyBorder="1"/>
    <xf numFmtId="1" fontId="0" fillId="35" borderId="21" xfId="0" applyNumberFormat="1" applyFill="1" applyBorder="1"/>
    <xf numFmtId="1" fontId="0" fillId="34" borderId="0" xfId="0" applyNumberFormat="1" applyFill="1" applyBorder="1"/>
    <xf numFmtId="1" fontId="14" fillId="0" borderId="15" xfId="0" applyNumberFormat="1" applyFont="1" applyBorder="1"/>
    <xf numFmtId="1" fontId="0" fillId="33" borderId="18" xfId="0" applyNumberFormat="1" applyFill="1" applyBorder="1"/>
    <xf numFmtId="1" fontId="0" fillId="34" borderId="14" xfId="0" applyNumberFormat="1" applyFill="1" applyBorder="1" applyAlignment="1">
      <alignment horizontal="center"/>
    </xf>
    <xf numFmtId="1" fontId="30" fillId="34" borderId="21" xfId="0" applyNumberFormat="1" applyFont="1" applyFill="1" applyBorder="1" applyAlignment="1">
      <alignment horizontal="center"/>
    </xf>
    <xf numFmtId="17" fontId="0" fillId="33" borderId="0" xfId="0" applyNumberFormat="1" applyFill="1" applyBorder="1"/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3" borderId="27" xfId="0" applyFill="1" applyBorder="1"/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1" fontId="0" fillId="33" borderId="13" xfId="0" applyNumberFormat="1" applyFill="1" applyBorder="1"/>
    <xf numFmtId="1" fontId="0" fillId="39" borderId="0" xfId="0" applyNumberFormat="1" applyFill="1" applyBorder="1" applyAlignment="1">
      <alignment horizontal="center"/>
    </xf>
    <xf numFmtId="1" fontId="0" fillId="39" borderId="27" xfId="0" applyNumberFormat="1" applyFill="1" applyBorder="1"/>
    <xf numFmtId="1" fontId="0" fillId="39" borderId="15" xfId="0" applyNumberFormat="1" applyFill="1" applyBorder="1"/>
    <xf numFmtId="1" fontId="0" fillId="39" borderId="15" xfId="0" applyNumberFormat="1" applyFill="1" applyBorder="1" applyAlignment="1">
      <alignment horizontal="center"/>
    </xf>
    <xf numFmtId="1" fontId="0" fillId="39" borderId="28" xfId="0" applyNumberFormat="1" applyFill="1" applyBorder="1"/>
    <xf numFmtId="1" fontId="0" fillId="39" borderId="13" xfId="0" applyNumberFormat="1" applyFill="1" applyBorder="1"/>
    <xf numFmtId="17" fontId="0" fillId="33" borderId="19" xfId="0" applyNumberFormat="1" applyFill="1" applyBorder="1"/>
    <xf numFmtId="0" fontId="0" fillId="33" borderId="0" xfId="0" applyFont="1" applyFill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1" fontId="0" fillId="39" borderId="19" xfId="0" applyNumberFormat="1" applyFill="1" applyBorder="1" applyAlignment="1">
      <alignment horizontal="center"/>
    </xf>
    <xf numFmtId="1" fontId="0" fillId="39" borderId="10" xfId="0" applyNumberFormat="1" applyFill="1" applyBorder="1" applyAlignment="1">
      <alignment horizontal="center"/>
    </xf>
    <xf numFmtId="1" fontId="0" fillId="39" borderId="13" xfId="0" applyNumberFormat="1" applyFill="1" applyBorder="1" applyAlignment="1">
      <alignment horizontal="center"/>
    </xf>
    <xf numFmtId="1" fontId="0" fillId="39" borderId="2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3" fillId="38" borderId="15" xfId="0" applyFont="1" applyFill="1" applyBorder="1"/>
    <xf numFmtId="0" fontId="0" fillId="39" borderId="27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171" fontId="0" fillId="33" borderId="12" xfId="0" applyNumberFormat="1" applyFill="1" applyBorder="1"/>
    <xf numFmtId="168" fontId="0" fillId="33" borderId="12" xfId="0" applyNumberFormat="1" applyFill="1" applyBorder="1"/>
    <xf numFmtId="168" fontId="0" fillId="33" borderId="0" xfId="0" applyNumberFormat="1" applyFill="1" applyBorder="1"/>
    <xf numFmtId="168" fontId="0" fillId="33" borderId="21" xfId="0" applyNumberFormat="1" applyFill="1" applyBorder="1"/>
    <xf numFmtId="167" fontId="0" fillId="0" borderId="28" xfId="0" applyNumberFormat="1" applyBorder="1"/>
    <xf numFmtId="167" fontId="0" fillId="0" borderId="20" xfId="0" applyNumberFormat="1" applyBorder="1"/>
    <xf numFmtId="11" fontId="0" fillId="0" borderId="17" xfId="0" applyNumberFormat="1" applyBorder="1" applyAlignment="1">
      <alignment horizontal="center"/>
    </xf>
    <xf numFmtId="165" fontId="0" fillId="0" borderId="18" xfId="0" applyNumberFormat="1" applyBorder="1"/>
    <xf numFmtId="165" fontId="0" fillId="0" borderId="0" xfId="0" applyNumberFormat="1" applyBorder="1"/>
    <xf numFmtId="165" fontId="0" fillId="0" borderId="21" xfId="0" applyNumberFormat="1" applyBorder="1"/>
    <xf numFmtId="168" fontId="0" fillId="33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8" fontId="0" fillId="33" borderId="18" xfId="0" applyNumberFormat="1" applyFill="1" applyBorder="1"/>
    <xf numFmtId="166" fontId="0" fillId="0" borderId="0" xfId="0" applyNumberFormat="1" applyFill="1" applyAlignment="1">
      <alignment horizontal="center"/>
    </xf>
    <xf numFmtId="0" fontId="0" fillId="39" borderId="0" xfId="0" applyFill="1" applyAlignment="1">
      <alignment horizontal="center"/>
    </xf>
    <xf numFmtId="0" fontId="0" fillId="39" borderId="13" xfId="0" applyFill="1" applyBorder="1" applyAlignment="1">
      <alignment horizontal="center"/>
    </xf>
    <xf numFmtId="168" fontId="0" fillId="0" borderId="0" xfId="0" applyNumberFormat="1" applyFill="1"/>
    <xf numFmtId="168" fontId="0" fillId="0" borderId="0" xfId="0" applyNumberFormat="1" applyFill="1" applyAlignment="1">
      <alignment horizontal="center"/>
    </xf>
    <xf numFmtId="168" fontId="0" fillId="0" borderId="12" xfId="0" applyNumberFormat="1" applyFill="1" applyBorder="1"/>
    <xf numFmtId="0" fontId="0" fillId="0" borderId="13" xfId="0" applyFill="1" applyBorder="1" applyAlignment="1">
      <alignment horizontal="center"/>
    </xf>
    <xf numFmtId="168" fontId="0" fillId="0" borderId="18" xfId="0" applyNumberFormat="1" applyFill="1" applyBorder="1"/>
    <xf numFmtId="168" fontId="0" fillId="0" borderId="0" xfId="0" applyNumberFormat="1" applyFill="1" applyBorder="1"/>
    <xf numFmtId="168" fontId="0" fillId="0" borderId="21" xfId="0" applyNumberFormat="1" applyFill="1" applyBorder="1"/>
    <xf numFmtId="0" fontId="44" fillId="36" borderId="21" xfId="0" applyFont="1" applyFill="1" applyBorder="1"/>
    <xf numFmtId="0" fontId="40" fillId="39" borderId="17" xfId="0" applyFont="1" applyFill="1" applyBorder="1" applyAlignment="1">
      <alignment horizontal="center"/>
    </xf>
    <xf numFmtId="0" fontId="40" fillId="39" borderId="49" xfId="0" applyFont="1" applyFill="1" applyBorder="1" applyAlignment="1">
      <alignment horizontal="center"/>
    </xf>
    <xf numFmtId="0" fontId="18" fillId="0" borderId="0" xfId="0" applyFont="1" applyFill="1"/>
    <xf numFmtId="0" fontId="39" fillId="38" borderId="14" xfId="0" applyFont="1" applyFill="1" applyBorder="1"/>
    <xf numFmtId="0" fontId="39" fillId="38" borderId="20" xfId="0" applyFont="1" applyFill="1" applyBorder="1"/>
    <xf numFmtId="0" fontId="39" fillId="38" borderId="17" xfId="0" applyFont="1" applyFill="1" applyBorder="1" applyAlignment="1">
      <alignment horizontal="center"/>
    </xf>
    <xf numFmtId="0" fontId="39" fillId="38" borderId="20" xfId="0" applyFont="1" applyFill="1" applyBorder="1" applyAlignment="1">
      <alignment horizontal="center"/>
    </xf>
    <xf numFmtId="0" fontId="41" fillId="38" borderId="17" xfId="0" applyFont="1" applyFill="1" applyBorder="1"/>
    <xf numFmtId="0" fontId="39" fillId="38" borderId="17" xfId="0" applyFont="1" applyFill="1" applyBorder="1"/>
    <xf numFmtId="0" fontId="18" fillId="41" borderId="27" xfId="0" applyFont="1" applyFill="1" applyBorder="1"/>
    <xf numFmtId="0" fontId="39" fillId="41" borderId="15" xfId="0" applyFont="1" applyFill="1" applyBorder="1"/>
    <xf numFmtId="0" fontId="41" fillId="41" borderId="15" xfId="0" applyFont="1" applyFill="1" applyBorder="1"/>
    <xf numFmtId="0" fontId="44" fillId="41" borderId="15" xfId="0" applyFont="1" applyFill="1" applyBorder="1"/>
    <xf numFmtId="0" fontId="40" fillId="41" borderId="15" xfId="0" applyFont="1" applyFill="1" applyBorder="1" applyAlignment="1">
      <alignment horizontal="center"/>
    </xf>
    <xf numFmtId="0" fontId="39" fillId="41" borderId="15" xfId="0" applyFont="1" applyFill="1" applyBorder="1" applyAlignment="1">
      <alignment horizontal="center"/>
    </xf>
    <xf numFmtId="0" fontId="0" fillId="39" borderId="11" xfId="0" applyFill="1" applyBorder="1"/>
    <xf numFmtId="0" fontId="0" fillId="39" borderId="12" xfId="0" applyFill="1" applyBorder="1"/>
    <xf numFmtId="166" fontId="0" fillId="33" borderId="0" xfId="0" applyNumberFormat="1" applyFill="1"/>
    <xf numFmtId="171" fontId="0" fillId="0" borderId="12" xfId="0" applyNumberFormat="1" applyBorder="1"/>
    <xf numFmtId="165" fontId="0" fillId="0" borderId="19" xfId="0" applyNumberFormat="1" applyBorder="1"/>
    <xf numFmtId="165" fontId="0" fillId="0" borderId="10" xfId="0" applyNumberFormat="1" applyBorder="1"/>
    <xf numFmtId="165" fontId="0" fillId="0" borderId="13" xfId="0" applyNumberFormat="1" applyBorder="1"/>
    <xf numFmtId="171" fontId="0" fillId="0" borderId="0" xfId="0" applyNumberFormat="1" applyBorder="1"/>
    <xf numFmtId="171" fontId="0" fillId="33" borderId="0" xfId="0" applyNumberFormat="1" applyFill="1" applyBorder="1"/>
    <xf numFmtId="1" fontId="14" fillId="34" borderId="14" xfId="0" applyNumberFormat="1" applyFont="1" applyFill="1" applyBorder="1" applyAlignment="1">
      <alignment horizontal="center"/>
    </xf>
    <xf numFmtId="0" fontId="0" fillId="41" borderId="27" xfId="0" applyFill="1" applyBorder="1"/>
    <xf numFmtId="0" fontId="0" fillId="41" borderId="15" xfId="0" applyFill="1" applyBorder="1"/>
    <xf numFmtId="0" fontId="0" fillId="41" borderId="28" xfId="0" applyFill="1" applyBorder="1"/>
    <xf numFmtId="0" fontId="0" fillId="33" borderId="0" xfId="0" applyFill="1" applyBorder="1" applyAlignment="1">
      <alignment horizontal="center"/>
    </xf>
    <xf numFmtId="1" fontId="0" fillId="33" borderId="12" xfId="0" applyNumberFormat="1" applyFill="1" applyBorder="1"/>
    <xf numFmtId="1" fontId="0" fillId="39" borderId="18" xfId="0" applyNumberFormat="1" applyFill="1" applyBorder="1" applyAlignment="1">
      <alignment horizontal="center"/>
    </xf>
    <xf numFmtId="1" fontId="0" fillId="39" borderId="12" xfId="0" applyNumberFormat="1" applyFill="1" applyBorder="1" applyAlignment="1">
      <alignment horizontal="center"/>
    </xf>
    <xf numFmtId="1" fontId="0" fillId="39" borderId="0" xfId="0" applyNumberFormat="1" applyFill="1" applyBorder="1"/>
    <xf numFmtId="1" fontId="0" fillId="39" borderId="12" xfId="0" applyNumberFormat="1" applyFill="1" applyBorder="1"/>
    <xf numFmtId="0" fontId="19" fillId="33" borderId="12" xfId="0" applyFont="1" applyFill="1" applyBorder="1"/>
    <xf numFmtId="0" fontId="19" fillId="33" borderId="18" xfId="0" applyFont="1" applyFill="1" applyBorder="1"/>
    <xf numFmtId="1" fontId="19" fillId="39" borderId="18" xfId="0" applyNumberFormat="1" applyFont="1" applyFill="1" applyBorder="1" applyAlignment="1">
      <alignment horizontal="center"/>
    </xf>
    <xf numFmtId="0" fontId="19" fillId="33" borderId="0" xfId="0" applyFont="1" applyFill="1" applyBorder="1"/>
    <xf numFmtId="1" fontId="19" fillId="39" borderId="0" xfId="0" applyNumberFormat="1" applyFont="1" applyFill="1" applyBorder="1" applyAlignment="1">
      <alignment horizontal="center"/>
    </xf>
    <xf numFmtId="1" fontId="19" fillId="39" borderId="12" xfId="0" applyNumberFormat="1" applyFont="1" applyFill="1" applyBorder="1" applyAlignment="1">
      <alignment horizontal="center"/>
    </xf>
    <xf numFmtId="171" fontId="19" fillId="33" borderId="12" xfId="0" applyNumberFormat="1" applyFont="1" applyFill="1" applyBorder="1"/>
    <xf numFmtId="171" fontId="19" fillId="33" borderId="0" xfId="0" applyNumberFormat="1" applyFont="1" applyFill="1" applyBorder="1"/>
    <xf numFmtId="1" fontId="19" fillId="39" borderId="0" xfId="0" applyNumberFormat="1" applyFont="1" applyFill="1" applyBorder="1"/>
    <xf numFmtId="1" fontId="19" fillId="39" borderId="12" xfId="0" applyNumberFormat="1" applyFont="1" applyFill="1" applyBorder="1"/>
    <xf numFmtId="0" fontId="18" fillId="33" borderId="17" xfId="0" applyFont="1" applyFill="1" applyBorder="1"/>
    <xf numFmtId="0" fontId="18" fillId="33" borderId="20" xfId="0" applyFont="1" applyFill="1" applyBorder="1"/>
    <xf numFmtId="0" fontId="0" fillId="33" borderId="20" xfId="0" applyFill="1" applyBorder="1"/>
    <xf numFmtId="0" fontId="0" fillId="0" borderId="28" xfId="0" applyFont="1" applyBorder="1" applyAlignment="1">
      <alignment horizontal="center" vertical="center"/>
    </xf>
    <xf numFmtId="0" fontId="35" fillId="33" borderId="20" xfId="0" applyFont="1" applyFill="1" applyBorder="1" applyAlignment="1">
      <alignment vertical="center"/>
    </xf>
    <xf numFmtId="0" fontId="18" fillId="33" borderId="28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9" fontId="18" fillId="33" borderId="28" xfId="0" applyNumberFormat="1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39" fillId="38" borderId="14" xfId="0" applyFont="1" applyFill="1" applyBorder="1" applyAlignment="1">
      <alignment vertical="center"/>
    </xf>
    <xf numFmtId="0" fontId="39" fillId="41" borderId="15" xfId="0" applyFont="1" applyFill="1" applyBorder="1" applyAlignment="1">
      <alignment vertical="center"/>
    </xf>
    <xf numFmtId="1" fontId="0" fillId="33" borderId="0" xfId="0" applyNumberFormat="1" applyFill="1" applyAlignment="1">
      <alignment horizontal="center"/>
    </xf>
    <xf numFmtId="0" fontId="39" fillId="38" borderId="16" xfId="0" applyFont="1" applyFill="1" applyBorder="1" applyAlignment="1">
      <alignment horizontal="center"/>
    </xf>
    <xf numFmtId="0" fontId="43" fillId="38" borderId="28" xfId="0" applyFont="1" applyFill="1" applyBorder="1"/>
    <xf numFmtId="0" fontId="18" fillId="41" borderId="15" xfId="0" applyFont="1" applyFill="1" applyBorder="1"/>
    <xf numFmtId="0" fontId="43" fillId="38" borderId="55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1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33" borderId="11" xfId="0" applyNumberFormat="1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2" fontId="0" fillId="0" borderId="16" xfId="0" applyNumberFormat="1" applyBorder="1"/>
    <xf numFmtId="2" fontId="0" fillId="0" borderId="13" xfId="0" applyNumberFormat="1" applyBorder="1"/>
    <xf numFmtId="2" fontId="0" fillId="0" borderId="11" xfId="0" applyNumberFormat="1" applyBorder="1"/>
    <xf numFmtId="166" fontId="0" fillId="34" borderId="11" xfId="0" applyNumberFormat="1" applyFill="1" applyBorder="1"/>
    <xf numFmtId="0" fontId="16" fillId="34" borderId="21" xfId="0" applyFont="1" applyFill="1" applyBorder="1"/>
    <xf numFmtId="164" fontId="0" fillId="33" borderId="12" xfId="0" applyNumberFormat="1" applyFill="1" applyBorder="1"/>
    <xf numFmtId="164" fontId="0" fillId="0" borderId="14" xfId="0" applyNumberFormat="1" applyBorder="1"/>
    <xf numFmtId="164" fontId="0" fillId="0" borderId="11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0" fillId="33" borderId="14" xfId="0" applyNumberFormat="1" applyFill="1" applyBorder="1" applyAlignment="1">
      <alignment horizontal="center"/>
    </xf>
    <xf numFmtId="164" fontId="0" fillId="0" borderId="21" xfId="0" applyNumberFormat="1" applyBorder="1"/>
    <xf numFmtId="164" fontId="0" fillId="34" borderId="11" xfId="0" applyNumberFormat="1" applyFill="1" applyBorder="1"/>
    <xf numFmtId="164" fontId="0" fillId="34" borderId="14" xfId="0" applyNumberFormat="1" applyFill="1" applyBorder="1"/>
    <xf numFmtId="164" fontId="19" fillId="42" borderId="0" xfId="0" applyNumberFormat="1" applyFont="1" applyFill="1" applyBorder="1" applyAlignment="1">
      <alignment horizontal="center"/>
    </xf>
    <xf numFmtId="164" fontId="19" fillId="42" borderId="12" xfId="0" applyNumberFormat="1" applyFont="1" applyFill="1" applyBorder="1"/>
    <xf numFmtId="164" fontId="19" fillId="42" borderId="0" xfId="0" applyNumberFormat="1" applyFont="1" applyFill="1" applyBorder="1"/>
    <xf numFmtId="164" fontId="19" fillId="42" borderId="13" xfId="0" applyNumberFormat="1" applyFont="1" applyFill="1" applyBorder="1"/>
    <xf numFmtId="166" fontId="20" fillId="42" borderId="0" xfId="0" applyNumberFormat="1" applyFont="1" applyFill="1" applyBorder="1" applyAlignment="1">
      <alignment horizontal="center"/>
    </xf>
    <xf numFmtId="166" fontId="20" fillId="42" borderId="12" xfId="0" applyNumberFormat="1" applyFont="1" applyFill="1" applyBorder="1"/>
    <xf numFmtId="166" fontId="20" fillId="42" borderId="0" xfId="0" applyNumberFormat="1" applyFont="1" applyFill="1" applyBorder="1"/>
    <xf numFmtId="172" fontId="0" fillId="0" borderId="0" xfId="0" applyNumberFormat="1"/>
    <xf numFmtId="164" fontId="0" fillId="34" borderId="12" xfId="0" applyNumberFormat="1" applyFill="1" applyBorder="1"/>
    <xf numFmtId="164" fontId="0" fillId="34" borderId="0" xfId="0" applyNumberFormat="1" applyFill="1" applyBorder="1"/>
    <xf numFmtId="1" fontId="0" fillId="39" borderId="11" xfId="0" applyNumberFormat="1" applyFill="1" applyBorder="1"/>
    <xf numFmtId="164" fontId="0" fillId="34" borderId="13" xfId="0" applyNumberFormat="1" applyFill="1" applyBorder="1"/>
    <xf numFmtId="164" fontId="0" fillId="34" borderId="10" xfId="0" applyNumberFormat="1" applyFill="1" applyBorder="1"/>
    <xf numFmtId="172" fontId="0" fillId="0" borderId="13" xfId="0" applyNumberFormat="1" applyBorder="1"/>
    <xf numFmtId="167" fontId="0" fillId="33" borderId="18" xfId="0" applyNumberFormat="1" applyFill="1" applyBorder="1"/>
    <xf numFmtId="167" fontId="0" fillId="33" borderId="19" xfId="0" applyNumberFormat="1" applyFill="1" applyBorder="1"/>
    <xf numFmtId="0" fontId="0" fillId="33" borderId="10" xfId="0" applyFill="1" applyBorder="1" applyAlignment="1">
      <alignment horizontal="center"/>
    </xf>
    <xf numFmtId="0" fontId="43" fillId="38" borderId="27" xfId="0" applyFont="1" applyFill="1" applyBorder="1"/>
    <xf numFmtId="0" fontId="22" fillId="34" borderId="17" xfId="0" applyFont="1" applyFill="1" applyBorder="1"/>
    <xf numFmtId="0" fontId="22" fillId="34" borderId="18" xfId="0" applyFont="1" applyFill="1" applyBorder="1"/>
    <xf numFmtId="0" fontId="22" fillId="34" borderId="19" xfId="0" applyFont="1" applyFill="1" applyBorder="1"/>
    <xf numFmtId="0" fontId="22" fillId="34" borderId="20" xfId="0" applyFont="1" applyFill="1" applyBorder="1"/>
    <xf numFmtId="0" fontId="22" fillId="34" borderId="21" xfId="0" applyFont="1" applyFill="1" applyBorder="1"/>
    <xf numFmtId="0" fontId="22" fillId="34" borderId="22" xfId="0" applyFont="1" applyFill="1" applyBorder="1"/>
    <xf numFmtId="9" fontId="0" fillId="0" borderId="15" xfId="0" applyNumberFormat="1" applyBorder="1"/>
    <xf numFmtId="1" fontId="16" fillId="0" borderId="20" xfId="0" applyNumberFormat="1" applyFont="1" applyBorder="1"/>
    <xf numFmtId="166" fontId="20" fillId="0" borderId="18" xfId="0" applyNumberFormat="1" applyFont="1" applyBorder="1"/>
    <xf numFmtId="166" fontId="20" fillId="0" borderId="19" xfId="0" applyNumberFormat="1" applyFont="1" applyBorder="1"/>
    <xf numFmtId="14" fontId="0" fillId="0" borderId="17" xfId="0" applyNumberFormat="1" applyBorder="1"/>
    <xf numFmtId="0" fontId="0" fillId="0" borderId="28" xfId="0" applyFont="1" applyFill="1" applyBorder="1"/>
    <xf numFmtId="166" fontId="0" fillId="33" borderId="22" xfId="0" applyNumberFormat="1" applyFill="1" applyBorder="1"/>
    <xf numFmtId="0" fontId="0" fillId="33" borderId="10" xfId="0" applyFont="1" applyFill="1" applyBorder="1" applyAlignment="1">
      <alignment horizontal="center"/>
    </xf>
    <xf numFmtId="166" fontId="20" fillId="33" borderId="18" xfId="0" applyNumberFormat="1" applyFont="1" applyFill="1" applyBorder="1"/>
    <xf numFmtId="166" fontId="0" fillId="33" borderId="10" xfId="0" applyNumberFormat="1" applyFont="1" applyFill="1" applyBorder="1" applyAlignment="1">
      <alignment horizontal="center"/>
    </xf>
    <xf numFmtId="9" fontId="18" fillId="33" borderId="28" xfId="0" applyNumberFormat="1" applyFont="1" applyFill="1" applyBorder="1" applyAlignment="1">
      <alignment horizontal="center" vertical="center" wrapText="1"/>
    </xf>
    <xf numFmtId="166" fontId="0" fillId="39" borderId="0" xfId="0" applyNumberFormat="1" applyFill="1" applyBorder="1"/>
    <xf numFmtId="0" fontId="18" fillId="33" borderId="22" xfId="0" applyFont="1" applyFill="1" applyBorder="1" applyAlignment="1">
      <alignment horizontal="center" vertical="center" wrapText="1"/>
    </xf>
    <xf numFmtId="167" fontId="0" fillId="34" borderId="0" xfId="0" applyNumberFormat="1" applyFill="1" applyBorder="1"/>
    <xf numFmtId="167" fontId="0" fillId="35" borderId="0" xfId="0" applyNumberFormat="1" applyFill="1" applyBorder="1"/>
    <xf numFmtId="0" fontId="40" fillId="39" borderId="27" xfId="0" applyFont="1" applyFill="1" applyBorder="1" applyAlignment="1">
      <alignment horizontal="center"/>
    </xf>
    <xf numFmtId="0" fontId="40" fillId="39" borderId="45" xfId="0" applyFont="1" applyFill="1" applyBorder="1" applyAlignment="1">
      <alignment horizontal="center"/>
    </xf>
    <xf numFmtId="0" fontId="49" fillId="38" borderId="15" xfId="0" applyFont="1" applyFill="1" applyBorder="1"/>
    <xf numFmtId="167" fontId="0" fillId="34" borderId="22" xfId="0" applyNumberFormat="1" applyFill="1" applyBorder="1"/>
    <xf numFmtId="167" fontId="0" fillId="39" borderId="0" xfId="0" applyNumberFormat="1" applyFill="1" applyBorder="1"/>
    <xf numFmtId="167" fontId="0" fillId="34" borderId="18" xfId="0" applyNumberFormat="1" applyFill="1" applyBorder="1"/>
    <xf numFmtId="0" fontId="0" fillId="33" borderId="13" xfId="0" applyFill="1" applyBorder="1" applyAlignment="1">
      <alignment horizontal="center"/>
    </xf>
    <xf numFmtId="167" fontId="0" fillId="34" borderId="19" xfId="0" applyNumberFormat="1" applyFill="1" applyBorder="1"/>
    <xf numFmtId="0" fontId="35" fillId="0" borderId="28" xfId="0" applyFont="1" applyBorder="1"/>
    <xf numFmtId="0" fontId="16" fillId="0" borderId="0" xfId="0" applyFont="1" applyFill="1" applyBorder="1"/>
    <xf numFmtId="164" fontId="20" fillId="0" borderId="0" xfId="0" applyNumberFormat="1" applyFont="1" applyFill="1" applyBorder="1"/>
    <xf numFmtId="167" fontId="2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2" fontId="20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19" fillId="0" borderId="0" xfId="0" applyFont="1" applyFill="1" applyBorder="1"/>
    <xf numFmtId="14" fontId="0" fillId="0" borderId="17" xfId="0" applyNumberFormat="1" applyFill="1" applyBorder="1"/>
    <xf numFmtId="164" fontId="20" fillId="0" borderId="18" xfId="0" applyNumberFormat="1" applyFont="1" applyFill="1" applyBorder="1"/>
    <xf numFmtId="164" fontId="20" fillId="0" borderId="19" xfId="0" applyNumberFormat="1" applyFont="1" applyFill="1" applyBorder="1"/>
    <xf numFmtId="169" fontId="20" fillId="0" borderId="10" xfId="0" applyNumberFormat="1" applyFont="1" applyFill="1" applyBorder="1"/>
    <xf numFmtId="14" fontId="0" fillId="0" borderId="14" xfId="0" applyNumberFormat="1" applyFill="1" applyBorder="1"/>
    <xf numFmtId="0" fontId="0" fillId="35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44" fillId="36" borderId="56" xfId="0" applyFont="1" applyFill="1" applyBorder="1" applyAlignment="1"/>
    <xf numFmtId="0" fontId="35" fillId="0" borderId="27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18" fillId="0" borderId="0" xfId="0" applyFont="1" applyBorder="1"/>
    <xf numFmtId="0" fontId="18" fillId="0" borderId="21" xfId="0" applyFont="1" applyBorder="1"/>
    <xf numFmtId="0" fontId="18" fillId="0" borderId="21" xfId="0" applyFont="1" applyFill="1" applyBorder="1"/>
    <xf numFmtId="167" fontId="0" fillId="34" borderId="21" xfId="0" applyNumberFormat="1" applyFill="1" applyBorder="1"/>
    <xf numFmtId="166" fontId="0" fillId="33" borderId="14" xfId="0" applyNumberFormat="1" applyFill="1" applyBorder="1" applyAlignment="1">
      <alignment horizontal="center"/>
    </xf>
    <xf numFmtId="164" fontId="0" fillId="0" borderId="14" xfId="0" applyNumberFormat="1" applyFill="1" applyBorder="1"/>
    <xf numFmtId="164" fontId="0" fillId="0" borderId="13" xfId="0" applyNumberFormat="1" applyBorder="1"/>
    <xf numFmtId="164" fontId="0" fillId="0" borderId="22" xfId="0" applyNumberFormat="1" applyBorder="1"/>
    <xf numFmtId="0" fontId="18" fillId="34" borderId="11" xfId="0" applyFont="1" applyFill="1" applyBorder="1"/>
    <xf numFmtId="0" fontId="18" fillId="34" borderId="12" xfId="0" applyFont="1" applyFill="1" applyBorder="1"/>
    <xf numFmtId="0" fontId="18" fillId="34" borderId="13" xfId="0" applyFont="1" applyFill="1" applyBorder="1"/>
    <xf numFmtId="0" fontId="18" fillId="0" borderId="18" xfId="0" applyFont="1" applyBorder="1"/>
    <xf numFmtId="0" fontId="18" fillId="0" borderId="19" xfId="0" applyFont="1" applyBorder="1"/>
    <xf numFmtId="0" fontId="18" fillId="0" borderId="14" xfId="0" applyFont="1" applyBorder="1"/>
    <xf numFmtId="0" fontId="18" fillId="0" borderId="10" xfId="0" applyFont="1" applyBorder="1"/>
    <xf numFmtId="0" fontId="18" fillId="38" borderId="20" xfId="0" applyFont="1" applyFill="1" applyBorder="1"/>
    <xf numFmtId="0" fontId="18" fillId="38" borderId="21" xfId="0" applyFont="1" applyFill="1" applyBorder="1"/>
    <xf numFmtId="0" fontId="18" fillId="38" borderId="22" xfId="0" applyFont="1" applyFill="1" applyBorder="1"/>
    <xf numFmtId="0" fontId="18" fillId="0" borderId="19" xfId="0" applyFont="1" applyFill="1" applyBorder="1"/>
    <xf numFmtId="166" fontId="0" fillId="0" borderId="10" xfId="0" applyNumberFormat="1" applyFill="1" applyBorder="1"/>
    <xf numFmtId="166" fontId="0" fillId="0" borderId="22" xfId="0" applyNumberFormat="1" applyFill="1" applyBorder="1"/>
    <xf numFmtId="0" fontId="0" fillId="33" borderId="18" xfId="0" applyFill="1" applyBorder="1" applyAlignment="1">
      <alignment horizontal="center"/>
    </xf>
    <xf numFmtId="166" fontId="0" fillId="34" borderId="19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FFCCFF"/>
      <color rgb="FFCCFFCC"/>
      <color rgb="FF66FF33"/>
      <color rgb="FFFE02E0"/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axis resolution (2um offsets)</a:t>
            </a:r>
            <a:endParaRPr lang="en-US"/>
          </a:p>
        </c:rich>
      </c:tx>
      <c:layout>
        <c:manualLayout>
          <c:xMode val="edge"/>
          <c:yMode val="edge"/>
          <c:x val="0.2518064406858463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1888232870814"/>
          <c:y val="0.13827528612215009"/>
          <c:w val="0.84607886841500779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'ResZ 20210614'!$A$12:$A$16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20210614'!$B$12:$B$16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E-4A03-A1CA-13C7C0460172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'ResZ 20210614'!$A$12:$A$16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20210614'!$AE$12:$AE$16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E-4A03-A1CA-13C7C046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23362474440267"/>
          <c:y val="0.1211566783318752"/>
          <c:w val="0.25125267927981332"/>
          <c:h val="0.12699298167666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97088360929818E-2"/>
          <c:y val="0.10184794484421504"/>
          <c:w val="0.89080956496686836"/>
          <c:h val="0.79896206156048677"/>
        </c:manualLayout>
      </c:layout>
      <c:scatterChart>
        <c:scatterStyle val="lineMarker"/>
        <c:varyColors val="0"/>
        <c:ser>
          <c:idx val="0"/>
          <c:order val="0"/>
          <c:tx>
            <c:v>COR=-2758.4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 from March and June2021'!$F$14:$F$22</c:f>
              <c:numCache>
                <c:formatCode>0.00</c:formatCode>
                <c:ptCount val="9"/>
                <c:pt idx="0">
                  <c:v>0.08</c:v>
                </c:pt>
                <c:pt idx="1">
                  <c:v>0.16</c:v>
                </c:pt>
                <c:pt idx="2">
                  <c:v>0.17</c:v>
                </c:pt>
                <c:pt idx="3">
                  <c:v>0.2</c:v>
                </c:pt>
                <c:pt idx="4">
                  <c:v>0.24</c:v>
                </c:pt>
                <c:pt idx="5">
                  <c:v>-0.04</c:v>
                </c:pt>
                <c:pt idx="6">
                  <c:v>-0.08</c:v>
                </c:pt>
                <c:pt idx="7">
                  <c:v>-0.17</c:v>
                </c:pt>
                <c:pt idx="8">
                  <c:v>-0.24</c:v>
                </c:pt>
              </c:numCache>
            </c:numRef>
          </c:xVal>
          <c:yVal>
            <c:numRef>
              <c:f>'COR from March and June2021'!$J$14:$J$22</c:f>
              <c:numCache>
                <c:formatCode>General</c:formatCode>
                <c:ptCount val="9"/>
                <c:pt idx="0">
                  <c:v>-2.56</c:v>
                </c:pt>
                <c:pt idx="1">
                  <c:v>-5.24</c:v>
                </c:pt>
                <c:pt idx="2">
                  <c:v>-5.6174999999999997</c:v>
                </c:pt>
                <c:pt idx="3">
                  <c:v>-6.58</c:v>
                </c:pt>
                <c:pt idx="4">
                  <c:v>-7.9799999999999995</c:v>
                </c:pt>
                <c:pt idx="5">
                  <c:v>1.41</c:v>
                </c:pt>
                <c:pt idx="6">
                  <c:v>2.74</c:v>
                </c:pt>
                <c:pt idx="7">
                  <c:v>5.6825000000000001</c:v>
                </c:pt>
                <c:pt idx="8">
                  <c:v>7.9900000000000011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9-4090-9D06-FB76E5E60BCB}"/>
            </c:ext>
          </c:extLst>
        </c:ser>
        <c:ser>
          <c:idx val="1"/>
          <c:order val="1"/>
          <c:tx>
            <c:v>COR=-820.4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66FF33"/>
              </a:solidFill>
              <a:ln w="9525">
                <a:solidFill>
                  <a:srgbClr val="66FF33"/>
                </a:solidFill>
              </a:ln>
              <a:effectLst/>
            </c:spPr>
          </c:marker>
          <c:xVal>
            <c:numRef>
              <c:f>'COR from March and June2021'!$F$6:$F$12</c:f>
              <c:numCache>
                <c:formatCode>0.00</c:formatCode>
                <c:ptCount val="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</c:numCache>
            </c:numRef>
          </c:xVal>
          <c:yVal>
            <c:numRef>
              <c:f>'COR from March and June2021'!$J$6:$J$12</c:f>
              <c:numCache>
                <c:formatCode>General</c:formatCode>
                <c:ptCount val="7"/>
                <c:pt idx="0">
                  <c:v>0.06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9-4090-9D06-FB76E5E60BCB}"/>
            </c:ext>
          </c:extLst>
        </c:ser>
        <c:ser>
          <c:idx val="2"/>
          <c:order val="2"/>
          <c:tx>
            <c:v>predicted  COR=-2758.4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'COR from March and June2021'!$F$14:$F$22</c:f>
              <c:numCache>
                <c:formatCode>0.00</c:formatCode>
                <c:ptCount val="9"/>
                <c:pt idx="0">
                  <c:v>0.08</c:v>
                </c:pt>
                <c:pt idx="1">
                  <c:v>0.16</c:v>
                </c:pt>
                <c:pt idx="2">
                  <c:v>0.17</c:v>
                </c:pt>
                <c:pt idx="3">
                  <c:v>0.2</c:v>
                </c:pt>
                <c:pt idx="4">
                  <c:v>0.24</c:v>
                </c:pt>
                <c:pt idx="5">
                  <c:v>-0.04</c:v>
                </c:pt>
                <c:pt idx="6">
                  <c:v>-0.08</c:v>
                </c:pt>
                <c:pt idx="7">
                  <c:v>-0.17</c:v>
                </c:pt>
                <c:pt idx="8">
                  <c:v>-0.24</c:v>
                </c:pt>
              </c:numCache>
            </c:numRef>
          </c:xVal>
          <c:yVal>
            <c:numRef>
              <c:f>'COR from March and June2021'!$M$14:$M$22</c:f>
              <c:numCache>
                <c:formatCode>0.000</c:formatCode>
                <c:ptCount val="9"/>
                <c:pt idx="0">
                  <c:v>-2.6588408000000001</c:v>
                </c:pt>
                <c:pt idx="1">
                  <c:v>-5.3176816000000002</c:v>
                </c:pt>
                <c:pt idx="2">
                  <c:v>-5.6500367000000002</c:v>
                </c:pt>
                <c:pt idx="3">
                  <c:v>-6.6471020000000003</c:v>
                </c:pt>
                <c:pt idx="4">
                  <c:v>-7.9765223999999986</c:v>
                </c:pt>
                <c:pt idx="5">
                  <c:v>1.3294204000000001</c:v>
                </c:pt>
                <c:pt idx="6">
                  <c:v>2.6588408000000001</c:v>
                </c:pt>
                <c:pt idx="7">
                  <c:v>5.6500367000000002</c:v>
                </c:pt>
                <c:pt idx="8">
                  <c:v>7.9765223999999986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9-4090-9D06-FB76E5E60BCB}"/>
            </c:ext>
          </c:extLst>
        </c:ser>
        <c:ser>
          <c:idx val="3"/>
          <c:order val="3"/>
          <c:tx>
            <c:v>predicted COR=-820.4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E02E0"/>
              </a:solidFill>
              <a:ln w="9525">
                <a:solidFill>
                  <a:srgbClr val="FE02E0"/>
                </a:solidFill>
              </a:ln>
              <a:effectLst/>
            </c:spPr>
          </c:marker>
          <c:xVal>
            <c:numRef>
              <c:f>'COR from March and June2021'!$F$6:$F$12</c:f>
              <c:numCache>
                <c:formatCode>0.00</c:formatCode>
                <c:ptCount val="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</c:numCache>
            </c:numRef>
          </c:xVal>
          <c:yVal>
            <c:numRef>
              <c:f>'COR from March and June2021'!$M$6:$M$12</c:f>
              <c:numCache>
                <c:formatCode>0.000</c:formatCode>
                <c:ptCount val="7"/>
                <c:pt idx="0">
                  <c:v>2.3562E-2</c:v>
                </c:pt>
                <c:pt idx="1">
                  <c:v>7.0685999999999999E-2</c:v>
                </c:pt>
                <c:pt idx="2">
                  <c:v>0.11781</c:v>
                </c:pt>
                <c:pt idx="3">
                  <c:v>0.141372</c:v>
                </c:pt>
                <c:pt idx="4">
                  <c:v>-4.7123999999999999E-2</c:v>
                </c:pt>
                <c:pt idx="5">
                  <c:v>-0.10013850000000001</c:v>
                </c:pt>
                <c:pt idx="6">
                  <c:v>-0.141372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9-4090-9D06-FB76E5E6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920"/>
        <c:axId val="880586656"/>
      </c:scatterChart>
      <c:valAx>
        <c:axId val="8805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Angle Rx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726745094363198"/>
              <c:y val="0.9319077378937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6656"/>
        <c:crosses val="autoZero"/>
        <c:crossBetween val="midCat"/>
      </c:valAx>
      <c:valAx>
        <c:axId val="8805866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mm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99731283589559E-3"/>
              <c:y val="0.39332776812640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54054180727407"/>
          <c:y val="1.5050532476543881E-2"/>
          <c:w val="0.78721546525434316"/>
          <c:h val="6.5791357420035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error in mm</a:t>
            </a:r>
            <a:r>
              <a:rPr lang="en-US" baseline="0"/>
              <a:t> </a:t>
            </a:r>
            <a:r>
              <a:rPr lang="en-US" sz="1000" baseline="0"/>
              <a:t>(measured-predicted)</a:t>
            </a:r>
            <a:endParaRPr lang="en-US" sz="1000"/>
          </a:p>
        </c:rich>
      </c:tx>
      <c:layout>
        <c:manualLayout>
          <c:xMode val="edge"/>
          <c:yMode val="edge"/>
          <c:x val="0.26063363173353332"/>
          <c:y val="8.286119407487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97088360929818E-2"/>
          <c:y val="0.10184794484421504"/>
          <c:w val="0.89080956496686836"/>
          <c:h val="0.79896206156048677"/>
        </c:manualLayout>
      </c:layout>
      <c:scatterChart>
        <c:scatterStyle val="lineMarker"/>
        <c:varyColors val="0"/>
        <c:ser>
          <c:idx val="0"/>
          <c:order val="0"/>
          <c:tx>
            <c:v>Y error = 46um 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 from March and June2021'!$F$6:$F$22</c:f>
              <c:numCache>
                <c:formatCode>0.00</c:formatCode>
                <c:ptCount val="1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  <c:pt idx="8">
                  <c:v>0.08</c:v>
                </c:pt>
                <c:pt idx="9">
                  <c:v>0.16</c:v>
                </c:pt>
                <c:pt idx="10">
                  <c:v>0.17</c:v>
                </c:pt>
                <c:pt idx="11">
                  <c:v>0.2</c:v>
                </c:pt>
                <c:pt idx="12">
                  <c:v>0.24</c:v>
                </c:pt>
                <c:pt idx="13">
                  <c:v>-0.04</c:v>
                </c:pt>
                <c:pt idx="14">
                  <c:v>-0.08</c:v>
                </c:pt>
                <c:pt idx="15">
                  <c:v>-0.17</c:v>
                </c:pt>
                <c:pt idx="16">
                  <c:v>-0.24</c:v>
                </c:pt>
              </c:numCache>
            </c:numRef>
          </c:xVal>
          <c:yVal>
            <c:numRef>
              <c:f>'COR from March and June2021'!$O$6:$O$22</c:f>
              <c:numCache>
                <c:formatCode>0.000</c:formatCode>
                <c:ptCount val="17"/>
                <c:pt idx="0">
                  <c:v>-3.0562000000000006E-2</c:v>
                </c:pt>
                <c:pt idx="1">
                  <c:v>2.3140000000000105E-3</c:v>
                </c:pt>
                <c:pt idx="2">
                  <c:v>-4.4809999999999989E-2</c:v>
                </c:pt>
                <c:pt idx="3">
                  <c:v>-4.8371999999999998E-2</c:v>
                </c:pt>
                <c:pt idx="4">
                  <c:v>6.0124000000000011E-2</c:v>
                </c:pt>
                <c:pt idx="5">
                  <c:v>6.3138499999999986E-2</c:v>
                </c:pt>
                <c:pt idx="8">
                  <c:v>4.5840800000000063E-2</c:v>
                </c:pt>
                <c:pt idx="9">
                  <c:v>2.4681600000000019E-2</c:v>
                </c:pt>
                <c:pt idx="10">
                  <c:v>-2.0463299999999469E-2</c:v>
                </c:pt>
                <c:pt idx="11">
                  <c:v>1.4102000000000219E-2</c:v>
                </c:pt>
                <c:pt idx="12">
                  <c:v>-5.6477600000000967E-2</c:v>
                </c:pt>
                <c:pt idx="13">
                  <c:v>2.7579599999999864E-2</c:v>
                </c:pt>
                <c:pt idx="14">
                  <c:v>2.8159200000000099E-2</c:v>
                </c:pt>
                <c:pt idx="15">
                  <c:v>-2.0536700000000137E-2</c:v>
                </c:pt>
                <c:pt idx="16">
                  <c:v>-3.9522399999997467E-2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FC4-96AB-6E4D94465E0D}"/>
            </c:ext>
          </c:extLst>
        </c:ser>
        <c:ser>
          <c:idx val="1"/>
          <c:order val="1"/>
          <c:tx>
            <c:v>top</c:v>
          </c:tx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dot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 from March and June2021'!$F$6:$F$22</c:f>
              <c:numCache>
                <c:formatCode>0.00</c:formatCode>
                <c:ptCount val="1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  <c:pt idx="8">
                  <c:v>0.08</c:v>
                </c:pt>
                <c:pt idx="9">
                  <c:v>0.16</c:v>
                </c:pt>
                <c:pt idx="10">
                  <c:v>0.17</c:v>
                </c:pt>
                <c:pt idx="11">
                  <c:v>0.2</c:v>
                </c:pt>
                <c:pt idx="12">
                  <c:v>0.24</c:v>
                </c:pt>
                <c:pt idx="13">
                  <c:v>-0.04</c:v>
                </c:pt>
                <c:pt idx="14">
                  <c:v>-0.08</c:v>
                </c:pt>
                <c:pt idx="15">
                  <c:v>-0.17</c:v>
                </c:pt>
                <c:pt idx="16">
                  <c:v>-0.24</c:v>
                </c:pt>
              </c:numCache>
            </c:numRef>
          </c:xVal>
          <c:yVal>
            <c:numRef>
              <c:f>'COR from March and June2021'!$Q$6:$Q$22</c:f>
              <c:numCache>
                <c:formatCode>General</c:formatCode>
                <c:ptCount val="1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FC4-96AB-6E4D94465E0D}"/>
            </c:ext>
          </c:extLst>
        </c:ser>
        <c:ser>
          <c:idx val="2"/>
          <c:order val="2"/>
          <c:tx>
            <c:v>low</c:v>
          </c:tx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dot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 from March and June2021'!$F$6:$F$22</c:f>
              <c:numCache>
                <c:formatCode>0.00</c:formatCode>
                <c:ptCount val="1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  <c:pt idx="8">
                  <c:v>0.08</c:v>
                </c:pt>
                <c:pt idx="9">
                  <c:v>0.16</c:v>
                </c:pt>
                <c:pt idx="10">
                  <c:v>0.17</c:v>
                </c:pt>
                <c:pt idx="11">
                  <c:v>0.2</c:v>
                </c:pt>
                <c:pt idx="12">
                  <c:v>0.24</c:v>
                </c:pt>
                <c:pt idx="13">
                  <c:v>-0.04</c:v>
                </c:pt>
                <c:pt idx="14">
                  <c:v>-0.08</c:v>
                </c:pt>
                <c:pt idx="15">
                  <c:v>-0.17</c:v>
                </c:pt>
                <c:pt idx="16">
                  <c:v>-0.24</c:v>
                </c:pt>
              </c:numCache>
            </c:numRef>
          </c:xVal>
          <c:yVal>
            <c:numRef>
              <c:f>'COR from March and June2021'!$R$6:$R$22</c:f>
              <c:numCache>
                <c:formatCode>General</c:formatCode>
                <c:ptCount val="17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FC4-96AB-6E4D9446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920"/>
        <c:axId val="880586656"/>
      </c:scatterChart>
      <c:valAx>
        <c:axId val="8805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Angle Rx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53427671407026"/>
              <c:y val="0.92044654212037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6656"/>
        <c:crosses val="autoZero"/>
        <c:crossBetween val="midCat"/>
      </c:valAx>
      <c:valAx>
        <c:axId val="880586656"/>
        <c:scaling>
          <c:orientation val="minMax"/>
          <c:max val="0.12000000000000001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error mm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0820131858517686E-2"/>
              <c:y val="0.27240797950495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7920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97704974378205"/>
          <c:y val="1.5050421328912834E-2"/>
          <c:w val="0.26421521528558928"/>
          <c:h val="6.728515992917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</a:t>
            </a:r>
            <a:r>
              <a:rPr lang="en-US" baseline="0"/>
              <a:t> definition check</a:t>
            </a:r>
            <a:endParaRPr lang="en-US"/>
          </a:p>
        </c:rich>
      </c:tx>
      <c:layout>
        <c:manualLayout>
          <c:xMode val="edge"/>
          <c:yMode val="edge"/>
          <c:x val="0.35061460592913957"/>
          <c:y val="7.74293457220286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97088360929818E-2"/>
          <c:y val="0.10184794484421504"/>
          <c:w val="0.89080956496686836"/>
          <c:h val="0.79896206156048677"/>
        </c:manualLayout>
      </c:layout>
      <c:scatterChart>
        <c:scatterStyle val="lineMarker"/>
        <c:varyColors val="0"/>
        <c:ser>
          <c:idx val="4"/>
          <c:order val="0"/>
          <c:tx>
            <c:v>cor =-820.4mm (Z=0mm)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 march 2022_comcam mounted'!$E$6:$E$11</c:f>
              <c:numCache>
                <c:formatCode>0.00</c:formatCode>
                <c:ptCount val="6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</c:numCache>
            </c:numRef>
          </c:xVal>
          <c:yVal>
            <c:numRef>
              <c:f>'COR march 2022_comcam mounted'!$I$6:$I$11</c:f>
              <c:numCache>
                <c:formatCode>General</c:formatCode>
                <c:ptCount val="6"/>
                <c:pt idx="0">
                  <c:v>0.06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F-4D90-A069-6D4AC23CCB93}"/>
            </c:ext>
          </c:extLst>
        </c:ser>
        <c:ser>
          <c:idx val="0"/>
          <c:order val="1"/>
          <c:tx>
            <c:v>cor=-2758400um (Z=-1938mm)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 march 2022_comcam mounted'!$E$20:$E$28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-0.06</c:v>
                </c:pt>
                <c:pt idx="6">
                  <c:v>-0.12</c:v>
                </c:pt>
                <c:pt idx="7">
                  <c:v>-0.18</c:v>
                </c:pt>
                <c:pt idx="8">
                  <c:v>-0.24</c:v>
                </c:pt>
              </c:numCache>
            </c:numRef>
          </c:xVal>
          <c:yVal>
            <c:numRef>
              <c:f>'COR march 2022_comcam mounted'!$J$20:$J$28</c:f>
              <c:numCache>
                <c:formatCode>0.000</c:formatCode>
                <c:ptCount val="9"/>
                <c:pt idx="0">
                  <c:v>-5.0000000000050004E-7</c:v>
                </c:pt>
                <c:pt idx="1">
                  <c:v>-2.01641</c:v>
                </c:pt>
                <c:pt idx="2">
                  <c:v>-4.0415070000000002</c:v>
                </c:pt>
                <c:pt idx="3">
                  <c:v>-6.0763274999999997</c:v>
                </c:pt>
                <c:pt idx="4">
                  <c:v>-8.1081485000000004</c:v>
                </c:pt>
                <c:pt idx="5">
                  <c:v>2.0395185000000002</c:v>
                </c:pt>
                <c:pt idx="6">
                  <c:v>4.0770109999999997</c:v>
                </c:pt>
                <c:pt idx="7">
                  <c:v>6.1076519999999999</c:v>
                </c:pt>
                <c:pt idx="8">
                  <c:v>8.1299899999999994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F-4D90-A069-6D4AC23CCB93}"/>
            </c:ext>
          </c:extLst>
        </c:ser>
        <c:ser>
          <c:idx val="1"/>
          <c:order val="2"/>
          <c:tx>
            <c:v>predicted shift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 march 2022_comcam mounted'!$E$20:$E$28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-0.06</c:v>
                </c:pt>
                <c:pt idx="6">
                  <c:v>-0.12</c:v>
                </c:pt>
                <c:pt idx="7">
                  <c:v>-0.18</c:v>
                </c:pt>
                <c:pt idx="8">
                  <c:v>-0.24</c:v>
                </c:pt>
              </c:numCache>
            </c:numRef>
          </c:xVal>
          <c:yVal>
            <c:numRef>
              <c:f>'COR march 2022_comcam mounted'!$J$20:$J$28</c:f>
              <c:numCache>
                <c:formatCode>0.000</c:formatCode>
                <c:ptCount val="9"/>
                <c:pt idx="0">
                  <c:v>-5.0000000000050004E-7</c:v>
                </c:pt>
                <c:pt idx="1">
                  <c:v>-2.01641</c:v>
                </c:pt>
                <c:pt idx="2">
                  <c:v>-4.0415070000000002</c:v>
                </c:pt>
                <c:pt idx="3">
                  <c:v>-6.0763274999999997</c:v>
                </c:pt>
                <c:pt idx="4">
                  <c:v>-8.1081485000000004</c:v>
                </c:pt>
                <c:pt idx="5">
                  <c:v>2.0395185000000002</c:v>
                </c:pt>
                <c:pt idx="6">
                  <c:v>4.0770109999999997</c:v>
                </c:pt>
                <c:pt idx="7">
                  <c:v>6.1076519999999999</c:v>
                </c:pt>
                <c:pt idx="8">
                  <c:v>8.1299899999999994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2F-4D90-A069-6D4AC23C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920"/>
        <c:axId val="880586656"/>
      </c:scatterChart>
      <c:valAx>
        <c:axId val="8805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Angle Rx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726745094363198"/>
              <c:y val="0.9319077378937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6656"/>
        <c:crosses val="autoZero"/>
        <c:crossBetween val="midCat"/>
      </c:valAx>
      <c:valAx>
        <c:axId val="8805866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mm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99731283589559E-3"/>
              <c:y val="0.39332776812640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58096723809742"/>
          <c:y val="0.13045930234330466"/>
          <c:w val="0.31657378621030302"/>
          <c:h val="0.14209108007840485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 definition check</a:t>
            </a:r>
          </a:p>
        </c:rich>
      </c:tx>
      <c:layout>
        <c:manualLayout>
          <c:xMode val="edge"/>
          <c:yMode val="edge"/>
          <c:x val="0.34579416726922152"/>
          <c:y val="3.87146728610143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97088360929818E-2"/>
          <c:y val="0.10184794484421504"/>
          <c:w val="0.89080956496686836"/>
          <c:h val="0.79896206156048677"/>
        </c:manualLayout>
      </c:layout>
      <c:scatterChart>
        <c:scatterStyle val="lineMarker"/>
        <c:varyColors val="0"/>
        <c:ser>
          <c:idx val="4"/>
          <c:order val="0"/>
          <c:tx>
            <c:v>cor =-820.4mm (Z=0mm)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 march 2022_comcam mounted'!$E$6:$E$11</c:f>
              <c:numCache>
                <c:formatCode>0.00</c:formatCode>
                <c:ptCount val="6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</c:numCache>
            </c:numRef>
          </c:xVal>
          <c:yVal>
            <c:numRef>
              <c:f>'COR march 2022_comcam mounted'!$I$6:$I$11</c:f>
              <c:numCache>
                <c:formatCode>General</c:formatCode>
                <c:ptCount val="6"/>
                <c:pt idx="0">
                  <c:v>0.06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E-471F-9E85-0FE40C4C2E53}"/>
            </c:ext>
          </c:extLst>
        </c:ser>
        <c:ser>
          <c:idx val="0"/>
          <c:order val="1"/>
          <c:tx>
            <c:v>cor=-2758400um(Z=-1938mm)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 march 2022_comcam mounted'!$F$30:$F$38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-0.06</c:v>
                </c:pt>
                <c:pt idx="6">
                  <c:v>-0.12</c:v>
                </c:pt>
                <c:pt idx="7">
                  <c:v>-0.18</c:v>
                </c:pt>
                <c:pt idx="8">
                  <c:v>-0.24</c:v>
                </c:pt>
              </c:numCache>
            </c:numRef>
          </c:xVal>
          <c:yVal>
            <c:numRef>
              <c:f>'COR march 2022_comcam mounted'!$I$30:$I$38</c:f>
              <c:numCache>
                <c:formatCode>0.000</c:formatCode>
                <c:ptCount val="9"/>
                <c:pt idx="0">
                  <c:v>6.349999995336475E-5</c:v>
                </c:pt>
                <c:pt idx="1">
                  <c:v>2.025427499999978</c:v>
                </c:pt>
                <c:pt idx="2">
                  <c:v>4.0543384999999716</c:v>
                </c:pt>
                <c:pt idx="3">
                  <c:v>6.081117499999948</c:v>
                </c:pt>
                <c:pt idx="4">
                  <c:v>8.129316499999959</c:v>
                </c:pt>
                <c:pt idx="5">
                  <c:v>-2.036737500000072</c:v>
                </c:pt>
                <c:pt idx="6">
                  <c:v>-4.0581535000000599</c:v>
                </c:pt>
                <c:pt idx="7">
                  <c:v>-6.092817000000025</c:v>
                </c:pt>
                <c:pt idx="8">
                  <c:v>-8.113226500000053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E-471F-9E85-0FE40C4C2E53}"/>
            </c:ext>
          </c:extLst>
        </c:ser>
        <c:ser>
          <c:idx val="1"/>
          <c:order val="2"/>
          <c:tx>
            <c:v>predicted shift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 march 2022_comcam mounted'!$F$30:$F$38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-0.06</c:v>
                </c:pt>
                <c:pt idx="6">
                  <c:v>-0.12</c:v>
                </c:pt>
                <c:pt idx="7">
                  <c:v>-0.18</c:v>
                </c:pt>
                <c:pt idx="8">
                  <c:v>-0.24</c:v>
                </c:pt>
              </c:numCache>
            </c:numRef>
          </c:xVal>
          <c:yVal>
            <c:numRef>
              <c:f>'COR march 2022_comcam mounted'!$H$30:$H$38</c:f>
              <c:numCache>
                <c:formatCode>General</c:formatCode>
                <c:ptCount val="9"/>
                <c:pt idx="0">
                  <c:v>0</c:v>
                </c:pt>
                <c:pt idx="1">
                  <c:v>2.0294736000000002</c:v>
                </c:pt>
                <c:pt idx="2">
                  <c:v>4.0589472000000004</c:v>
                </c:pt>
                <c:pt idx="3">
                  <c:v>6.0884207999999997</c:v>
                </c:pt>
                <c:pt idx="4">
                  <c:v>8.1178944000000008</c:v>
                </c:pt>
                <c:pt idx="5">
                  <c:v>-2.0294736000000002</c:v>
                </c:pt>
                <c:pt idx="6">
                  <c:v>-4.0589472000000004</c:v>
                </c:pt>
                <c:pt idx="7">
                  <c:v>-6.0884207999999997</c:v>
                </c:pt>
                <c:pt idx="8">
                  <c:v>-8.1178944000000008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2E-471F-9E85-0FE40C4C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920"/>
        <c:axId val="880586656"/>
      </c:scatterChart>
      <c:valAx>
        <c:axId val="8805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Angle Ry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726745094363198"/>
              <c:y val="0.9319077378937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6656"/>
        <c:crosses val="autoZero"/>
        <c:crossBetween val="midCat"/>
      </c:valAx>
      <c:valAx>
        <c:axId val="8805866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X displacement mm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99731283589559E-3"/>
              <c:y val="0.39332776812640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68738126823084E-2"/>
          <c:y val="0.13330132513923565"/>
          <c:w val="0.31533021471946998"/>
          <c:h val="0.165319883795013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axis resolution (1um offsets)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6447944006999"/>
          <c:y val="0.13827524061404467"/>
          <c:w val="0.81923315835520538"/>
          <c:h val="0.74040538743764961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'ResZ 20210614'!$A$28:$A$32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20210614'!$B$28:$B$32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F-4D70-9AF6-E7A69ED70EAA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'ResZ 20210614'!$A$28:$A$32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20210614'!$AE$28:$AE$32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F-4D70-9AF6-E7A69ED7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59904770781337"/>
          <c:y val="0.11357882379079984"/>
          <c:w val="0.25095177438637795"/>
          <c:h val="0.1214154639924623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axis resolution (5um offsets)</a:t>
            </a:r>
            <a:endParaRPr lang="en-US"/>
          </a:p>
        </c:rich>
      </c:tx>
      <c:layout>
        <c:manualLayout>
          <c:xMode val="edge"/>
          <c:yMode val="edge"/>
          <c:x val="0.25180643464343072"/>
          <c:y val="2.222233192637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9227372697815"/>
          <c:y val="0.17171296296296298"/>
          <c:w val="0.85050540324250512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'ResZ 20210614'!$A$6:$A$10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20210614'!$B$6:$B$10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B-416F-AAA4-89DD834BAF66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'ResZ 20210614'!$A$6:$A$10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20210614'!$AE$6:$AE$10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-5</c:v>
                </c:pt>
                <c:pt idx="3">
                  <c:v>3.9999999999999991</c:v>
                </c:pt>
                <c:pt idx="4">
                  <c:v>-4.9999999999999991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B-416F-AAA4-89DD834B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14785651793524"/>
          <c:y val="0.1211566783318752"/>
          <c:w val="0.23633836395450569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axis resolution (2um offsets)</a:t>
            </a:r>
            <a:endParaRPr lang="en-US"/>
          </a:p>
        </c:rich>
      </c:tx>
      <c:layout>
        <c:manualLayout>
          <c:xMode val="edge"/>
          <c:yMode val="edge"/>
          <c:x val="0.2518064406858463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1888232870814"/>
          <c:y val="0.13827528612215009"/>
          <c:w val="0.84607886841500779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'ResY 20210615'!$A$12:$A$16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'ResY 20210615'!$B$12:$B$16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1-4A05-9F45-4FD5D946F8B9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'ResY 20210615'!$A$12:$A$16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'ResY 20210615'!$W$12:$W$16</c:f>
              <c:numCache>
                <c:formatCode>General</c:formatCode>
                <c:ptCount val="5"/>
                <c:pt idx="0">
                  <c:v>1.9999999999999982</c:v>
                </c:pt>
                <c:pt idx="1">
                  <c:v>2.0000000000000018</c:v>
                </c:pt>
                <c:pt idx="2">
                  <c:v>-2.0000000000000018</c:v>
                </c:pt>
                <c:pt idx="3">
                  <c:v>1.0000000000000009</c:v>
                </c:pt>
                <c:pt idx="4">
                  <c:v>-2.0000000000000018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1-4A05-9F45-4FD5D946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</a:t>
                </a:r>
                <a:r>
                  <a:rPr lang="en-US"/>
                  <a:t>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38022063926977"/>
          <c:y val="8.3539275458906201E-2"/>
          <c:w val="0.25125267927981332"/>
          <c:h val="0.12699298167666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axis resolution (5um offsets)</a:t>
            </a:r>
            <a:endParaRPr lang="en-US"/>
          </a:p>
        </c:rich>
      </c:tx>
      <c:layout>
        <c:manualLayout>
          <c:xMode val="edge"/>
          <c:yMode val="edge"/>
          <c:x val="0.2518064406858463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1888232870814"/>
          <c:y val="0.13827528612215009"/>
          <c:w val="0.84607886841500779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'ResY 20210615'!$A$6:$A$10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'ResY 20210615'!$B$6:$B$10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4-4469-B8A7-7339BECF7FC4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'ResY 20210615'!$A$6:$A$10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'ResY 20210615'!$W$6:$W$10</c:f>
              <c:numCache>
                <c:formatCode>General</c:formatCode>
                <c:ptCount val="5"/>
                <c:pt idx="0">
                  <c:v>6</c:v>
                </c:pt>
                <c:pt idx="1">
                  <c:v>5.0000000000000009</c:v>
                </c:pt>
                <c:pt idx="2">
                  <c:v>-6.0000000000000018</c:v>
                </c:pt>
                <c:pt idx="3">
                  <c:v>5.0000000000000009</c:v>
                </c:pt>
                <c:pt idx="4">
                  <c:v>-6.9999999999999991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4-4469-B8A7-7339BECF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</a:t>
                </a:r>
                <a:r>
                  <a:rPr lang="en-US"/>
                  <a:t>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81131480802797"/>
          <c:y val="8.3539275458906201E-2"/>
          <c:w val="0.25125267927981332"/>
          <c:h val="0.12699298167666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X axis resolution (5um offsets)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9724162872125"/>
          <c:y val="0.1216360943708852"/>
          <c:w val="0.8493005441125705"/>
          <c:h val="0.77648088681652228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'ResX COR -2758400um'!$A$7:$A$11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'ResX COR -2758400um'!$B$7:$B$11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0-4E91-AD7A-89AAD47B25DE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'ResX COR -2758400um'!$A$7:$A$11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'ResX COR -2758400um'!$AD$7:$AD$11</c:f>
              <c:numCache>
                <c:formatCode>General</c:formatCode>
                <c:ptCount val="5"/>
                <c:pt idx="0">
                  <c:v>4.9999999999999991</c:v>
                </c:pt>
                <c:pt idx="1">
                  <c:v>5</c:v>
                </c:pt>
                <c:pt idx="2">
                  <c:v>-4</c:v>
                </c:pt>
                <c:pt idx="3">
                  <c:v>4</c:v>
                </c:pt>
                <c:pt idx="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0-4E91-AD7A-89AAD47B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6462661518271758"/>
              <c:y val="0.9343133814401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  <c:majorUnit val="1"/>
      </c:valAx>
      <c:valAx>
        <c:axId val="2119982863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2173556430443"/>
          <c:y val="0.13627792963703372"/>
          <c:w val="0.24935921095800526"/>
          <c:h val="0.103326387822692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axis resolution (5um offsets)</a:t>
            </a:r>
            <a:endParaRPr lang="en-US"/>
          </a:p>
        </c:rich>
      </c:tx>
      <c:layout>
        <c:manualLayout>
          <c:xMode val="edge"/>
          <c:yMode val="edge"/>
          <c:x val="0.26319305277221111"/>
          <c:y val="2.0898641588296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6447944006999"/>
          <c:y val="0.17171296296296298"/>
          <c:w val="0.8192331583552053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'ResX COR -2758400um'!$A$7:$A$11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'ResX COR -2758400um'!$B$7:$B$11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6-4AC2-BD8D-E22D16F7806D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'ResX COR -2758400um'!$A$7:$A$11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'ResX COR -2758400um'!$AD$7:$AD$11</c:f>
              <c:numCache>
                <c:formatCode>General</c:formatCode>
                <c:ptCount val="5"/>
                <c:pt idx="0">
                  <c:v>4.9999999999999991</c:v>
                </c:pt>
                <c:pt idx="1">
                  <c:v>5</c:v>
                </c:pt>
                <c:pt idx="2">
                  <c:v>-4</c:v>
                </c:pt>
                <c:pt idx="3">
                  <c:v>4</c:v>
                </c:pt>
                <c:pt idx="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6-4AC2-BD8D-E22D16F7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</a:t>
                </a:r>
                <a:r>
                  <a:rPr lang="en-US"/>
                  <a:t>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1638237104129"/>
          <c:y val="5.4281177235290731E-2"/>
          <c:w val="0.23633836395450569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Rx resolution (8.19e-5Deg offsets)</a:t>
            </a:r>
            <a:endParaRPr lang="en-US"/>
          </a:p>
        </c:rich>
      </c:tx>
      <c:layout>
        <c:manualLayout>
          <c:xMode val="edge"/>
          <c:yMode val="edge"/>
          <c:x val="0.21808409162862424"/>
          <c:y val="2.222211959575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115352798799"/>
          <c:y val="0.13827528612215009"/>
          <c:w val="0.79938621485543893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'ResRx COR -2758400um'!$A$18:$A$22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'ResRx COR -2758400um'!$B$18:$B$22</c:f>
              <c:numCache>
                <c:formatCode>General</c:formatCode>
                <c:ptCount val="5"/>
                <c:pt idx="0">
                  <c:v>8.1899999999999999E-5</c:v>
                </c:pt>
                <c:pt idx="1">
                  <c:v>8.1899999999999999E-5</c:v>
                </c:pt>
                <c:pt idx="2">
                  <c:v>-8.1899999999999999E-5</c:v>
                </c:pt>
                <c:pt idx="3">
                  <c:v>8.1899999999999999E-5</c:v>
                </c:pt>
                <c:pt idx="4">
                  <c:v>-8.1899999999999999E-5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9-41D9-B502-3BD677344DAA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'ResRx COR -2758400um'!$A$18:$A$22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'ResRx COR -2758400um'!$AE$18:$AE$22</c:f>
              <c:numCache>
                <c:formatCode>0.0000000</c:formatCode>
                <c:ptCount val="5"/>
                <c:pt idx="0">
                  <c:v>1.1825726631772889E-4</c:v>
                </c:pt>
                <c:pt idx="1">
                  <c:v>8.8692949738296685E-5</c:v>
                </c:pt>
                <c:pt idx="2">
                  <c:v>-1.4782158289716111E-4</c:v>
                </c:pt>
                <c:pt idx="3">
                  <c:v>1.1825726631772889E-4</c:v>
                </c:pt>
                <c:pt idx="4">
                  <c:v>-1.1825726631772889E-4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9-41D9-B502-3BD67734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</a:t>
                </a:r>
                <a:r>
                  <a:rPr lang="en-US" baseline="0"/>
                  <a:t> value in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38022063926977"/>
          <c:y val="8.3539275458906201E-2"/>
          <c:w val="0.25125267927981332"/>
          <c:h val="0.12699298167666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Ry resolution (8.19e-5Deg offsets)</a:t>
            </a:r>
            <a:endParaRPr lang="en-US"/>
          </a:p>
        </c:rich>
      </c:tx>
      <c:layout>
        <c:manualLayout>
          <c:xMode val="edge"/>
          <c:yMode val="edge"/>
          <c:x val="0.21808409162862424"/>
          <c:y val="2.222211959575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115352798799"/>
          <c:y val="0.13827528612215009"/>
          <c:w val="0.79938621485543893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'ResRy COR -2758400um'!$A$18:$A$22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'ResRy COR -2758400um'!$B$18:$B$22</c:f>
              <c:numCache>
                <c:formatCode>General</c:formatCode>
                <c:ptCount val="5"/>
                <c:pt idx="0">
                  <c:v>8.1899999999999999E-5</c:v>
                </c:pt>
                <c:pt idx="1">
                  <c:v>8.1899999999999999E-5</c:v>
                </c:pt>
                <c:pt idx="2">
                  <c:v>-8.1899999999999999E-5</c:v>
                </c:pt>
                <c:pt idx="3">
                  <c:v>8.1899999999999999E-5</c:v>
                </c:pt>
                <c:pt idx="4">
                  <c:v>-8.1899999999999999E-5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4514-B844-DEF7B468D37C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'ResRy COR -2758400um'!$A$18:$A$22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'ResRy COR -2758400um'!$AH$18:$AH$22</c:f>
              <c:numCache>
                <c:formatCode>0.000000000</c:formatCode>
                <c:ptCount val="5"/>
                <c:pt idx="0">
                  <c:v>1.4782158289716111E-4</c:v>
                </c:pt>
                <c:pt idx="1">
                  <c:v>5.912863315886443E-5</c:v>
                </c:pt>
                <c:pt idx="2">
                  <c:v>-2.9564316579432201E-5</c:v>
                </c:pt>
                <c:pt idx="3">
                  <c:v>5.9128633158864443E-5</c:v>
                </c:pt>
                <c:pt idx="4">
                  <c:v>-8.8692949738296685E-5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C-4514-B844-DEF7B468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Ry</a:t>
                </a:r>
                <a:r>
                  <a:rPr lang="en-US" baseline="0"/>
                  <a:t> values in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891774166526E-3"/>
              <c:y val="0.39016452211766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24080661433399"/>
          <c:y val="9.2321234235964389E-2"/>
          <c:w val="0.25125267927981332"/>
          <c:h val="0.11189637300772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142876</xdr:colOff>
      <xdr:row>28</xdr:row>
      <xdr:rowOff>9524</xdr:rowOff>
    </xdr:from>
    <xdr:to>
      <xdr:col>18</xdr:col>
      <xdr:colOff>200025</xdr:colOff>
      <xdr:row>43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28</xdr:row>
      <xdr:rowOff>9524</xdr:rowOff>
    </xdr:from>
    <xdr:to>
      <xdr:col>26</xdr:col>
      <xdr:colOff>457200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57151</xdr:colOff>
      <xdr:row>28</xdr:row>
      <xdr:rowOff>0</xdr:rowOff>
    </xdr:from>
    <xdr:to>
      <xdr:col>9</xdr:col>
      <xdr:colOff>38101</xdr:colOff>
      <xdr:row>43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</xdr:row>
      <xdr:rowOff>0</xdr:rowOff>
    </xdr:from>
    <xdr:to>
      <xdr:col>22</xdr:col>
      <xdr:colOff>9524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409574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24</xdr:row>
      <xdr:rowOff>167641</xdr:rowOff>
    </xdr:from>
    <xdr:to>
      <xdr:col>23</xdr:col>
      <xdr:colOff>167640</xdr:colOff>
      <xdr:row>41</xdr:row>
      <xdr:rowOff>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24</xdr:row>
      <xdr:rowOff>190499</xdr:rowOff>
    </xdr:from>
    <xdr:to>
      <xdr:col>13</xdr:col>
      <xdr:colOff>66675</xdr:colOff>
      <xdr:row>40</xdr:row>
      <xdr:rowOff>180974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25</xdr:row>
      <xdr:rowOff>68580</xdr:rowOff>
    </xdr:from>
    <xdr:to>
      <xdr:col>16</xdr:col>
      <xdr:colOff>213360</xdr:colOff>
      <xdr:row>42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</xdr:row>
      <xdr:rowOff>76200</xdr:rowOff>
    </xdr:from>
    <xdr:to>
      <xdr:col>21</xdr:col>
      <xdr:colOff>541020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</xdr:row>
      <xdr:rowOff>165100</xdr:rowOff>
    </xdr:from>
    <xdr:to>
      <xdr:col>26</xdr:col>
      <xdr:colOff>330200</xdr:colOff>
      <xdr:row>87</xdr:row>
      <xdr:rowOff>131181</xdr:rowOff>
    </xdr:to>
    <xdr:grpSp>
      <xdr:nvGrpSpPr>
        <xdr:cNvPr id="13" name="Group 12"/>
        <xdr:cNvGrpSpPr/>
      </xdr:nvGrpSpPr>
      <xdr:grpSpPr>
        <a:xfrm>
          <a:off x="5953760" y="9309100"/>
          <a:ext cx="8163560" cy="6732641"/>
          <a:chOff x="5854700" y="9690100"/>
          <a:chExt cx="8102600" cy="7014581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854700" y="9715500"/>
            <a:ext cx="8102600" cy="6989181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8280400" y="9690100"/>
            <a:ext cx="355600" cy="33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E" sz="1400"/>
              <a:t>X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9563100" y="11353800"/>
            <a:ext cx="355600" cy="33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E" sz="1400"/>
              <a:t>Y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877300" y="11341100"/>
            <a:ext cx="355600" cy="33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E" sz="1400"/>
              <a:t>Z</a:t>
            </a:r>
          </a:p>
        </xdr:txBody>
      </xdr:sp>
      <xdr:cxnSp macro="">
        <xdr:nvCxnSpPr>
          <xdr:cNvPr id="7" name="Straight Arrow Connector 6"/>
          <xdr:cNvCxnSpPr/>
        </xdr:nvCxnSpPr>
        <xdr:spPr>
          <a:xfrm flipV="1">
            <a:off x="8851900" y="11201400"/>
            <a:ext cx="190500" cy="2286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/>
          <xdr:cNvCxnSpPr/>
        </xdr:nvCxnSpPr>
        <xdr:spPr>
          <a:xfrm>
            <a:off x="8509000" y="9906000"/>
            <a:ext cx="63500" cy="3175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/>
          <xdr:cNvCxnSpPr/>
        </xdr:nvCxnSpPr>
        <xdr:spPr>
          <a:xfrm>
            <a:off x="9766300" y="11569700"/>
            <a:ext cx="254000" cy="889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320040</xdr:colOff>
      <xdr:row>8</xdr:row>
      <xdr:rowOff>9525</xdr:rowOff>
    </xdr:from>
    <xdr:to>
      <xdr:col>27</xdr:col>
      <xdr:colOff>563880</xdr:colOff>
      <xdr:row>25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26</xdr:row>
      <xdr:rowOff>104775</xdr:rowOff>
    </xdr:from>
    <xdr:to>
      <xdr:col>27</xdr:col>
      <xdr:colOff>567690</xdr:colOff>
      <xdr:row>43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24</xdr:col>
      <xdr:colOff>628650</xdr:colOff>
      <xdr:row>21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24</xdr:col>
      <xdr:colOff>628650</xdr:colOff>
      <xdr:row>40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A382"/>
  <sheetViews>
    <sheetView zoomScale="75" zoomScaleNormal="75" workbookViewId="0">
      <pane xSplit="7" ySplit="4" topLeftCell="H5" activePane="bottomRight" state="frozen"/>
      <selection pane="topRight" activeCell="G1" sqref="G1"/>
      <selection pane="bottomLeft" activeCell="A3" sqref="A3"/>
      <selection pane="bottomRight" activeCell="X54" sqref="X54"/>
    </sheetView>
  </sheetViews>
  <sheetFormatPr defaultRowHeight="14.4"/>
  <cols>
    <col min="1" max="1" width="9.33203125" customWidth="1"/>
    <col min="2" max="2" width="8.6640625" style="1" customWidth="1"/>
    <col min="3" max="3" width="7.6640625" style="1" customWidth="1"/>
    <col min="4" max="4" width="6" style="1" customWidth="1"/>
    <col min="5" max="5" width="10" style="1" bestFit="1" customWidth="1"/>
    <col min="6" max="6" width="9" style="1" customWidth="1"/>
    <col min="7" max="7" width="8.5546875" style="1" customWidth="1"/>
    <col min="8" max="8" width="7.5546875" style="40" customWidth="1"/>
    <col min="9" max="9" width="8.109375" style="17" customWidth="1"/>
    <col min="10" max="10" width="7.5546875" style="17" customWidth="1"/>
    <col min="11" max="11" width="7.5546875" style="30" customWidth="1"/>
    <col min="12" max="12" width="6.44140625" style="31" customWidth="1"/>
    <col min="13" max="13" width="6.44140625" style="32" customWidth="1"/>
    <col min="14" max="16" width="9.109375" style="17"/>
    <col min="17" max="17" width="10.5546875" style="17" customWidth="1"/>
    <col min="18" max="18" width="7.33203125" style="26" customWidth="1"/>
    <col min="19" max="19" width="7.33203125" style="17" customWidth="1"/>
    <col min="20" max="20" width="8.44140625" style="18" customWidth="1"/>
    <col min="21" max="21" width="8.5546875" style="27" customWidth="1"/>
    <col min="22" max="24" width="8.88671875" style="9"/>
    <col min="25" max="25" width="9.33203125" style="9" customWidth="1"/>
    <col min="26" max="26" width="8.88671875" style="9"/>
    <col min="27" max="27" width="6.6640625" style="64" customWidth="1"/>
    <col min="28" max="28" width="9.6640625" style="46" customWidth="1"/>
    <col min="29" max="29" width="11.6640625" style="65" customWidth="1"/>
    <col min="30" max="30" width="10.33203125" customWidth="1"/>
    <col min="31" max="31" width="9.109375" customWidth="1"/>
    <col min="32" max="32" width="9.5546875" customWidth="1"/>
    <col min="33" max="33" width="9.33203125" style="6" customWidth="1"/>
    <col min="45" max="45" width="9.33203125" customWidth="1"/>
    <col min="46" max="46" width="9.5546875" customWidth="1"/>
    <col min="47" max="48" width="7" customWidth="1"/>
    <col min="49" max="52" width="5.5546875" customWidth="1"/>
    <col min="53" max="57" width="6.44140625" customWidth="1"/>
    <col min="58" max="58" width="7" customWidth="1"/>
    <col min="59" max="59" width="8.109375" customWidth="1"/>
    <col min="60" max="60" width="7.5546875" customWidth="1"/>
    <col min="63" max="63" width="8.6640625" customWidth="1"/>
    <col min="64" max="64" width="9.33203125" customWidth="1"/>
    <col min="65" max="65" width="10.44140625" customWidth="1"/>
    <col min="66" max="68" width="7" customWidth="1"/>
    <col min="69" max="69" width="9.5546875" customWidth="1"/>
    <col min="70" max="75" width="5.6640625" customWidth="1"/>
    <col min="76" max="81" width="6.44140625" customWidth="1"/>
    <col min="82" max="84" width="6.5546875" customWidth="1"/>
    <col min="107" max="107" width="10.6640625" customWidth="1"/>
    <col min="108" max="108" width="8.44140625" customWidth="1"/>
    <col min="111" max="112" width="7.5546875" customWidth="1"/>
    <col min="113" max="114" width="11.44140625" customWidth="1"/>
    <col min="127" max="128" width="7.88671875" customWidth="1"/>
    <col min="129" max="129" width="9.33203125" customWidth="1"/>
  </cols>
  <sheetData>
    <row r="1" spans="1:131">
      <c r="A1" t="s">
        <v>19</v>
      </c>
      <c r="B1" s="43" t="s">
        <v>18</v>
      </c>
      <c r="C1" s="3"/>
      <c r="D1" s="3"/>
      <c r="E1" s="3"/>
      <c r="F1" s="3"/>
      <c r="G1" s="3"/>
      <c r="H1" s="28"/>
      <c r="I1" s="28"/>
      <c r="J1" s="28"/>
      <c r="K1" s="33"/>
      <c r="L1" s="33"/>
      <c r="M1" s="33"/>
      <c r="N1" s="85" t="s">
        <v>99</v>
      </c>
      <c r="O1" s="85"/>
      <c r="P1" s="85"/>
      <c r="Q1" s="85">
        <f>1938*0.17*3.1416/180</f>
        <v>5.750175200000001</v>
      </c>
      <c r="R1" s="85" t="s">
        <v>100</v>
      </c>
      <c r="S1" s="28"/>
      <c r="T1" s="28"/>
      <c r="U1" s="4"/>
      <c r="V1" s="580" t="s">
        <v>87</v>
      </c>
      <c r="W1" s="580"/>
      <c r="X1" s="581" t="s">
        <v>101</v>
      </c>
      <c r="Y1" s="582" t="s">
        <v>101</v>
      </c>
      <c r="Z1" s="536"/>
      <c r="AA1" s="583"/>
      <c r="AB1" s="532" t="s">
        <v>11</v>
      </c>
      <c r="AC1" s="458" t="s">
        <v>11</v>
      </c>
      <c r="AD1" t="s">
        <v>126</v>
      </c>
      <c r="CJ1" s="4"/>
      <c r="CK1" s="9"/>
      <c r="CL1" s="9" t="s">
        <v>293</v>
      </c>
      <c r="CM1" s="9"/>
      <c r="CN1" s="9"/>
      <c r="CO1" s="165" t="s">
        <v>101</v>
      </c>
      <c r="CP1" s="166" t="s">
        <v>101</v>
      </c>
      <c r="CQ1" s="9"/>
      <c r="CS1" s="10" t="s">
        <v>19</v>
      </c>
      <c r="CT1" s="43" t="s">
        <v>297</v>
      </c>
      <c r="CU1" s="3"/>
      <c r="CV1" s="3"/>
      <c r="CW1" s="3"/>
      <c r="CX1" s="3"/>
      <c r="CY1" s="85" t="s">
        <v>99</v>
      </c>
      <c r="CZ1" s="85"/>
      <c r="DA1" s="85"/>
      <c r="DB1" s="85">
        <v>5.750175200000001</v>
      </c>
      <c r="DC1" s="345" t="s">
        <v>7</v>
      </c>
      <c r="DD1" s="165" t="s">
        <v>101</v>
      </c>
      <c r="DE1" s="393" t="s">
        <v>101</v>
      </c>
      <c r="DF1" s="393"/>
      <c r="DG1" s="393" t="s">
        <v>2</v>
      </c>
      <c r="DH1" s="602" t="s">
        <v>309</v>
      </c>
      <c r="DI1" s="613" t="s">
        <v>11</v>
      </c>
      <c r="DJ1" s="463" t="s">
        <v>11</v>
      </c>
      <c r="DL1" s="10" t="s">
        <v>19</v>
      </c>
      <c r="DM1" s="43" t="s">
        <v>297</v>
      </c>
      <c r="DN1" s="3"/>
      <c r="DO1" s="3"/>
      <c r="DP1" s="3"/>
      <c r="DQ1" s="3"/>
      <c r="DR1" s="85" t="s">
        <v>99</v>
      </c>
      <c r="DS1" s="85"/>
      <c r="DT1" s="85"/>
      <c r="DU1" s="85">
        <v>5.750175200000001</v>
      </c>
      <c r="DV1" s="345" t="s">
        <v>7</v>
      </c>
      <c r="DW1" s="622" t="s">
        <v>101</v>
      </c>
      <c r="DX1" s="623" t="s">
        <v>309</v>
      </c>
      <c r="DY1" s="463" t="s">
        <v>11</v>
      </c>
    </row>
    <row r="2" spans="1:131" ht="16.2">
      <c r="A2" t="s">
        <v>20</v>
      </c>
      <c r="B2" s="6" t="s">
        <v>98</v>
      </c>
      <c r="H2" s="40" t="s">
        <v>6</v>
      </c>
      <c r="N2" s="51" t="s">
        <v>122</v>
      </c>
      <c r="S2" s="26"/>
      <c r="T2" s="346"/>
      <c r="U2" s="27" t="s">
        <v>108</v>
      </c>
      <c r="V2" s="580"/>
      <c r="W2" s="580"/>
      <c r="X2" s="584"/>
      <c r="Y2" s="585" t="s">
        <v>123</v>
      </c>
      <c r="Z2" s="539" t="s">
        <v>309</v>
      </c>
      <c r="AA2" s="583"/>
      <c r="AB2" s="532" t="s">
        <v>13</v>
      </c>
      <c r="AC2" s="542" t="s">
        <v>299</v>
      </c>
      <c r="AD2" s="347" t="s">
        <v>125</v>
      </c>
      <c r="AG2" s="6" t="s">
        <v>86</v>
      </c>
      <c r="CJ2" s="27" t="s">
        <v>108</v>
      </c>
      <c r="CK2" s="536" t="s">
        <v>15</v>
      </c>
      <c r="CL2" s="536" t="s">
        <v>296</v>
      </c>
      <c r="CM2" s="536" t="s">
        <v>16</v>
      </c>
      <c r="CN2" s="536" t="s">
        <v>294</v>
      </c>
      <c r="CO2" s="7"/>
      <c r="CP2" s="148" t="s">
        <v>123</v>
      </c>
      <c r="CQ2" s="8" t="s">
        <v>17</v>
      </c>
      <c r="CS2" s="6" t="s">
        <v>20</v>
      </c>
      <c r="CT2" s="6" t="s">
        <v>98</v>
      </c>
      <c r="CU2" s="1"/>
      <c r="CV2" s="1"/>
      <c r="CW2" s="1"/>
      <c r="CX2" s="1"/>
      <c r="CY2" s="1"/>
      <c r="CZ2" s="557" t="s">
        <v>307</v>
      </c>
      <c r="DA2" s="16"/>
      <c r="DB2" s="16"/>
      <c r="DC2" s="160"/>
      <c r="DD2" s="8" t="s">
        <v>298</v>
      </c>
      <c r="DE2" s="545" t="s">
        <v>301</v>
      </c>
      <c r="DF2" s="545"/>
      <c r="DG2" s="545" t="s">
        <v>96</v>
      </c>
      <c r="DH2" s="603" t="s">
        <v>301</v>
      </c>
      <c r="DI2" s="608" t="s">
        <v>299</v>
      </c>
      <c r="DJ2" s="542" t="s">
        <v>299</v>
      </c>
      <c r="DL2" s="6" t="s">
        <v>20</v>
      </c>
      <c r="DM2" s="6" t="s">
        <v>98</v>
      </c>
      <c r="DN2" s="1"/>
      <c r="DO2" s="1"/>
      <c r="DP2" s="1"/>
      <c r="DQ2" s="1"/>
      <c r="DR2" s="1"/>
      <c r="DS2" s="557" t="s">
        <v>313</v>
      </c>
      <c r="DT2" s="16"/>
      <c r="DU2" s="16"/>
      <c r="DV2" s="160"/>
      <c r="DW2" s="627" t="s">
        <v>123</v>
      </c>
      <c r="DX2" s="626" t="s">
        <v>123</v>
      </c>
      <c r="DY2" s="542" t="s">
        <v>314</v>
      </c>
    </row>
    <row r="3" spans="1:131">
      <c r="A3" t="s">
        <v>21</v>
      </c>
      <c r="B3" s="47" t="s">
        <v>8</v>
      </c>
      <c r="C3" s="48"/>
      <c r="D3" s="48"/>
      <c r="E3" s="48"/>
      <c r="F3" s="48"/>
      <c r="G3" s="48"/>
      <c r="H3" s="55"/>
      <c r="I3" s="56"/>
      <c r="J3" s="56"/>
      <c r="K3" s="57"/>
      <c r="L3" s="58"/>
      <c r="M3" s="59"/>
      <c r="N3" s="88"/>
      <c r="O3" s="89"/>
      <c r="P3" s="89"/>
      <c r="Q3" s="90" t="s">
        <v>9</v>
      </c>
      <c r="R3" s="89"/>
      <c r="S3" s="89"/>
      <c r="T3" s="91"/>
      <c r="U3" s="60" t="s">
        <v>109</v>
      </c>
      <c r="V3" s="586" t="s">
        <v>15</v>
      </c>
      <c r="W3" s="587" t="s">
        <v>16</v>
      </c>
      <c r="X3" s="586"/>
      <c r="Y3" s="588" t="s">
        <v>124</v>
      </c>
      <c r="Z3" s="537"/>
      <c r="AA3" s="583"/>
      <c r="AB3" s="533" t="s">
        <v>12</v>
      </c>
      <c r="AC3" s="534" t="s">
        <v>12</v>
      </c>
      <c r="AD3" s="334" t="s">
        <v>113</v>
      </c>
      <c r="AG3" s="6" t="s">
        <v>127</v>
      </c>
      <c r="CJ3" s="60" t="s">
        <v>109</v>
      </c>
      <c r="CK3" s="537"/>
      <c r="CL3" s="407" t="s">
        <v>295</v>
      </c>
      <c r="CM3" s="407"/>
      <c r="CN3" s="407" t="s">
        <v>295</v>
      </c>
      <c r="CO3" s="68"/>
      <c r="CP3" s="70" t="s">
        <v>124</v>
      </c>
      <c r="CQ3" s="68"/>
      <c r="CS3" s="6" t="s">
        <v>21</v>
      </c>
      <c r="CT3" s="47" t="s">
        <v>308</v>
      </c>
      <c r="CU3" s="48"/>
      <c r="CV3" s="48"/>
      <c r="CW3" s="48"/>
      <c r="CX3" s="48"/>
      <c r="CY3" s="48"/>
      <c r="CZ3" s="88"/>
      <c r="DA3" s="89" t="s">
        <v>7</v>
      </c>
      <c r="DB3" s="89"/>
      <c r="DC3" s="558" t="s">
        <v>9</v>
      </c>
      <c r="DD3" s="8"/>
      <c r="DE3" s="545" t="s">
        <v>295</v>
      </c>
      <c r="DF3" s="545"/>
      <c r="DG3" s="545"/>
      <c r="DH3" s="603" t="s">
        <v>295</v>
      </c>
      <c r="DI3" s="609" t="s">
        <v>12</v>
      </c>
      <c r="DJ3" s="534" t="s">
        <v>301</v>
      </c>
      <c r="DL3" s="6" t="s">
        <v>21</v>
      </c>
      <c r="DM3" s="47" t="s">
        <v>8</v>
      </c>
      <c r="DN3" s="48"/>
      <c r="DO3" s="48"/>
      <c r="DP3" s="48"/>
      <c r="DQ3" s="48"/>
      <c r="DR3" s="48"/>
      <c r="DS3" s="88"/>
      <c r="DT3" s="89" t="s">
        <v>7</v>
      </c>
      <c r="DU3" s="89"/>
      <c r="DV3" s="558" t="s">
        <v>9</v>
      </c>
      <c r="DW3" s="627" t="s">
        <v>124</v>
      </c>
      <c r="DX3" s="626" t="s">
        <v>124</v>
      </c>
      <c r="DY3" s="534" t="s">
        <v>123</v>
      </c>
    </row>
    <row r="4" spans="1:131">
      <c r="A4" s="13" t="s">
        <v>22</v>
      </c>
      <c r="B4" s="92" t="s">
        <v>0</v>
      </c>
      <c r="C4" s="93" t="s">
        <v>1</v>
      </c>
      <c r="D4" s="93" t="s">
        <v>2</v>
      </c>
      <c r="E4" s="93" t="s">
        <v>3</v>
      </c>
      <c r="F4" s="93" t="s">
        <v>4</v>
      </c>
      <c r="G4" s="93" t="s">
        <v>5</v>
      </c>
      <c r="H4" s="94" t="s">
        <v>0</v>
      </c>
      <c r="I4" s="95" t="s">
        <v>1</v>
      </c>
      <c r="J4" s="95" t="s">
        <v>2</v>
      </c>
      <c r="K4" s="96" t="s">
        <v>3</v>
      </c>
      <c r="L4" s="97" t="s">
        <v>4</v>
      </c>
      <c r="M4" s="98" t="s">
        <v>5</v>
      </c>
      <c r="N4" s="99" t="s">
        <v>0</v>
      </c>
      <c r="O4" s="99" t="s">
        <v>1</v>
      </c>
      <c r="P4" s="99" t="s">
        <v>2</v>
      </c>
      <c r="Q4" s="100" t="s">
        <v>10</v>
      </c>
      <c r="R4" s="99" t="s">
        <v>3</v>
      </c>
      <c r="S4" s="99" t="s">
        <v>4</v>
      </c>
      <c r="T4" s="101" t="s">
        <v>5</v>
      </c>
      <c r="U4" s="102"/>
      <c r="V4" s="584" t="s">
        <v>7</v>
      </c>
      <c r="W4" s="589" t="s">
        <v>7</v>
      </c>
      <c r="X4" s="589"/>
      <c r="Y4" s="580" t="s">
        <v>7</v>
      </c>
      <c r="Z4" s="536" t="s">
        <v>7</v>
      </c>
      <c r="AA4" s="583"/>
      <c r="AB4" s="532" t="s">
        <v>14</v>
      </c>
      <c r="AC4" s="458" t="s">
        <v>315</v>
      </c>
      <c r="CJ4" s="102"/>
      <c r="CK4" s="538" t="s">
        <v>7</v>
      </c>
      <c r="CL4" s="539"/>
      <c r="CM4" s="539" t="s">
        <v>7</v>
      </c>
      <c r="CN4" s="539"/>
      <c r="CO4" s="8"/>
      <c r="CP4" s="9" t="s">
        <v>7</v>
      </c>
      <c r="CQ4" s="9" t="s">
        <v>7</v>
      </c>
      <c r="CS4" s="12" t="s">
        <v>22</v>
      </c>
      <c r="CT4" s="92" t="s">
        <v>0</v>
      </c>
      <c r="CU4" s="93" t="s">
        <v>1</v>
      </c>
      <c r="CV4" s="93" t="s">
        <v>2</v>
      </c>
      <c r="CW4" s="93" t="s">
        <v>3</v>
      </c>
      <c r="CX4" s="93" t="s">
        <v>4</v>
      </c>
      <c r="CY4" s="93" t="s">
        <v>5</v>
      </c>
      <c r="CZ4" s="462" t="s">
        <v>0</v>
      </c>
      <c r="DA4" s="99" t="s">
        <v>1</v>
      </c>
      <c r="DB4" s="99" t="s">
        <v>2</v>
      </c>
      <c r="DC4" s="559" t="s">
        <v>10</v>
      </c>
      <c r="DD4" s="539" t="s">
        <v>7</v>
      </c>
      <c r="DE4" s="545" t="s">
        <v>7</v>
      </c>
      <c r="DF4" s="545"/>
      <c r="DG4" s="545" t="s">
        <v>7</v>
      </c>
      <c r="DH4" s="603" t="s">
        <v>7</v>
      </c>
      <c r="DI4" s="479" t="s">
        <v>300</v>
      </c>
      <c r="DJ4" s="458" t="s">
        <v>295</v>
      </c>
      <c r="DL4" s="12" t="s">
        <v>22</v>
      </c>
      <c r="DM4" s="92" t="s">
        <v>0</v>
      </c>
      <c r="DN4" s="93" t="s">
        <v>1</v>
      </c>
      <c r="DO4" s="93" t="s">
        <v>2</v>
      </c>
      <c r="DP4" s="93" t="s">
        <v>3</v>
      </c>
      <c r="DQ4" s="93" t="s">
        <v>4</v>
      </c>
      <c r="DR4" s="93" t="s">
        <v>5</v>
      </c>
      <c r="DS4" s="462" t="s">
        <v>0</v>
      </c>
      <c r="DT4" s="99" t="s">
        <v>1</v>
      </c>
      <c r="DU4" s="99" t="s">
        <v>2</v>
      </c>
      <c r="DV4" s="559" t="s">
        <v>10</v>
      </c>
      <c r="DW4" s="624" t="s">
        <v>7</v>
      </c>
      <c r="DX4" s="625" t="s">
        <v>7</v>
      </c>
      <c r="DY4" s="534" t="s">
        <v>124</v>
      </c>
    </row>
    <row r="5" spans="1:131">
      <c r="A5" s="103" t="s">
        <v>23</v>
      </c>
      <c r="B5" s="44" t="s">
        <v>105</v>
      </c>
      <c r="C5" s="45"/>
      <c r="D5" s="45"/>
      <c r="E5" s="45"/>
      <c r="H5" s="41"/>
      <c r="I5" s="22"/>
      <c r="J5" s="22"/>
      <c r="K5" s="37"/>
      <c r="L5" s="14"/>
      <c r="M5" s="15"/>
      <c r="N5" s="22"/>
      <c r="O5" s="22"/>
      <c r="P5" s="22"/>
      <c r="Q5" s="53"/>
      <c r="R5" s="22"/>
      <c r="S5" s="22"/>
      <c r="T5" s="23"/>
      <c r="U5" s="104"/>
      <c r="V5" s="580"/>
      <c r="W5" s="580"/>
      <c r="X5" s="580"/>
      <c r="Y5" s="580"/>
      <c r="Z5" s="536"/>
      <c r="AA5" s="583"/>
      <c r="AB5" s="155"/>
      <c r="AC5" s="541"/>
      <c r="AH5" t="s">
        <v>104</v>
      </c>
      <c r="CJ5" s="104"/>
      <c r="CK5" s="9"/>
      <c r="CL5" s="9"/>
      <c r="CM5" s="9"/>
      <c r="CN5" s="9"/>
      <c r="CO5" s="9"/>
      <c r="CP5" s="9"/>
      <c r="CQ5" s="9"/>
      <c r="CS5" s="553" t="s">
        <v>23</v>
      </c>
      <c r="CT5" s="44" t="s">
        <v>105</v>
      </c>
      <c r="CU5" s="45"/>
      <c r="CV5" s="45"/>
      <c r="CW5" s="45"/>
      <c r="CX5" s="1"/>
      <c r="CY5" s="1"/>
      <c r="CZ5" s="560"/>
      <c r="DA5" s="22"/>
      <c r="DB5" s="22"/>
      <c r="DC5" s="561" t="s">
        <v>198</v>
      </c>
      <c r="DD5" s="69"/>
      <c r="DE5" s="546"/>
      <c r="DF5" s="546"/>
      <c r="DG5" s="546"/>
      <c r="DH5" s="603"/>
      <c r="DI5" s="610" t="s">
        <v>198</v>
      </c>
      <c r="DJ5" s="615" t="s">
        <v>198</v>
      </c>
      <c r="DL5" s="553" t="s">
        <v>23</v>
      </c>
      <c r="DM5" s="44" t="s">
        <v>105</v>
      </c>
      <c r="DN5" s="45"/>
      <c r="DO5" s="45"/>
      <c r="DP5" s="45"/>
      <c r="DQ5" s="1"/>
      <c r="DR5" s="1"/>
      <c r="DS5" s="560"/>
      <c r="DT5" s="22"/>
      <c r="DU5" s="22"/>
      <c r="DV5" s="561" t="s">
        <v>198</v>
      </c>
      <c r="DW5" s="545"/>
      <c r="DX5" s="603"/>
      <c r="DY5" s="615" t="s">
        <v>198</v>
      </c>
    </row>
    <row r="6" spans="1:131">
      <c r="A6" s="2" t="s">
        <v>24</v>
      </c>
      <c r="B6" s="289">
        <v>0</v>
      </c>
      <c r="C6" s="290">
        <v>0</v>
      </c>
      <c r="D6" s="290">
        <v>0</v>
      </c>
      <c r="E6" s="290">
        <v>0</v>
      </c>
      <c r="F6" s="3">
        <v>0</v>
      </c>
      <c r="G6" s="3">
        <v>0</v>
      </c>
      <c r="H6" s="42"/>
      <c r="I6" s="24"/>
      <c r="J6" s="24"/>
      <c r="K6" s="34"/>
      <c r="L6" s="35"/>
      <c r="M6" s="36"/>
      <c r="N6" s="24">
        <v>0</v>
      </c>
      <c r="O6" s="24">
        <v>0</v>
      </c>
      <c r="P6" s="24">
        <v>0</v>
      </c>
      <c r="Q6" s="54"/>
      <c r="R6" s="24"/>
      <c r="S6" s="24"/>
      <c r="T6" s="25"/>
      <c r="U6" s="291"/>
      <c r="V6" s="590"/>
      <c r="W6" s="590"/>
      <c r="X6" s="590"/>
      <c r="Y6" s="590"/>
      <c r="Z6" s="591"/>
      <c r="AA6" s="592"/>
      <c r="AB6" s="28"/>
      <c r="AC6" s="246"/>
      <c r="AD6" s="2" t="s">
        <v>114</v>
      </c>
      <c r="AE6" s="3"/>
      <c r="AF6" s="4"/>
      <c r="AH6" t="s">
        <v>277</v>
      </c>
      <c r="CJ6" s="291"/>
      <c r="CK6" s="120"/>
      <c r="CL6" s="120"/>
      <c r="CM6" s="120"/>
      <c r="CN6" s="120"/>
      <c r="CO6" s="120"/>
      <c r="CP6" s="120"/>
      <c r="CQ6" s="120"/>
      <c r="CS6" s="2" t="s">
        <v>24</v>
      </c>
      <c r="CT6" s="289">
        <v>0</v>
      </c>
      <c r="CU6" s="290">
        <v>0</v>
      </c>
      <c r="CV6" s="290">
        <v>0</v>
      </c>
      <c r="CW6" s="290">
        <v>0</v>
      </c>
      <c r="CX6" s="3">
        <v>0</v>
      </c>
      <c r="CY6" s="3">
        <v>0</v>
      </c>
      <c r="CZ6" s="562">
        <v>0</v>
      </c>
      <c r="DA6" s="24">
        <v>0</v>
      </c>
      <c r="DB6" s="24">
        <v>0</v>
      </c>
      <c r="DC6" s="563"/>
      <c r="DD6" s="120"/>
      <c r="DE6" s="547"/>
      <c r="DF6" s="547"/>
      <c r="DG6" s="547"/>
      <c r="DH6" s="604"/>
      <c r="DI6" s="28"/>
      <c r="DJ6" s="65"/>
      <c r="DL6" s="2" t="s">
        <v>24</v>
      </c>
      <c r="DM6" s="289">
        <v>0</v>
      </c>
      <c r="DN6" s="290">
        <v>0</v>
      </c>
      <c r="DO6" s="290">
        <v>0</v>
      </c>
      <c r="DP6" s="290">
        <v>0</v>
      </c>
      <c r="DQ6" s="3">
        <v>0</v>
      </c>
      <c r="DR6" s="3">
        <v>0</v>
      </c>
      <c r="DS6" s="562">
        <v>0</v>
      </c>
      <c r="DT6" s="24">
        <v>0</v>
      </c>
      <c r="DU6" s="24">
        <v>0</v>
      </c>
      <c r="DV6" s="563"/>
      <c r="DW6" s="621"/>
      <c r="DX6" s="591"/>
      <c r="DY6" s="29"/>
    </row>
    <row r="7" spans="1:131">
      <c r="A7">
        <f>1</f>
        <v>1</v>
      </c>
      <c r="B7" s="6">
        <v>5.66</v>
      </c>
      <c r="C7" s="1">
        <v>0</v>
      </c>
      <c r="D7" s="1">
        <v>7.73</v>
      </c>
      <c r="E7" s="1">
        <v>0.17</v>
      </c>
      <c r="F7" s="1">
        <v>0</v>
      </c>
      <c r="G7" s="1">
        <v>0</v>
      </c>
      <c r="H7" s="280">
        <v>5.66</v>
      </c>
      <c r="I7" s="285">
        <v>-5.01</v>
      </c>
      <c r="J7" s="285">
        <v>7.74</v>
      </c>
      <c r="K7" s="286">
        <v>0.17299999999999999</v>
      </c>
      <c r="L7" s="287" t="s">
        <v>85</v>
      </c>
      <c r="M7" s="288"/>
      <c r="N7" s="22">
        <v>5.66</v>
      </c>
      <c r="O7" s="22">
        <v>-5.64</v>
      </c>
      <c r="P7" s="22">
        <v>7.69</v>
      </c>
      <c r="Q7" s="53">
        <v>0.17299999999999999</v>
      </c>
      <c r="R7" s="62"/>
      <c r="S7" s="62"/>
      <c r="T7" s="112"/>
      <c r="U7" s="104"/>
      <c r="V7" s="580">
        <f>N7-B7</f>
        <v>0</v>
      </c>
      <c r="W7" s="580">
        <f>O7-C7+offsetRot</f>
        <v>0.11017520000000136</v>
      </c>
      <c r="X7" s="593">
        <f>SQRT(V7*V7+W7*W7)</f>
        <v>0.11017520000000136</v>
      </c>
      <c r="Y7" s="593">
        <f>X7-averXY</f>
        <v>1.0557194929271679E-2</v>
      </c>
      <c r="Z7" s="594">
        <f>P7-D7</f>
        <v>-4.0000000000000036E-2</v>
      </c>
      <c r="AA7" s="583"/>
      <c r="AC7" s="468">
        <f>ABS(Q7-ABS(E7))</f>
        <v>2.9999999999999749E-3</v>
      </c>
      <c r="AD7" s="61" t="s">
        <v>121</v>
      </c>
      <c r="AE7" s="61"/>
      <c r="AF7" s="61"/>
      <c r="AG7" s="6">
        <v>0.17</v>
      </c>
      <c r="AH7" s="39">
        <v>-5.64</v>
      </c>
      <c r="AI7" s="1">
        <f>-180*O7/1938/3.1416</f>
        <v>0.16674274550799775</v>
      </c>
      <c r="AJ7">
        <f>AI7-E7</f>
        <v>-3.2572544920022595E-3</v>
      </c>
      <c r="CL7" s="104"/>
      <c r="CM7" s="9">
        <v>0</v>
      </c>
      <c r="CN7" s="9">
        <f>CM7--0.022</f>
        <v>2.1999999999999999E-2</v>
      </c>
      <c r="CO7" s="9">
        <v>0.11017520000000136</v>
      </c>
      <c r="CP7" s="9">
        <f>CO7-0.037</f>
        <v>7.3175200000001356E-2</v>
      </c>
      <c r="CQ7" s="335">
        <f>SQRT(CN7*CN7+CP7*CP7)</f>
        <v>7.6410796979485815E-2</v>
      </c>
      <c r="CR7" s="335">
        <f>CQ7-0.094</f>
        <v>-1.7589203020514185E-2</v>
      </c>
      <c r="CS7" s="9">
        <v>-0.04</v>
      </c>
      <c r="CU7" s="6">
        <v>1</v>
      </c>
      <c r="CV7" s="6">
        <v>5.66</v>
      </c>
      <c r="CW7" s="1">
        <v>0</v>
      </c>
      <c r="CX7" s="1">
        <v>7.73</v>
      </c>
      <c r="CY7" s="1">
        <v>0.17</v>
      </c>
      <c r="CZ7" s="1">
        <v>0</v>
      </c>
      <c r="DA7" s="1">
        <v>0</v>
      </c>
      <c r="DB7" s="560">
        <v>5.66</v>
      </c>
      <c r="DC7" s="22">
        <v>-5.64</v>
      </c>
      <c r="DD7" s="22">
        <v>7.69</v>
      </c>
      <c r="DE7" s="564">
        <v>0.17299999999999999</v>
      </c>
      <c r="DF7" s="186">
        <v>7.6410796979485815E-2</v>
      </c>
      <c r="DG7" s="550">
        <v>-1.7589203020514185E-2</v>
      </c>
      <c r="DH7">
        <f>DG7*DG7</f>
        <v>3.0938006289686534E-4</v>
      </c>
      <c r="DI7" s="548">
        <v>-4.0000000000000036E-2</v>
      </c>
      <c r="DJ7" s="517">
        <f>DI7-(-0.018)</f>
        <v>-2.2000000000000037E-2</v>
      </c>
      <c r="DK7" s="611">
        <v>2.9999999999999749E-3</v>
      </c>
      <c r="DL7" s="468">
        <f>DK7-0.0023</f>
        <v>6.9999999999997495E-4</v>
      </c>
      <c r="DN7" s="6">
        <v>1</v>
      </c>
      <c r="DO7" s="6">
        <v>5.66</v>
      </c>
      <c r="DP7" s="1">
        <v>0</v>
      </c>
      <c r="DQ7" s="1">
        <v>7.73</v>
      </c>
      <c r="DR7" s="1">
        <v>0.17</v>
      </c>
      <c r="DS7" s="1">
        <v>0</v>
      </c>
      <c r="DT7" s="1">
        <v>0</v>
      </c>
      <c r="DU7" s="560">
        <v>5.66</v>
      </c>
      <c r="DV7" s="22">
        <v>-5.64</v>
      </c>
      <c r="DW7" s="22">
        <v>7.69</v>
      </c>
      <c r="DX7" s="564">
        <v>0.17299999999999999</v>
      </c>
      <c r="DY7" s="550">
        <v>-1.7589203020514185E-2</v>
      </c>
      <c r="DZ7" s="517">
        <v>-2.2000000000000037E-2</v>
      </c>
      <c r="EA7" s="468">
        <v>6.9999999999997495E-4</v>
      </c>
    </row>
    <row r="8" spans="1:131">
      <c r="A8">
        <f t="shared" ref="A8:A40" si="0">A7+1</f>
        <v>2</v>
      </c>
      <c r="B8" s="6">
        <v>5.66</v>
      </c>
      <c r="C8" s="1">
        <v>0</v>
      </c>
      <c r="D8" s="1">
        <v>7.73</v>
      </c>
      <c r="E8" s="1">
        <v>-0.17</v>
      </c>
      <c r="F8" s="1">
        <v>0</v>
      </c>
      <c r="G8" s="1">
        <v>0</v>
      </c>
      <c r="H8" s="281">
        <v>5.64</v>
      </c>
      <c r="I8" s="276">
        <v>6.33</v>
      </c>
      <c r="J8" s="276">
        <v>7.79</v>
      </c>
      <c r="K8" s="277">
        <v>0.17019999999999999</v>
      </c>
      <c r="L8" s="278" t="s">
        <v>84</v>
      </c>
      <c r="M8" s="279"/>
      <c r="N8" s="22">
        <v>5.64</v>
      </c>
      <c r="O8" s="22">
        <v>5.7</v>
      </c>
      <c r="P8" s="22">
        <v>7.74</v>
      </c>
      <c r="Q8" s="53">
        <v>0.17019999999999999</v>
      </c>
      <c r="R8" s="62"/>
      <c r="S8" s="52"/>
      <c r="T8" s="113"/>
      <c r="U8" s="104"/>
      <c r="V8" s="580">
        <f t="shared" ref="V8:V12" si="1">N8-B8</f>
        <v>-2.0000000000000462E-2</v>
      </c>
      <c r="W8" s="580">
        <f>O8-C8-offsetRot</f>
        <v>-5.0175200000000864E-2</v>
      </c>
      <c r="X8" s="593">
        <f t="shared" ref="X8:X14" si="2">SQRT(V8*V8+W8*W8)</f>
        <v>5.4014356379023021E-2</v>
      </c>
      <c r="Y8" s="593">
        <f t="shared" ref="Y8:Y14" si="3">X8-averXY</f>
        <v>-4.5603648691706661E-2</v>
      </c>
      <c r="Z8" s="595">
        <f t="shared" ref="Z8:Z12" si="4">P8-D8</f>
        <v>9.9999999999997868E-3</v>
      </c>
      <c r="AA8" s="583"/>
      <c r="AC8" s="468">
        <f>ABS(Q8-ABS(E8))</f>
        <v>1.9999999999997797E-4</v>
      </c>
      <c r="AD8" t="s">
        <v>117</v>
      </c>
      <c r="AG8" s="6">
        <v>-0.17</v>
      </c>
      <c r="AH8" s="1">
        <v>5.7</v>
      </c>
      <c r="AI8" t="s">
        <v>279</v>
      </c>
      <c r="CK8" s="104"/>
      <c r="CL8" s="9">
        <v>-2.0000000000000462E-2</v>
      </c>
      <c r="CM8" s="9">
        <f>CL8--0.017</f>
        <v>-3.0000000000004606E-3</v>
      </c>
      <c r="CN8" s="9">
        <v>-5.0175200000000864E-2</v>
      </c>
      <c r="CO8" s="9">
        <f>CN8-0.034</f>
        <v>-8.4175200000000866E-2</v>
      </c>
      <c r="CP8" s="335">
        <f t="shared" ref="CO8:CP14" si="5">SQRT(CM8*CM8+CO8*CO8)</f>
        <v>8.4228642960931938E-2</v>
      </c>
      <c r="CQ8" s="335">
        <f t="shared" ref="CP8:CQ14" si="6">CP8-0.094</f>
        <v>-9.7713570390680626E-3</v>
      </c>
      <c r="CR8" s="9">
        <v>9.9999999999997868E-3</v>
      </c>
      <c r="CT8" s="6">
        <v>2</v>
      </c>
      <c r="CU8" s="6">
        <v>5.66</v>
      </c>
      <c r="CV8" s="1">
        <v>0</v>
      </c>
      <c r="CW8" s="1">
        <v>7.73</v>
      </c>
      <c r="CX8" s="1">
        <v>-0.17</v>
      </c>
      <c r="CY8" s="1">
        <v>0</v>
      </c>
      <c r="CZ8" s="1">
        <v>0</v>
      </c>
      <c r="DA8" s="560">
        <v>5.64</v>
      </c>
      <c r="DB8" s="22">
        <v>5.7</v>
      </c>
      <c r="DC8" s="22">
        <v>7.74</v>
      </c>
      <c r="DD8" s="564">
        <v>0.17019999999999999</v>
      </c>
      <c r="DE8" s="186">
        <v>8.7198139286570497E-2</v>
      </c>
      <c r="DF8" s="550">
        <v>-6.8018607134295028E-3</v>
      </c>
      <c r="DG8">
        <f t="shared" ref="DF8:DG14" si="7">DF8*DF8</f>
        <v>4.6265309164895702E-5</v>
      </c>
      <c r="DH8" s="548">
        <v>9.9999999999997868E-3</v>
      </c>
      <c r="DI8" s="517">
        <f t="shared" ref="DH8:DI14" si="8">DH8-(-0.018)</f>
        <v>2.7999999999999785E-2</v>
      </c>
      <c r="DJ8" s="611">
        <v>1.9999999999997797E-4</v>
      </c>
      <c r="DK8" s="468">
        <f t="shared" ref="DJ8:DK14" si="9">DJ8-0.0023</f>
        <v>-2.100000000000022E-3</v>
      </c>
      <c r="DM8" s="6">
        <v>2</v>
      </c>
      <c r="DN8" s="6">
        <v>5.66</v>
      </c>
      <c r="DO8" s="1">
        <v>0</v>
      </c>
      <c r="DP8" s="1">
        <v>7.73</v>
      </c>
      <c r="DQ8" s="1">
        <v>-0.17</v>
      </c>
      <c r="DR8" s="1">
        <v>0</v>
      </c>
      <c r="DS8" s="1">
        <v>0</v>
      </c>
      <c r="DT8" s="560">
        <v>5.64</v>
      </c>
      <c r="DU8" s="22">
        <v>5.7</v>
      </c>
      <c r="DV8" s="22">
        <v>7.74</v>
      </c>
      <c r="DW8" s="564">
        <v>0.17019999999999999</v>
      </c>
      <c r="DX8" s="550">
        <v>-6.8018607134295028E-3</v>
      </c>
      <c r="DY8" s="517">
        <v>2.7999999999999785E-2</v>
      </c>
      <c r="DZ8" s="468">
        <v>-2.100000000000022E-3</v>
      </c>
    </row>
    <row r="9" spans="1:131">
      <c r="A9">
        <f t="shared" si="0"/>
        <v>3</v>
      </c>
      <c r="B9" s="6">
        <v>5.66</v>
      </c>
      <c r="C9" s="1">
        <v>0</v>
      </c>
      <c r="D9" s="1">
        <v>7.73</v>
      </c>
      <c r="E9" s="1">
        <v>0</v>
      </c>
      <c r="F9" s="1">
        <v>0.17</v>
      </c>
      <c r="G9" s="1">
        <v>0</v>
      </c>
      <c r="H9" s="41"/>
      <c r="I9" s="22"/>
      <c r="J9" s="22"/>
      <c r="K9" s="37"/>
      <c r="L9" s="14"/>
      <c r="M9" s="15"/>
      <c r="N9" s="22">
        <v>11.29</v>
      </c>
      <c r="O9" s="22">
        <v>0.04</v>
      </c>
      <c r="P9" s="22">
        <v>7.7</v>
      </c>
      <c r="Q9" s="53">
        <v>0.1663</v>
      </c>
      <c r="R9" s="52"/>
      <c r="S9" s="62"/>
      <c r="T9" s="113"/>
      <c r="U9" s="105"/>
      <c r="V9" s="580">
        <f>N9-B9-offsetRot</f>
        <v>-0.12017520000000204</v>
      </c>
      <c r="W9" s="580">
        <f t="shared" ref="W9" si="10">O9-C9</f>
        <v>0.04</v>
      </c>
      <c r="X9" s="593">
        <f t="shared" si="2"/>
        <v>0.12665732783791267</v>
      </c>
      <c r="Y9" s="593">
        <f t="shared" si="3"/>
        <v>2.7039322767182988E-2</v>
      </c>
      <c r="Z9" s="595">
        <f t="shared" si="4"/>
        <v>-3.0000000000000249E-2</v>
      </c>
      <c r="AA9" s="583"/>
      <c r="AC9" s="468">
        <f>ABS(Q9-ABS(F9))</f>
        <v>3.7000000000000088E-3</v>
      </c>
      <c r="AD9" t="s">
        <v>115</v>
      </c>
      <c r="AH9" s="1"/>
      <c r="AI9" t="s">
        <v>278</v>
      </c>
      <c r="CK9" s="105"/>
      <c r="CL9" s="9">
        <v>-0.12017520000000204</v>
      </c>
      <c r="CM9" s="9">
        <f t="shared" ref="CL9:CM14" si="11">CL9--0.017</f>
        <v>-0.10317520000000203</v>
      </c>
      <c r="CN9" s="9">
        <v>0.04</v>
      </c>
      <c r="CO9" s="9">
        <f t="shared" ref="CN9:CO14" si="12">CN9-0.034</f>
        <v>5.9999999999999984E-3</v>
      </c>
      <c r="CP9" s="335">
        <f t="shared" si="5"/>
        <v>0.10334951327916557</v>
      </c>
      <c r="CQ9" s="335">
        <f t="shared" si="6"/>
        <v>9.3495132791655694E-3</v>
      </c>
      <c r="CR9" s="9">
        <v>-3.0000000000000249E-2</v>
      </c>
      <c r="CT9" s="6">
        <v>3</v>
      </c>
      <c r="CU9" s="6">
        <v>5.66</v>
      </c>
      <c r="CV9" s="1">
        <v>0</v>
      </c>
      <c r="CW9" s="1">
        <v>7.73</v>
      </c>
      <c r="CX9" s="1">
        <v>0</v>
      </c>
      <c r="CY9" s="1">
        <v>0.17</v>
      </c>
      <c r="CZ9" s="1">
        <v>0</v>
      </c>
      <c r="DA9" s="560">
        <v>11.29</v>
      </c>
      <c r="DB9" s="22">
        <v>0.04</v>
      </c>
      <c r="DC9" s="22">
        <v>7.7</v>
      </c>
      <c r="DD9" s="564">
        <v>0.1663</v>
      </c>
      <c r="DE9" s="186">
        <v>9.8221025727898009E-2</v>
      </c>
      <c r="DF9" s="550">
        <v>4.221025727898009E-3</v>
      </c>
      <c r="DG9">
        <f t="shared" si="7"/>
        <v>1.7817058195576917E-5</v>
      </c>
      <c r="DH9" s="548">
        <v>-3.0000000000000249E-2</v>
      </c>
      <c r="DI9" s="517">
        <f t="shared" si="8"/>
        <v>-1.200000000000025E-2</v>
      </c>
      <c r="DJ9" s="611">
        <v>3.7000000000000088E-3</v>
      </c>
      <c r="DK9" s="468">
        <f t="shared" si="9"/>
        <v>1.4000000000000089E-3</v>
      </c>
      <c r="DM9" s="6">
        <v>3</v>
      </c>
      <c r="DN9" s="6">
        <v>5.66</v>
      </c>
      <c r="DO9" s="1">
        <v>0</v>
      </c>
      <c r="DP9" s="1">
        <v>7.73</v>
      </c>
      <c r="DQ9" s="1">
        <v>0</v>
      </c>
      <c r="DR9" s="1">
        <v>0.17</v>
      </c>
      <c r="DS9" s="1">
        <v>0</v>
      </c>
      <c r="DT9" s="560">
        <v>11.29</v>
      </c>
      <c r="DU9" s="22">
        <v>0.04</v>
      </c>
      <c r="DV9" s="22">
        <v>7.7</v>
      </c>
      <c r="DW9" s="564">
        <v>0.1663</v>
      </c>
      <c r="DX9" s="550">
        <v>4.221025727898009E-3</v>
      </c>
      <c r="DY9" s="517">
        <v>-1.200000000000025E-2</v>
      </c>
      <c r="DZ9" s="468">
        <v>1.4000000000000089E-3</v>
      </c>
    </row>
    <row r="10" spans="1:131">
      <c r="A10">
        <f t="shared" si="0"/>
        <v>4</v>
      </c>
      <c r="B10" s="6">
        <v>5.66</v>
      </c>
      <c r="C10" s="1">
        <v>0</v>
      </c>
      <c r="D10" s="1">
        <v>7.73</v>
      </c>
      <c r="E10" s="1">
        <v>0</v>
      </c>
      <c r="F10" s="1">
        <v>-0.17</v>
      </c>
      <c r="G10" s="1">
        <v>0</v>
      </c>
      <c r="H10" s="41"/>
      <c r="I10" s="22"/>
      <c r="J10" s="22"/>
      <c r="K10" s="37"/>
      <c r="L10" s="14"/>
      <c r="M10" s="15"/>
      <c r="N10" s="22">
        <v>-0.04</v>
      </c>
      <c r="O10" s="22">
        <v>0.03</v>
      </c>
      <c r="P10" s="22">
        <v>7.72</v>
      </c>
      <c r="Q10" s="53">
        <v>0.17069999999999999</v>
      </c>
      <c r="R10" s="52"/>
      <c r="S10" s="62"/>
      <c r="T10" s="113"/>
      <c r="U10" s="105"/>
      <c r="V10" s="580">
        <f>N10-B10+offsetRot</f>
        <v>5.0175200000000864E-2</v>
      </c>
      <c r="W10" s="580">
        <f>O10-C10</f>
        <v>0.03</v>
      </c>
      <c r="X10" s="593">
        <f t="shared" si="2"/>
        <v>5.8459821202601077E-2</v>
      </c>
      <c r="Y10" s="593">
        <f t="shared" si="3"/>
        <v>-4.1158183868128605E-2</v>
      </c>
      <c r="Z10" s="595">
        <f t="shared" si="4"/>
        <v>-1.0000000000000675E-2</v>
      </c>
      <c r="AA10" s="583"/>
      <c r="AC10" s="468">
        <f>ABS(Q10-ABS(F10))</f>
        <v>6.9999999999997842E-4</v>
      </c>
      <c r="AD10" t="s">
        <v>116</v>
      </c>
      <c r="CJ10" s="105"/>
      <c r="CK10" s="9">
        <v>5.0175200000000864E-2</v>
      </c>
      <c r="CL10" s="9">
        <f t="shared" si="11"/>
        <v>6.7175200000000865E-2</v>
      </c>
      <c r="CM10" s="9">
        <v>0.03</v>
      </c>
      <c r="CN10" s="9">
        <f t="shared" si="12"/>
        <v>-4.0000000000000036E-3</v>
      </c>
      <c r="CO10" s="335">
        <f t="shared" si="5"/>
        <v>6.7294186190488381E-2</v>
      </c>
      <c r="CP10" s="335">
        <f t="shared" si="6"/>
        <v>-2.6705813809511619E-2</v>
      </c>
      <c r="CQ10" s="9">
        <v>-1.0000000000000675E-2</v>
      </c>
      <c r="CS10" s="6">
        <v>4</v>
      </c>
      <c r="CT10" s="6">
        <v>5.66</v>
      </c>
      <c r="CU10" s="1">
        <v>0</v>
      </c>
      <c r="CV10" s="1">
        <v>7.73</v>
      </c>
      <c r="CW10" s="1">
        <v>0</v>
      </c>
      <c r="CX10" s="1">
        <v>-0.17</v>
      </c>
      <c r="CY10" s="1">
        <v>0</v>
      </c>
      <c r="CZ10" s="560">
        <v>-0.04</v>
      </c>
      <c r="DA10" s="22">
        <v>0.03</v>
      </c>
      <c r="DB10" s="22">
        <v>7.72</v>
      </c>
      <c r="DC10" s="564">
        <v>0.17069999999999999</v>
      </c>
      <c r="DD10" s="186">
        <v>7.2513857262182124E-2</v>
      </c>
      <c r="DE10" s="550">
        <v>-2.1486142737817876E-2</v>
      </c>
      <c r="DF10">
        <f t="shared" si="7"/>
        <v>4.6165432974988385E-4</v>
      </c>
      <c r="DG10" s="548">
        <v>-1.0000000000000675E-2</v>
      </c>
      <c r="DH10" s="517">
        <f t="shared" si="8"/>
        <v>7.9999999999993236E-3</v>
      </c>
      <c r="DI10" s="611">
        <v>6.9999999999997842E-4</v>
      </c>
      <c r="DJ10" s="468">
        <f t="shared" si="9"/>
        <v>-1.6000000000000215E-3</v>
      </c>
      <c r="DL10" s="6">
        <v>4</v>
      </c>
      <c r="DM10" s="6">
        <v>5.66</v>
      </c>
      <c r="DN10" s="1">
        <v>0</v>
      </c>
      <c r="DO10" s="1">
        <v>7.73</v>
      </c>
      <c r="DP10" s="1">
        <v>0</v>
      </c>
      <c r="DQ10" s="1">
        <v>-0.17</v>
      </c>
      <c r="DR10" s="1">
        <v>0</v>
      </c>
      <c r="DS10" s="560">
        <v>-0.04</v>
      </c>
      <c r="DT10" s="22">
        <v>0.03</v>
      </c>
      <c r="DU10" s="22">
        <v>7.72</v>
      </c>
      <c r="DV10" s="564">
        <v>0.17069999999999999</v>
      </c>
      <c r="DW10" s="550">
        <v>-2.1486142737817876E-2</v>
      </c>
      <c r="DX10" s="517">
        <v>7.9999999999993236E-3</v>
      </c>
      <c r="DY10" s="468">
        <v>-1.6000000000000215E-3</v>
      </c>
    </row>
    <row r="11" spans="1:131">
      <c r="A11">
        <f t="shared" si="0"/>
        <v>5</v>
      </c>
      <c r="B11" s="6">
        <v>5.66</v>
      </c>
      <c r="C11" s="1">
        <v>0</v>
      </c>
      <c r="D11" s="39">
        <v>-7.73</v>
      </c>
      <c r="E11" s="1">
        <v>0.17</v>
      </c>
      <c r="F11" s="1">
        <v>0</v>
      </c>
      <c r="G11" s="1">
        <v>0</v>
      </c>
      <c r="H11" s="41"/>
      <c r="I11" s="22"/>
      <c r="J11" s="22"/>
      <c r="K11" s="37"/>
      <c r="L11" s="14"/>
      <c r="M11" s="15"/>
      <c r="N11" s="22">
        <v>5.61</v>
      </c>
      <c r="O11" s="22">
        <v>-5.62</v>
      </c>
      <c r="P11" s="22">
        <v>-7.78</v>
      </c>
      <c r="Q11" s="53">
        <v>0.17230000000000001</v>
      </c>
      <c r="R11" s="62"/>
      <c r="S11" s="52"/>
      <c r="T11" s="113"/>
      <c r="U11" s="105"/>
      <c r="V11" s="580">
        <f t="shared" si="1"/>
        <v>-4.9999999999999822E-2</v>
      </c>
      <c r="W11" s="580">
        <f>O11-C11+offsetRot</f>
        <v>0.13017520000000093</v>
      </c>
      <c r="X11" s="593">
        <f>SQRT(V11*V11+W11*W11)</f>
        <v>0.13944741910498101</v>
      </c>
      <c r="Y11" s="593">
        <f t="shared" si="3"/>
        <v>3.9829414034251331E-2</v>
      </c>
      <c r="Z11" s="594">
        <f>P11-D11</f>
        <v>-4.9999999999999822E-2</v>
      </c>
      <c r="AA11" s="583"/>
      <c r="AC11" s="468">
        <f>ABS(Q11-ABS(E11))</f>
        <v>2.2999999999999965E-3</v>
      </c>
      <c r="AD11" t="s">
        <v>118</v>
      </c>
      <c r="AG11" s="6">
        <v>0.17</v>
      </c>
      <c r="AH11">
        <v>-5.62</v>
      </c>
      <c r="CJ11" s="105"/>
      <c r="CK11" s="9">
        <v>-4.9999999999999822E-2</v>
      </c>
      <c r="CL11" s="9">
        <f t="shared" si="11"/>
        <v>-3.2999999999999821E-2</v>
      </c>
      <c r="CM11" s="9">
        <v>0.13017520000000093</v>
      </c>
      <c r="CN11" s="9">
        <f t="shared" si="12"/>
        <v>9.6175200000000932E-2</v>
      </c>
      <c r="CO11" s="335">
        <f t="shared" si="5"/>
        <v>0.10167924613725343</v>
      </c>
      <c r="CP11" s="335">
        <f t="shared" si="6"/>
        <v>7.6792461372534315E-3</v>
      </c>
      <c r="CQ11" s="9">
        <v>-4.9999999999999822E-2</v>
      </c>
      <c r="CS11" s="6">
        <v>5</v>
      </c>
      <c r="CT11" s="6">
        <v>5.66</v>
      </c>
      <c r="CU11" s="1">
        <v>0</v>
      </c>
      <c r="CV11" s="39">
        <v>-7.73</v>
      </c>
      <c r="CW11" s="1">
        <v>0.17</v>
      </c>
      <c r="CX11" s="1">
        <v>0</v>
      </c>
      <c r="CY11" s="1">
        <v>0</v>
      </c>
      <c r="CZ11" s="560">
        <v>5.61</v>
      </c>
      <c r="DA11" s="22">
        <v>-5.62</v>
      </c>
      <c r="DB11" s="22">
        <v>-7.78</v>
      </c>
      <c r="DC11" s="564">
        <v>0.17230000000000001</v>
      </c>
      <c r="DD11" s="186">
        <v>9.7291407097647442E-2</v>
      </c>
      <c r="DE11" s="550">
        <v>3.2914070976474419E-3</v>
      </c>
      <c r="DF11">
        <f t="shared" si="7"/>
        <v>1.0833360682443957E-5</v>
      </c>
      <c r="DG11" s="548">
        <v>-4.9999999999999822E-2</v>
      </c>
      <c r="DH11" s="517">
        <f t="shared" si="8"/>
        <v>-3.199999999999982E-2</v>
      </c>
      <c r="DI11" s="611">
        <v>2.2999999999999965E-3</v>
      </c>
      <c r="DJ11" s="468">
        <f t="shared" si="9"/>
        <v>-3.4694469519536142E-18</v>
      </c>
      <c r="DL11" s="6">
        <v>5</v>
      </c>
      <c r="DM11" s="6">
        <v>5.66</v>
      </c>
      <c r="DN11" s="1">
        <v>0</v>
      </c>
      <c r="DO11" s="39">
        <v>-7.73</v>
      </c>
      <c r="DP11" s="1">
        <v>0.17</v>
      </c>
      <c r="DQ11" s="1">
        <v>0</v>
      </c>
      <c r="DR11" s="1">
        <v>0</v>
      </c>
      <c r="DS11" s="560">
        <v>5.61</v>
      </c>
      <c r="DT11" s="22">
        <v>-5.62</v>
      </c>
      <c r="DU11" s="22">
        <v>-7.78</v>
      </c>
      <c r="DV11" s="564">
        <v>0.17230000000000001</v>
      </c>
      <c r="DW11" s="550">
        <v>3.2914070976474419E-3</v>
      </c>
      <c r="DX11" s="517">
        <v>-3.199999999999982E-2</v>
      </c>
      <c r="DY11" s="468">
        <v>-3.4694469519536142E-18</v>
      </c>
    </row>
    <row r="12" spans="1:131">
      <c r="A12">
        <f t="shared" si="0"/>
        <v>6</v>
      </c>
      <c r="B12" s="6">
        <v>5.66</v>
      </c>
      <c r="C12" s="1">
        <v>0</v>
      </c>
      <c r="D12" s="1">
        <v>-7.73</v>
      </c>
      <c r="E12" s="1">
        <v>-0.17</v>
      </c>
      <c r="F12" s="1">
        <v>0</v>
      </c>
      <c r="G12" s="1">
        <v>0</v>
      </c>
      <c r="H12" s="41"/>
      <c r="I12" s="22"/>
      <c r="J12" s="22"/>
      <c r="K12" s="37"/>
      <c r="L12" s="14"/>
      <c r="M12" s="15"/>
      <c r="N12" s="22">
        <v>5.62</v>
      </c>
      <c r="O12" s="22">
        <v>5.65</v>
      </c>
      <c r="P12" s="22">
        <v>-7.73</v>
      </c>
      <c r="Q12" s="53">
        <v>0.1739</v>
      </c>
      <c r="R12" s="62"/>
      <c r="S12" s="52"/>
      <c r="T12" s="113"/>
      <c r="U12" s="105"/>
      <c r="V12" s="580">
        <f t="shared" si="1"/>
        <v>-4.0000000000000036E-2</v>
      </c>
      <c r="W12" s="580">
        <f>O12-C12-offsetRot</f>
        <v>-0.10017520000000069</v>
      </c>
      <c r="X12" s="593">
        <f t="shared" si="2"/>
        <v>0.10786598488420777</v>
      </c>
      <c r="Y12" s="593">
        <f t="shared" si="3"/>
        <v>8.2479798134780929E-3</v>
      </c>
      <c r="Z12" s="595">
        <f t="shared" si="4"/>
        <v>0</v>
      </c>
      <c r="AA12" s="583"/>
      <c r="AC12" s="468">
        <f>ABS(Q12-ABS(E12))</f>
        <v>3.8999999999999868E-3</v>
      </c>
      <c r="AD12" t="s">
        <v>119</v>
      </c>
      <c r="AG12" s="6">
        <v>-0.17</v>
      </c>
      <c r="AH12">
        <v>5.65</v>
      </c>
      <c r="CJ12" s="105"/>
      <c r="CK12" s="9">
        <v>-4.0000000000000036E-2</v>
      </c>
      <c r="CL12" s="9">
        <f t="shared" si="11"/>
        <v>-2.3000000000000034E-2</v>
      </c>
      <c r="CM12" s="9">
        <v>-0.10017520000000069</v>
      </c>
      <c r="CN12" s="9">
        <f t="shared" si="12"/>
        <v>-0.13417520000000069</v>
      </c>
      <c r="CO12" s="535">
        <f t="shared" si="5"/>
        <v>0.13613223091920659</v>
      </c>
      <c r="CP12" s="335">
        <f t="shared" si="6"/>
        <v>4.2132230919206592E-2</v>
      </c>
      <c r="CQ12" s="9">
        <v>0</v>
      </c>
      <c r="CS12" s="6">
        <v>6</v>
      </c>
      <c r="CT12" s="6">
        <v>5.66</v>
      </c>
      <c r="CU12" s="1">
        <v>0</v>
      </c>
      <c r="CV12" s="1">
        <v>-7.73</v>
      </c>
      <c r="CW12" s="1">
        <v>-0.17</v>
      </c>
      <c r="CX12" s="1">
        <v>0</v>
      </c>
      <c r="CY12" s="1">
        <v>0</v>
      </c>
      <c r="CZ12" s="560">
        <v>5.62</v>
      </c>
      <c r="DA12" s="22">
        <v>5.65</v>
      </c>
      <c r="DB12" s="22">
        <v>-7.73</v>
      </c>
      <c r="DC12" s="564">
        <v>0.1739</v>
      </c>
      <c r="DD12" s="554">
        <v>0.13835113116646422</v>
      </c>
      <c r="DE12" s="550">
        <v>4.4351131166464219E-2</v>
      </c>
      <c r="DF12">
        <f t="shared" si="7"/>
        <v>1.9670228357449139E-3</v>
      </c>
      <c r="DG12" s="548">
        <v>0</v>
      </c>
      <c r="DH12" s="517">
        <f t="shared" si="8"/>
        <v>1.7999999999999999E-2</v>
      </c>
      <c r="DI12" s="611">
        <v>3.8999999999999868E-3</v>
      </c>
      <c r="DJ12" s="468">
        <f t="shared" si="9"/>
        <v>1.5999999999999868E-3</v>
      </c>
      <c r="DL12" s="6">
        <v>6</v>
      </c>
      <c r="DM12" s="6">
        <v>5.66</v>
      </c>
      <c r="DN12" s="1">
        <v>0</v>
      </c>
      <c r="DO12" s="1">
        <v>-7.73</v>
      </c>
      <c r="DP12" s="1">
        <v>-0.17</v>
      </c>
      <c r="DQ12" s="1">
        <v>0</v>
      </c>
      <c r="DR12" s="1">
        <v>0</v>
      </c>
      <c r="DS12" s="560">
        <v>5.62</v>
      </c>
      <c r="DT12" s="22">
        <v>5.65</v>
      </c>
      <c r="DU12" s="22">
        <v>-7.73</v>
      </c>
      <c r="DV12" s="564">
        <v>0.1739</v>
      </c>
      <c r="DW12" s="550">
        <v>4.4351131166464219E-2</v>
      </c>
      <c r="DX12" s="517">
        <v>1.7999999999999999E-2</v>
      </c>
      <c r="DY12" s="468">
        <v>1.5999999999999868E-3</v>
      </c>
    </row>
    <row r="13" spans="1:131">
      <c r="A13">
        <f t="shared" si="0"/>
        <v>7</v>
      </c>
      <c r="B13" s="6">
        <v>5.66</v>
      </c>
      <c r="C13" s="1">
        <v>0</v>
      </c>
      <c r="D13" s="1">
        <v>-7.73</v>
      </c>
      <c r="E13" s="1">
        <v>0</v>
      </c>
      <c r="F13" s="1">
        <v>0.17</v>
      </c>
      <c r="G13" s="1">
        <v>0</v>
      </c>
      <c r="H13" s="41"/>
      <c r="I13" s="22"/>
      <c r="J13" s="22"/>
      <c r="K13" s="37"/>
      <c r="L13" s="14"/>
      <c r="M13" s="15"/>
      <c r="N13" s="22">
        <v>11.27</v>
      </c>
      <c r="O13" s="22">
        <v>-0.01</v>
      </c>
      <c r="P13" s="22">
        <v>-7.77</v>
      </c>
      <c r="Q13" s="53">
        <v>0.1676</v>
      </c>
      <c r="R13" s="52"/>
      <c r="S13" s="62"/>
      <c r="T13" s="113"/>
      <c r="U13" s="105"/>
      <c r="V13" s="580">
        <f>N13-B13-offsetRot</f>
        <v>-0.14017520000000161</v>
      </c>
      <c r="W13" s="580">
        <f t="shared" ref="W13:W14" si="13">O13-C13</f>
        <v>-0.01</v>
      </c>
      <c r="X13" s="593">
        <f t="shared" si="2"/>
        <v>0.14053144379476235</v>
      </c>
      <c r="Y13" s="593">
        <f t="shared" si="3"/>
        <v>4.0913438724032664E-2</v>
      </c>
      <c r="Z13" s="594">
        <f t="shared" ref="Z13:Z14" si="14">P13-D13</f>
        <v>-3.9999999999999147E-2</v>
      </c>
      <c r="AA13" s="583"/>
      <c r="AC13" s="468">
        <f>ABS(Q13-ABS(F13))</f>
        <v>2.4000000000000132E-3</v>
      </c>
      <c r="AD13" t="s">
        <v>120</v>
      </c>
      <c r="CJ13" s="105"/>
      <c r="CK13" s="9">
        <v>-0.14017520000000161</v>
      </c>
      <c r="CL13" s="9">
        <f t="shared" si="11"/>
        <v>-0.12317520000000161</v>
      </c>
      <c r="CM13" s="9">
        <v>-0.01</v>
      </c>
      <c r="CN13" s="9">
        <f t="shared" si="12"/>
        <v>-4.4000000000000004E-2</v>
      </c>
      <c r="CO13" s="535">
        <f t="shared" si="5"/>
        <v>0.13079805004295897</v>
      </c>
      <c r="CP13" s="335">
        <f t="shared" si="6"/>
        <v>3.6798050042958969E-2</v>
      </c>
      <c r="CQ13" s="9">
        <v>-3.9999999999999147E-2</v>
      </c>
      <c r="CS13" s="6">
        <v>7</v>
      </c>
      <c r="CT13" s="6">
        <v>5.66</v>
      </c>
      <c r="CU13" s="1">
        <v>0</v>
      </c>
      <c r="CV13" s="1">
        <v>-7.73</v>
      </c>
      <c r="CW13" s="1">
        <v>0</v>
      </c>
      <c r="CX13" s="1">
        <v>0.17</v>
      </c>
      <c r="CY13" s="1">
        <v>0</v>
      </c>
      <c r="CZ13" s="560">
        <v>11.27</v>
      </c>
      <c r="DA13" s="22">
        <v>-0.01</v>
      </c>
      <c r="DB13" s="22">
        <v>-7.77</v>
      </c>
      <c r="DC13" s="564">
        <v>0.1676</v>
      </c>
      <c r="DD13" s="554">
        <v>0.12717852764928669</v>
      </c>
      <c r="DE13" s="550">
        <v>3.3178527649286693E-2</v>
      </c>
      <c r="DF13">
        <f t="shared" si="7"/>
        <v>1.1008146969744817E-3</v>
      </c>
      <c r="DG13" s="548">
        <v>-3.9999999999999147E-2</v>
      </c>
      <c r="DH13" s="517">
        <f t="shared" si="8"/>
        <v>-2.1999999999999149E-2</v>
      </c>
      <c r="DI13" s="611">
        <v>2.4000000000000132E-3</v>
      </c>
      <c r="DJ13" s="468">
        <f t="shared" si="9"/>
        <v>1.0000000000001327E-4</v>
      </c>
      <c r="DL13" s="6">
        <v>7</v>
      </c>
      <c r="DM13" s="6">
        <v>5.66</v>
      </c>
      <c r="DN13" s="1">
        <v>0</v>
      </c>
      <c r="DO13" s="1">
        <v>-7.73</v>
      </c>
      <c r="DP13" s="1">
        <v>0</v>
      </c>
      <c r="DQ13" s="1">
        <v>0.17</v>
      </c>
      <c r="DR13" s="1">
        <v>0</v>
      </c>
      <c r="DS13" s="560">
        <v>11.27</v>
      </c>
      <c r="DT13" s="22">
        <v>-0.01</v>
      </c>
      <c r="DU13" s="22">
        <v>-7.77</v>
      </c>
      <c r="DV13" s="564">
        <v>0.1676</v>
      </c>
      <c r="DW13" s="550">
        <v>3.3178527649286693E-2</v>
      </c>
      <c r="DX13" s="517">
        <v>-2.1999999999999149E-2</v>
      </c>
      <c r="DY13" s="468">
        <v>1.0000000000001327E-4</v>
      </c>
    </row>
    <row r="14" spans="1:131">
      <c r="A14">
        <f t="shared" si="0"/>
        <v>8</v>
      </c>
      <c r="B14" s="6">
        <v>5.66</v>
      </c>
      <c r="C14" s="1">
        <v>0</v>
      </c>
      <c r="D14" s="1">
        <v>-7.73</v>
      </c>
      <c r="E14" s="1">
        <v>0</v>
      </c>
      <c r="F14" s="1">
        <v>-0.17</v>
      </c>
      <c r="G14" s="1">
        <v>0</v>
      </c>
      <c r="H14" s="41"/>
      <c r="I14" s="22"/>
      <c r="J14" s="22"/>
      <c r="K14" s="37"/>
      <c r="L14" s="14"/>
      <c r="M14" s="15"/>
      <c r="N14" s="22">
        <v>-0.03</v>
      </c>
      <c r="O14" s="22">
        <v>0.02</v>
      </c>
      <c r="P14" s="22">
        <v>-7.75</v>
      </c>
      <c r="Q14" s="53">
        <v>0.1714</v>
      </c>
      <c r="R14" s="52"/>
      <c r="S14" s="62"/>
      <c r="T14" s="113"/>
      <c r="U14" s="105"/>
      <c r="V14" s="580">
        <f>N14-B14+offsetRot</f>
        <v>6.017520000000065E-2</v>
      </c>
      <c r="W14" s="580">
        <f t="shared" si="13"/>
        <v>0.02</v>
      </c>
      <c r="X14" s="593">
        <f t="shared" si="2"/>
        <v>6.341178672013649E-2</v>
      </c>
      <c r="Y14" s="593">
        <f t="shared" si="3"/>
        <v>-3.6206218350593192E-2</v>
      </c>
      <c r="Z14" s="595">
        <f t="shared" si="14"/>
        <v>-1.9999999999999574E-2</v>
      </c>
      <c r="AA14" s="583"/>
      <c r="AC14" s="468">
        <f>ABS(Q14-ABS(F14))</f>
        <v>1.3999999999999846E-3</v>
      </c>
      <c r="CJ14" s="105"/>
      <c r="CK14" s="9">
        <v>6.017520000000065E-2</v>
      </c>
      <c r="CL14" s="9">
        <f t="shared" si="11"/>
        <v>7.7175200000000652E-2</v>
      </c>
      <c r="CM14" s="9">
        <v>0.02</v>
      </c>
      <c r="CN14" s="9">
        <f t="shared" si="12"/>
        <v>-1.4000000000000002E-2</v>
      </c>
      <c r="CO14" s="335">
        <f t="shared" si="5"/>
        <v>7.8434759482260807E-2</v>
      </c>
      <c r="CP14" s="335">
        <f t="shared" si="6"/>
        <v>-1.5565240517739193E-2</v>
      </c>
      <c r="CQ14" s="9">
        <v>-1.9999999999999574E-2</v>
      </c>
      <c r="CS14" s="6">
        <v>8</v>
      </c>
      <c r="CT14" s="6">
        <v>5.66</v>
      </c>
      <c r="CU14" s="1">
        <v>0</v>
      </c>
      <c r="CV14" s="1">
        <v>-7.73</v>
      </c>
      <c r="CW14" s="1">
        <v>0</v>
      </c>
      <c r="CX14" s="1">
        <v>-0.17</v>
      </c>
      <c r="CY14" s="1">
        <v>0</v>
      </c>
      <c r="CZ14" s="560">
        <v>-0.03</v>
      </c>
      <c r="DA14" s="22">
        <v>0.02</v>
      </c>
      <c r="DB14" s="22">
        <v>-7.75</v>
      </c>
      <c r="DC14" s="564">
        <v>0.1714</v>
      </c>
      <c r="DD14" s="186">
        <v>8.3915216111502128E-2</v>
      </c>
      <c r="DE14" s="550">
        <v>-1.0084783888497872E-2</v>
      </c>
      <c r="DF14">
        <f t="shared" si="7"/>
        <v>1.0170286607770627E-4</v>
      </c>
      <c r="DG14" s="548">
        <v>-1.9999999999999574E-2</v>
      </c>
      <c r="DH14" s="517">
        <f t="shared" si="8"/>
        <v>-1.999999999999575E-3</v>
      </c>
      <c r="DI14" s="611">
        <v>1.3999999999999846E-3</v>
      </c>
      <c r="DJ14" s="468">
        <f t="shared" si="9"/>
        <v>-9.0000000000001537E-4</v>
      </c>
      <c r="DL14" s="6">
        <v>8</v>
      </c>
      <c r="DM14" s="6">
        <v>5.66</v>
      </c>
      <c r="DN14" s="1">
        <v>0</v>
      </c>
      <c r="DO14" s="1">
        <v>-7.73</v>
      </c>
      <c r="DP14" s="1">
        <v>0</v>
      </c>
      <c r="DQ14" s="1">
        <v>-0.17</v>
      </c>
      <c r="DR14" s="1">
        <v>0</v>
      </c>
      <c r="DS14" s="560">
        <v>-0.03</v>
      </c>
      <c r="DT14" s="22">
        <v>0.02</v>
      </c>
      <c r="DU14" s="22">
        <v>-7.75</v>
      </c>
      <c r="DV14" s="564">
        <v>0.1714</v>
      </c>
      <c r="DW14" s="550">
        <v>-1.0084783888497872E-2</v>
      </c>
      <c r="DX14" s="517">
        <v>-1.999999999999575E-3</v>
      </c>
      <c r="DY14" s="468">
        <v>-9.0000000000001537E-4</v>
      </c>
    </row>
    <row r="15" spans="1:131">
      <c r="A15" s="2" t="s">
        <v>24</v>
      </c>
      <c r="B15" s="2"/>
      <c r="C15" s="3"/>
      <c r="D15" s="3"/>
      <c r="E15" s="3"/>
      <c r="F15" s="3"/>
      <c r="G15" s="3"/>
      <c r="H15" s="42"/>
      <c r="I15" s="24"/>
      <c r="J15" s="24"/>
      <c r="K15" s="34"/>
      <c r="L15" s="35"/>
      <c r="M15" s="36"/>
      <c r="N15" s="24">
        <v>0</v>
      </c>
      <c r="O15" s="24">
        <v>0</v>
      </c>
      <c r="P15" s="24">
        <v>0</v>
      </c>
      <c r="Q15" s="54"/>
      <c r="R15" s="292"/>
      <c r="S15" s="73"/>
      <c r="T15" s="293"/>
      <c r="U15" s="108"/>
      <c r="V15" s="590"/>
      <c r="W15" s="590"/>
      <c r="X15" s="596"/>
      <c r="Y15" s="596"/>
      <c r="Z15" s="597"/>
      <c r="AA15" s="592"/>
      <c r="AB15" s="28"/>
      <c r="AC15" s="420"/>
      <c r="CJ15" s="108"/>
      <c r="CK15" s="120"/>
      <c r="CL15" s="120"/>
      <c r="CM15" s="120"/>
      <c r="CN15" s="120"/>
      <c r="CO15" s="247"/>
      <c r="CP15" s="247"/>
      <c r="CQ15" s="120"/>
      <c r="CS15" s="2" t="s">
        <v>24</v>
      </c>
      <c r="CT15" s="2"/>
      <c r="CU15" s="3"/>
      <c r="CV15" s="3"/>
      <c r="CW15" s="3"/>
      <c r="CX15" s="3"/>
      <c r="CY15" s="3"/>
      <c r="CZ15" s="562">
        <v>0</v>
      </c>
      <c r="DA15" s="24">
        <v>0</v>
      </c>
      <c r="DB15" s="24">
        <v>0</v>
      </c>
      <c r="DC15" s="563"/>
      <c r="DD15" s="247"/>
      <c r="DE15" s="551"/>
      <c r="DF15" s="551"/>
      <c r="DG15" s="549"/>
      <c r="DH15" s="605"/>
      <c r="DI15" s="614"/>
      <c r="DJ15" s="468"/>
      <c r="DL15" s="2" t="s">
        <v>24</v>
      </c>
      <c r="DM15" s="2"/>
      <c r="DN15" s="3"/>
      <c r="DO15" s="3"/>
      <c r="DP15" s="3"/>
      <c r="DQ15" s="3"/>
      <c r="DR15" s="3"/>
      <c r="DS15" s="562">
        <v>0</v>
      </c>
      <c r="DT15" s="24">
        <v>0</v>
      </c>
      <c r="DU15" s="24">
        <v>0</v>
      </c>
      <c r="DV15" s="563"/>
      <c r="DW15" s="620"/>
      <c r="DX15" s="597"/>
      <c r="DY15" s="544"/>
    </row>
    <row r="16" spans="1:131">
      <c r="A16">
        <f>A14+1</f>
        <v>9</v>
      </c>
      <c r="B16" s="6">
        <v>-5.66</v>
      </c>
      <c r="C16" s="1">
        <v>0</v>
      </c>
      <c r="D16" s="1">
        <v>7.73</v>
      </c>
      <c r="E16" s="1">
        <v>0.17</v>
      </c>
      <c r="F16" s="1">
        <v>0</v>
      </c>
      <c r="G16" s="1">
        <v>0</v>
      </c>
      <c r="H16" s="41"/>
      <c r="I16" s="22"/>
      <c r="J16" s="22"/>
      <c r="K16" s="37"/>
      <c r="L16" s="14"/>
      <c r="M16" s="15"/>
      <c r="N16" s="22">
        <v>-5.66</v>
      </c>
      <c r="O16" s="22">
        <v>-5.61</v>
      </c>
      <c r="P16" s="22">
        <v>7.69</v>
      </c>
      <c r="Q16" s="53">
        <v>0.1716</v>
      </c>
      <c r="R16" s="62"/>
      <c r="S16" s="114"/>
      <c r="T16" s="113"/>
      <c r="U16" s="105"/>
      <c r="V16" s="580">
        <f>N16-B16</f>
        <v>0</v>
      </c>
      <c r="W16" s="580">
        <f>O16-C16+offsetRot</f>
        <v>0.14017520000000072</v>
      </c>
      <c r="X16" s="593">
        <f t="shared" ref="X16:X35" si="15">SQRT(V16*V16+W16*W16)</f>
        <v>0.14017520000000072</v>
      </c>
      <c r="Y16" s="593">
        <f t="shared" ref="Y16:Y35" si="16">X16-averXY</f>
        <v>4.055719492927104E-2</v>
      </c>
      <c r="Z16" s="594">
        <f>P16-D16</f>
        <v>-4.0000000000000036E-2</v>
      </c>
      <c r="AA16" s="583"/>
      <c r="AC16" s="468">
        <f>ABS(Q16-ABS(E16))</f>
        <v>1.5999999999999903E-3</v>
      </c>
      <c r="AG16" s="6">
        <v>0.17</v>
      </c>
      <c r="AH16">
        <v>-5.61</v>
      </c>
      <c r="CJ16" s="105"/>
      <c r="CK16" s="9">
        <v>0</v>
      </c>
      <c r="CL16" s="9">
        <f t="shared" ref="CL16:CL35" si="17">CK16--0.017</f>
        <v>1.7000000000000001E-2</v>
      </c>
      <c r="CM16" s="9">
        <v>0.14017520000000072</v>
      </c>
      <c r="CN16" s="9">
        <f t="shared" ref="CN16:CN35" si="18">CM16-0.034</f>
        <v>0.10617520000000072</v>
      </c>
      <c r="CO16" s="335">
        <f t="shared" ref="CO16:CO35" si="19">SQRT(CL16*CL16+CN16*CN16)</f>
        <v>0.10752754575010141</v>
      </c>
      <c r="CP16" s="335">
        <f t="shared" ref="CP16:CP35" si="20">CO16-0.094</f>
        <v>1.3527545750101413E-2</v>
      </c>
      <c r="CQ16" s="9">
        <v>-4.0000000000000036E-2</v>
      </c>
      <c r="CS16" s="6">
        <v>9</v>
      </c>
      <c r="CT16" s="6">
        <v>-5.66</v>
      </c>
      <c r="CU16" s="1">
        <v>0</v>
      </c>
      <c r="CV16" s="1">
        <v>7.73</v>
      </c>
      <c r="CW16" s="1">
        <v>0.17</v>
      </c>
      <c r="CX16" s="1">
        <v>0</v>
      </c>
      <c r="CY16" s="1">
        <v>0</v>
      </c>
      <c r="CZ16" s="560">
        <v>-5.66</v>
      </c>
      <c r="DA16" s="22">
        <v>-5.61</v>
      </c>
      <c r="DB16" s="22">
        <v>7.69</v>
      </c>
      <c r="DC16" s="564">
        <v>0.1716</v>
      </c>
      <c r="DD16" s="186">
        <v>0.10549465339551645</v>
      </c>
      <c r="DE16" s="550">
        <v>1.1494653395516446E-2</v>
      </c>
      <c r="DF16">
        <f t="shared" ref="DF16:DF35" si="21">DE16*DE16</f>
        <v>1.3212705668305777E-4</v>
      </c>
      <c r="DG16" s="548">
        <v>-4.0000000000000036E-2</v>
      </c>
      <c r="DH16" s="517">
        <f t="shared" ref="DH16:DH35" si="22">DG16-(-0.018)</f>
        <v>-2.2000000000000037E-2</v>
      </c>
      <c r="DI16" s="611">
        <v>1.5999999999999903E-3</v>
      </c>
      <c r="DJ16" s="468">
        <f t="shared" ref="DJ16:DJ35" si="23">DI16-0.0023</f>
        <v>-7.0000000000000964E-4</v>
      </c>
      <c r="DL16" s="6">
        <v>9</v>
      </c>
      <c r="DM16" s="6">
        <v>-5.66</v>
      </c>
      <c r="DN16" s="1">
        <v>0</v>
      </c>
      <c r="DO16" s="1">
        <v>7.73</v>
      </c>
      <c r="DP16" s="1">
        <v>0.17</v>
      </c>
      <c r="DQ16" s="1">
        <v>0</v>
      </c>
      <c r="DR16" s="1">
        <v>0</v>
      </c>
      <c r="DS16" s="560">
        <v>-5.66</v>
      </c>
      <c r="DT16" s="22">
        <v>-5.61</v>
      </c>
      <c r="DU16" s="22">
        <v>7.69</v>
      </c>
      <c r="DV16" s="564">
        <v>0.1716</v>
      </c>
      <c r="DW16" s="550">
        <v>1.1494653395516446E-2</v>
      </c>
      <c r="DX16" s="517">
        <v>-2.2000000000000037E-2</v>
      </c>
      <c r="DY16" s="468">
        <v>-7.0000000000000964E-4</v>
      </c>
    </row>
    <row r="17" spans="1:129">
      <c r="A17">
        <f t="shared" si="0"/>
        <v>10</v>
      </c>
      <c r="B17" s="6">
        <v>-5.66</v>
      </c>
      <c r="C17" s="1">
        <v>0</v>
      </c>
      <c r="D17" s="1">
        <v>7.73</v>
      </c>
      <c r="E17" s="1">
        <v>-0.17</v>
      </c>
      <c r="F17" s="1">
        <v>0</v>
      </c>
      <c r="G17" s="1">
        <v>0</v>
      </c>
      <c r="H17" s="41"/>
      <c r="I17" s="22"/>
      <c r="J17" s="22"/>
      <c r="K17" s="37"/>
      <c r="L17" s="14"/>
      <c r="M17" s="15"/>
      <c r="N17" s="22">
        <v>-5.65</v>
      </c>
      <c r="O17" s="22">
        <v>5.7</v>
      </c>
      <c r="P17" s="22">
        <v>7.76</v>
      </c>
      <c r="Q17" s="53">
        <v>0.1736</v>
      </c>
      <c r="R17" s="62"/>
      <c r="S17" s="115"/>
      <c r="T17" s="112"/>
      <c r="U17" s="105"/>
      <c r="V17" s="580">
        <f t="shared" ref="V17" si="24">N17-B17</f>
        <v>9.9999999999997868E-3</v>
      </c>
      <c r="W17" s="580">
        <f>O17-C17-offsetRot</f>
        <v>-5.0175200000000864E-2</v>
      </c>
      <c r="X17" s="593">
        <f t="shared" si="15"/>
        <v>5.1162004407959649E-2</v>
      </c>
      <c r="Y17" s="593">
        <f t="shared" si="16"/>
        <v>-4.8456000662770032E-2</v>
      </c>
      <c r="Z17" s="595">
        <f t="shared" ref="Z17:Z19" si="25">P17-D17</f>
        <v>2.9999999999999361E-2</v>
      </c>
      <c r="AA17" s="583"/>
      <c r="AC17" s="468">
        <f>ABS(Q17-ABS(E17))</f>
        <v>3.5999999999999921E-3</v>
      </c>
      <c r="AG17" s="6">
        <v>-0.17</v>
      </c>
      <c r="AH17">
        <v>5.7</v>
      </c>
      <c r="CJ17" s="105"/>
      <c r="CK17" s="9">
        <v>9.9999999999997868E-3</v>
      </c>
      <c r="CL17" s="9">
        <f t="shared" si="17"/>
        <v>2.6999999999999788E-2</v>
      </c>
      <c r="CM17" s="9">
        <v>-5.0175200000000864E-2</v>
      </c>
      <c r="CN17" s="9">
        <f t="shared" si="18"/>
        <v>-8.4175200000000866E-2</v>
      </c>
      <c r="CO17" s="335">
        <f t="shared" si="19"/>
        <v>8.8399458680696319E-2</v>
      </c>
      <c r="CP17" s="335">
        <f t="shared" si="20"/>
        <v>-5.6005413193036813E-3</v>
      </c>
      <c r="CQ17" s="9">
        <v>2.9999999999999361E-2</v>
      </c>
      <c r="CS17" s="6">
        <v>10</v>
      </c>
      <c r="CT17" s="6">
        <v>-5.66</v>
      </c>
      <c r="CU17" s="1">
        <v>0</v>
      </c>
      <c r="CV17" s="1">
        <v>7.73</v>
      </c>
      <c r="CW17" s="1">
        <v>-0.17</v>
      </c>
      <c r="CX17" s="1">
        <v>0</v>
      </c>
      <c r="CY17" s="1">
        <v>0</v>
      </c>
      <c r="CZ17" s="560">
        <v>-5.65</v>
      </c>
      <c r="DA17" s="22">
        <v>5.7</v>
      </c>
      <c r="DB17" s="22">
        <v>7.76</v>
      </c>
      <c r="DC17" s="564">
        <v>0.1736</v>
      </c>
      <c r="DD17" s="186">
        <v>9.2862885455062924E-2</v>
      </c>
      <c r="DE17" s="550">
        <v>-1.1371145449370762E-3</v>
      </c>
      <c r="DF17">
        <f t="shared" si="21"/>
        <v>1.2930294883074539E-6</v>
      </c>
      <c r="DG17" s="548">
        <v>2.9999999999999361E-2</v>
      </c>
      <c r="DH17" s="517">
        <f t="shared" si="22"/>
        <v>4.7999999999999363E-2</v>
      </c>
      <c r="DI17" s="611">
        <v>3.5999999999999921E-3</v>
      </c>
      <c r="DJ17" s="468">
        <f t="shared" si="23"/>
        <v>1.2999999999999921E-3</v>
      </c>
      <c r="DL17" s="6">
        <v>10</v>
      </c>
      <c r="DM17" s="6">
        <v>-5.66</v>
      </c>
      <c r="DN17" s="1">
        <v>0</v>
      </c>
      <c r="DO17" s="1">
        <v>7.73</v>
      </c>
      <c r="DP17" s="1">
        <v>-0.17</v>
      </c>
      <c r="DQ17" s="1">
        <v>0</v>
      </c>
      <c r="DR17" s="1">
        <v>0</v>
      </c>
      <c r="DS17" s="560">
        <v>-5.65</v>
      </c>
      <c r="DT17" s="22">
        <v>5.7</v>
      </c>
      <c r="DU17" s="22">
        <v>7.76</v>
      </c>
      <c r="DV17" s="564">
        <v>0.1736</v>
      </c>
      <c r="DW17" s="550">
        <v>-1.1371145449370762E-3</v>
      </c>
      <c r="DX17" s="628">
        <v>4.7999999999999363E-2</v>
      </c>
      <c r="DY17" s="468">
        <v>1.2999999999999921E-3</v>
      </c>
    </row>
    <row r="18" spans="1:129">
      <c r="A18">
        <f t="shared" si="0"/>
        <v>11</v>
      </c>
      <c r="B18" s="6">
        <v>-5.66</v>
      </c>
      <c r="C18" s="1">
        <v>0</v>
      </c>
      <c r="D18" s="1">
        <v>7.73</v>
      </c>
      <c r="E18" s="1">
        <v>0</v>
      </c>
      <c r="F18" s="1">
        <v>0.17</v>
      </c>
      <c r="G18" s="1">
        <v>0</v>
      </c>
      <c r="H18" s="41"/>
      <c r="I18" s="22"/>
      <c r="J18" s="22"/>
      <c r="K18" s="37"/>
      <c r="L18" s="14"/>
      <c r="M18" s="15"/>
      <c r="N18" s="22">
        <v>0.03</v>
      </c>
      <c r="O18" s="22">
        <v>0.03</v>
      </c>
      <c r="P18" s="22">
        <v>7.73</v>
      </c>
      <c r="Q18" s="53">
        <v>0.16880000000000001</v>
      </c>
      <c r="R18" s="52"/>
      <c r="S18" s="62"/>
      <c r="T18" s="113"/>
      <c r="U18" s="105"/>
      <c r="V18" s="580">
        <f>N18-B18-offsetRot</f>
        <v>-6.017520000000065E-2</v>
      </c>
      <c r="W18" s="580">
        <f t="shared" ref="W18:W19" si="26">O18-C18</f>
        <v>0.03</v>
      </c>
      <c r="X18" s="593">
        <f t="shared" si="15"/>
        <v>6.7238788619665646E-2</v>
      </c>
      <c r="Y18" s="593">
        <f t="shared" si="16"/>
        <v>-3.2379216451064036E-2</v>
      </c>
      <c r="Z18" s="595">
        <f t="shared" si="25"/>
        <v>0</v>
      </c>
      <c r="AA18" s="583"/>
      <c r="AC18" s="468">
        <f>ABS(Q18-ABS(F18))</f>
        <v>1.2000000000000066E-3</v>
      </c>
      <c r="CJ18" s="105"/>
      <c r="CK18" s="9">
        <v>-6.017520000000065E-2</v>
      </c>
      <c r="CL18" s="9">
        <f t="shared" si="17"/>
        <v>-4.3175200000000649E-2</v>
      </c>
      <c r="CM18" s="9">
        <v>0.03</v>
      </c>
      <c r="CN18" s="9">
        <f t="shared" si="18"/>
        <v>-4.0000000000000036E-3</v>
      </c>
      <c r="CO18" s="335">
        <f t="shared" si="19"/>
        <v>4.3360095653031672E-2</v>
      </c>
      <c r="CP18" s="335">
        <f t="shared" si="20"/>
        <v>-5.0639904346968329E-2</v>
      </c>
      <c r="CQ18" s="9">
        <v>0</v>
      </c>
      <c r="CS18" s="6">
        <v>11</v>
      </c>
      <c r="CT18" s="6">
        <v>-5.66</v>
      </c>
      <c r="CU18" s="1">
        <v>0</v>
      </c>
      <c r="CV18" s="1">
        <v>7.73</v>
      </c>
      <c r="CW18" s="1">
        <v>0</v>
      </c>
      <c r="CX18" s="1">
        <v>0.17</v>
      </c>
      <c r="CY18" s="1">
        <v>0</v>
      </c>
      <c r="CZ18" s="560">
        <v>0.03</v>
      </c>
      <c r="DA18" s="22">
        <v>0.03</v>
      </c>
      <c r="DB18" s="22">
        <v>7.73</v>
      </c>
      <c r="DC18" s="564">
        <v>0.16880000000000001</v>
      </c>
      <c r="DD18" s="186">
        <v>3.8811672149497115E-2</v>
      </c>
      <c r="DE18" s="550">
        <v>-5.5188327850502886E-2</v>
      </c>
      <c r="DF18">
        <f t="shared" si="21"/>
        <v>3.0457515309345925E-3</v>
      </c>
      <c r="DG18" s="548">
        <v>0</v>
      </c>
      <c r="DH18" s="517">
        <f t="shared" si="22"/>
        <v>1.7999999999999999E-2</v>
      </c>
      <c r="DI18" s="611">
        <v>1.2000000000000066E-3</v>
      </c>
      <c r="DJ18" s="468">
        <f t="shared" si="23"/>
        <v>-1.0999999999999933E-3</v>
      </c>
      <c r="DL18" s="6">
        <v>11</v>
      </c>
      <c r="DM18" s="6">
        <v>-5.66</v>
      </c>
      <c r="DN18" s="1">
        <v>0</v>
      </c>
      <c r="DO18" s="1">
        <v>7.73</v>
      </c>
      <c r="DP18" s="1">
        <v>0</v>
      </c>
      <c r="DQ18" s="1">
        <v>0.17</v>
      </c>
      <c r="DR18" s="1">
        <v>0</v>
      </c>
      <c r="DS18" s="560">
        <v>0.03</v>
      </c>
      <c r="DT18" s="22">
        <v>0.03</v>
      </c>
      <c r="DU18" s="22">
        <v>7.73</v>
      </c>
      <c r="DV18" s="564">
        <v>0.16880000000000001</v>
      </c>
      <c r="DW18" s="550">
        <v>-5.5188327850502886E-2</v>
      </c>
      <c r="DX18" s="517">
        <v>1.7999999999999999E-2</v>
      </c>
      <c r="DY18" s="468">
        <v>-1.0999999999999933E-3</v>
      </c>
    </row>
    <row r="19" spans="1:129">
      <c r="A19">
        <f t="shared" si="0"/>
        <v>12</v>
      </c>
      <c r="B19" s="6">
        <v>-5.66</v>
      </c>
      <c r="C19" s="1">
        <v>0</v>
      </c>
      <c r="D19" s="1">
        <v>7.73</v>
      </c>
      <c r="E19" s="1">
        <v>0</v>
      </c>
      <c r="F19" s="1">
        <v>-0.17</v>
      </c>
      <c r="G19" s="1">
        <v>0</v>
      </c>
      <c r="H19" s="41"/>
      <c r="I19" s="22"/>
      <c r="J19" s="22"/>
      <c r="K19" s="37"/>
      <c r="L19" s="14"/>
      <c r="M19" s="15"/>
      <c r="N19" s="22">
        <v>-11.31</v>
      </c>
      <c r="O19" s="22">
        <v>0.05</v>
      </c>
      <c r="P19" s="22">
        <v>7.72</v>
      </c>
      <c r="Q19" s="53">
        <v>0.16880000000000001</v>
      </c>
      <c r="R19" s="52"/>
      <c r="S19" s="62"/>
      <c r="T19" s="113"/>
      <c r="U19" s="105"/>
      <c r="V19" s="580">
        <f>N19-B19+offsetRot</f>
        <v>0.10017520000000069</v>
      </c>
      <c r="W19" s="580">
        <f t="shared" si="26"/>
        <v>0.05</v>
      </c>
      <c r="X19" s="593">
        <f t="shared" si="15"/>
        <v>0.11196012993490199</v>
      </c>
      <c r="Y19" s="593">
        <f t="shared" si="16"/>
        <v>1.2342124864172313E-2</v>
      </c>
      <c r="Z19" s="595">
        <f t="shared" si="25"/>
        <v>-1.0000000000000675E-2</v>
      </c>
      <c r="AA19" s="583"/>
      <c r="AC19" s="468">
        <f>ABS(Q19-ABS(F19))</f>
        <v>1.2000000000000066E-3</v>
      </c>
      <c r="AD19" s="334" t="s">
        <v>302</v>
      </c>
      <c r="AE19" s="334"/>
      <c r="AF19" s="334"/>
      <c r="CJ19" s="105"/>
      <c r="CK19" s="9">
        <v>0.10017520000000069</v>
      </c>
      <c r="CL19" s="9">
        <f t="shared" si="17"/>
        <v>0.11717520000000069</v>
      </c>
      <c r="CM19" s="9">
        <v>0.05</v>
      </c>
      <c r="CN19" s="9">
        <f t="shared" si="18"/>
        <v>1.6E-2</v>
      </c>
      <c r="CO19" s="335">
        <f t="shared" si="19"/>
        <v>0.11826253631239336</v>
      </c>
      <c r="CP19" s="335">
        <f t="shared" si="20"/>
        <v>2.4262536312393362E-2</v>
      </c>
      <c r="CQ19" s="9">
        <v>-1.0000000000000675E-2</v>
      </c>
      <c r="CS19" s="6">
        <v>12</v>
      </c>
      <c r="CT19" s="6">
        <v>-5.66</v>
      </c>
      <c r="CU19" s="1">
        <v>0</v>
      </c>
      <c r="CV19" s="1">
        <v>7.73</v>
      </c>
      <c r="CW19" s="1">
        <v>0</v>
      </c>
      <c r="CX19" s="1">
        <v>-0.17</v>
      </c>
      <c r="CY19" s="1">
        <v>0</v>
      </c>
      <c r="CZ19" s="560">
        <v>-11.31</v>
      </c>
      <c r="DA19" s="22">
        <v>0.05</v>
      </c>
      <c r="DB19" s="22">
        <v>7.72</v>
      </c>
      <c r="DC19" s="564">
        <v>0.16880000000000001</v>
      </c>
      <c r="DD19" s="186">
        <v>0.12286488308316647</v>
      </c>
      <c r="DE19" s="550">
        <v>2.8864883083166468E-2</v>
      </c>
      <c r="DF19">
        <f t="shared" si="21"/>
        <v>8.3318147540486977E-4</v>
      </c>
      <c r="DG19" s="548">
        <v>-1.0000000000000675E-2</v>
      </c>
      <c r="DH19" s="517">
        <f t="shared" si="22"/>
        <v>7.9999999999993236E-3</v>
      </c>
      <c r="DI19" s="611">
        <v>1.2000000000000066E-3</v>
      </c>
      <c r="DJ19" s="468">
        <f t="shared" si="23"/>
        <v>-1.0999999999999933E-3</v>
      </c>
      <c r="DL19" s="6">
        <v>12</v>
      </c>
      <c r="DM19" s="6">
        <v>-5.66</v>
      </c>
      <c r="DN19" s="1">
        <v>0</v>
      </c>
      <c r="DO19" s="1">
        <v>7.73</v>
      </c>
      <c r="DP19" s="1">
        <v>0</v>
      </c>
      <c r="DQ19" s="1">
        <v>-0.17</v>
      </c>
      <c r="DR19" s="1">
        <v>0</v>
      </c>
      <c r="DS19" s="560">
        <v>-11.31</v>
      </c>
      <c r="DT19" s="22">
        <v>0.05</v>
      </c>
      <c r="DU19" s="22">
        <v>7.72</v>
      </c>
      <c r="DV19" s="564">
        <v>0.16880000000000001</v>
      </c>
      <c r="DW19" s="550">
        <v>2.8864883083166468E-2</v>
      </c>
      <c r="DX19" s="517">
        <v>7.9999999999993236E-3</v>
      </c>
      <c r="DY19" s="468">
        <v>-1.0999999999999933E-3</v>
      </c>
    </row>
    <row r="20" spans="1:129">
      <c r="A20">
        <f t="shared" si="0"/>
        <v>13</v>
      </c>
      <c r="B20" s="6">
        <v>-5.66</v>
      </c>
      <c r="C20" s="1">
        <v>0</v>
      </c>
      <c r="D20" s="1">
        <v>-7.73</v>
      </c>
      <c r="E20" s="1">
        <v>0.17</v>
      </c>
      <c r="F20" s="1">
        <v>0</v>
      </c>
      <c r="G20" s="1">
        <v>0</v>
      </c>
      <c r="H20" s="41"/>
      <c r="I20" s="22"/>
      <c r="J20" s="22"/>
      <c r="K20" s="37"/>
      <c r="L20" s="14"/>
      <c r="M20" s="15"/>
      <c r="N20" s="62">
        <v>-5.66</v>
      </c>
      <c r="O20" s="62">
        <v>-5.6</v>
      </c>
      <c r="P20" s="62">
        <v>-7.77</v>
      </c>
      <c r="Q20" s="63">
        <v>0.17280000000000001</v>
      </c>
      <c r="R20" s="62"/>
      <c r="S20" s="115"/>
      <c r="T20" s="112"/>
      <c r="U20" s="106"/>
      <c r="V20" s="598">
        <f>N20-B20</f>
        <v>0</v>
      </c>
      <c r="W20" s="580">
        <f>O20-C20+offsetRot</f>
        <v>0.1501752000000014</v>
      </c>
      <c r="X20" s="593">
        <f t="shared" si="15"/>
        <v>0.1501752000000014</v>
      </c>
      <c r="Y20" s="593">
        <f t="shared" si="16"/>
        <v>5.0557194929271715E-2</v>
      </c>
      <c r="Z20" s="594">
        <f>P20-D20</f>
        <v>-3.9999999999999147E-2</v>
      </c>
      <c r="AA20" s="583"/>
      <c r="AC20" s="468">
        <f>ABS(Q20-ABS(E20))</f>
        <v>2.7999999999999969E-3</v>
      </c>
      <c r="AD20" s="334"/>
      <c r="AE20" s="334" t="s">
        <v>303</v>
      </c>
      <c r="AF20" s="334"/>
      <c r="AG20" s="6">
        <v>0.17</v>
      </c>
      <c r="AH20">
        <v>-5.6</v>
      </c>
      <c r="CJ20" s="106"/>
      <c r="CK20" s="67">
        <v>0</v>
      </c>
      <c r="CL20" s="67">
        <f t="shared" si="17"/>
        <v>1.7000000000000001E-2</v>
      </c>
      <c r="CM20" s="9">
        <v>0.1501752000000014</v>
      </c>
      <c r="CN20" s="9">
        <f t="shared" si="18"/>
        <v>0.11617520000000139</v>
      </c>
      <c r="CO20" s="335">
        <f t="shared" si="19"/>
        <v>0.11741242308648742</v>
      </c>
      <c r="CP20" s="335">
        <f t="shared" si="20"/>
        <v>2.3412423086487416E-2</v>
      </c>
      <c r="CQ20" s="9">
        <v>-3.9999999999999147E-2</v>
      </c>
      <c r="CS20" s="6">
        <v>13</v>
      </c>
      <c r="CT20" s="6">
        <v>-5.66</v>
      </c>
      <c r="CU20" s="1">
        <v>0</v>
      </c>
      <c r="CV20" s="1">
        <v>-7.73</v>
      </c>
      <c r="CW20" s="1">
        <v>0.17</v>
      </c>
      <c r="CX20" s="1">
        <v>0</v>
      </c>
      <c r="CY20" s="1">
        <v>0</v>
      </c>
      <c r="CZ20" s="282">
        <v>-5.66</v>
      </c>
      <c r="DA20" s="62">
        <v>-5.6</v>
      </c>
      <c r="DB20" s="62">
        <v>-7.77</v>
      </c>
      <c r="DC20" s="565">
        <v>0.17280000000000001</v>
      </c>
      <c r="DD20" s="186">
        <v>0.11529365071434036</v>
      </c>
      <c r="DE20" s="550">
        <v>2.1293650714340362E-2</v>
      </c>
      <c r="DF20">
        <f t="shared" si="21"/>
        <v>4.5341956074432781E-4</v>
      </c>
      <c r="DG20" s="548">
        <v>-3.9999999999999147E-2</v>
      </c>
      <c r="DH20" s="517">
        <f t="shared" si="22"/>
        <v>-2.1999999999999149E-2</v>
      </c>
      <c r="DI20" s="611">
        <v>2.7999999999999969E-3</v>
      </c>
      <c r="DJ20" s="468">
        <f t="shared" si="23"/>
        <v>4.9999999999999697E-4</v>
      </c>
      <c r="DL20" s="6">
        <v>13</v>
      </c>
      <c r="DM20" s="6">
        <v>-5.66</v>
      </c>
      <c r="DN20" s="1">
        <v>0</v>
      </c>
      <c r="DO20" s="1">
        <v>-7.73</v>
      </c>
      <c r="DP20" s="1">
        <v>0.17</v>
      </c>
      <c r="DQ20" s="1">
        <v>0</v>
      </c>
      <c r="DR20" s="1">
        <v>0</v>
      </c>
      <c r="DS20" s="282">
        <v>-5.66</v>
      </c>
      <c r="DT20" s="62">
        <v>-5.6</v>
      </c>
      <c r="DU20" s="62">
        <v>-7.77</v>
      </c>
      <c r="DV20" s="565">
        <v>0.17280000000000001</v>
      </c>
      <c r="DW20" s="550">
        <v>2.1293650714340362E-2</v>
      </c>
      <c r="DX20" s="517">
        <v>-2.1999999999999149E-2</v>
      </c>
      <c r="DY20" s="468">
        <v>4.9999999999999697E-4</v>
      </c>
    </row>
    <row r="21" spans="1:129">
      <c r="A21">
        <f t="shared" si="0"/>
        <v>14</v>
      </c>
      <c r="B21" s="6">
        <v>-5.66</v>
      </c>
      <c r="C21" s="1">
        <v>0</v>
      </c>
      <c r="D21" s="1">
        <v>-7.73</v>
      </c>
      <c r="E21" s="1">
        <v>-0.17</v>
      </c>
      <c r="F21" s="1">
        <v>0</v>
      </c>
      <c r="G21" s="1">
        <v>0</v>
      </c>
      <c r="H21" s="41"/>
      <c r="I21" s="22"/>
      <c r="J21" s="22"/>
      <c r="K21" s="37"/>
      <c r="L21" s="14"/>
      <c r="M21" s="15"/>
      <c r="N21" s="62">
        <v>-5.64</v>
      </c>
      <c r="O21" s="62">
        <v>5.68</v>
      </c>
      <c r="P21" s="62">
        <v>-7.72</v>
      </c>
      <c r="Q21" s="63">
        <v>0.17299999999999999</v>
      </c>
      <c r="R21" s="62"/>
      <c r="S21" s="115"/>
      <c r="T21" s="112"/>
      <c r="U21" s="107"/>
      <c r="V21" s="598">
        <f t="shared" ref="V21" si="27">N21-B21</f>
        <v>2.0000000000000462E-2</v>
      </c>
      <c r="W21" s="580">
        <f>O21-C21-offsetRot</f>
        <v>-7.0175200000001325E-2</v>
      </c>
      <c r="X21" s="593">
        <f t="shared" si="15"/>
        <v>7.2969573762220949E-2</v>
      </c>
      <c r="Y21" s="593">
        <f t="shared" si="16"/>
        <v>-2.6648431308508733E-2</v>
      </c>
      <c r="Z21" s="595">
        <f t="shared" ref="Z21:Z23" si="28">P21-D21</f>
        <v>1.0000000000000675E-2</v>
      </c>
      <c r="AA21" s="583"/>
      <c r="AC21" s="468">
        <f>ABS(Q21-ABS(E21))</f>
        <v>2.9999999999999749E-3</v>
      </c>
      <c r="AD21" s="334"/>
      <c r="AE21" s="334" t="s">
        <v>304</v>
      </c>
      <c r="AF21" s="334"/>
      <c r="AG21" s="6">
        <v>-0.17</v>
      </c>
      <c r="AH21">
        <v>5.68</v>
      </c>
      <c r="CJ21" s="107"/>
      <c r="CK21" s="67">
        <v>2.0000000000000462E-2</v>
      </c>
      <c r="CL21" s="67">
        <f t="shared" si="17"/>
        <v>3.7000000000000463E-2</v>
      </c>
      <c r="CM21" s="9">
        <v>-7.0175200000001325E-2</v>
      </c>
      <c r="CN21" s="9">
        <f t="shared" si="18"/>
        <v>-0.10417520000000133</v>
      </c>
      <c r="CO21" s="335">
        <f t="shared" si="19"/>
        <v>0.11055076795319113</v>
      </c>
      <c r="CP21" s="335">
        <f t="shared" si="20"/>
        <v>1.6550767953191131E-2</v>
      </c>
      <c r="CQ21" s="9">
        <v>1.0000000000000675E-2</v>
      </c>
      <c r="CS21" s="6">
        <v>14</v>
      </c>
      <c r="CT21" s="6">
        <v>-5.66</v>
      </c>
      <c r="CU21" s="1">
        <v>0</v>
      </c>
      <c r="CV21" s="1">
        <v>-7.73</v>
      </c>
      <c r="CW21" s="1">
        <v>-0.17</v>
      </c>
      <c r="CX21" s="1">
        <v>0</v>
      </c>
      <c r="CY21" s="1">
        <v>0</v>
      </c>
      <c r="CZ21" s="282">
        <v>-5.64</v>
      </c>
      <c r="DA21" s="62">
        <v>5.68</v>
      </c>
      <c r="DB21" s="62">
        <v>-7.72</v>
      </c>
      <c r="DC21" s="565">
        <v>0.17299999999999999</v>
      </c>
      <c r="DD21" s="186">
        <v>0.11511091822690114</v>
      </c>
      <c r="DE21" s="550">
        <v>2.1110918226901143E-2</v>
      </c>
      <c r="DF21">
        <f t="shared" si="21"/>
        <v>4.4567086838290688E-4</v>
      </c>
      <c r="DG21" s="548">
        <v>1.0000000000000675E-2</v>
      </c>
      <c r="DH21" s="517">
        <f t="shared" si="22"/>
        <v>2.8000000000000674E-2</v>
      </c>
      <c r="DI21" s="611">
        <v>2.9999999999999749E-3</v>
      </c>
      <c r="DJ21" s="468">
        <f t="shared" si="23"/>
        <v>6.9999999999997495E-4</v>
      </c>
      <c r="DL21" s="6">
        <v>14</v>
      </c>
      <c r="DM21" s="6">
        <v>-5.66</v>
      </c>
      <c r="DN21" s="1">
        <v>0</v>
      </c>
      <c r="DO21" s="1">
        <v>-7.73</v>
      </c>
      <c r="DP21" s="1">
        <v>-0.17</v>
      </c>
      <c r="DQ21" s="1">
        <v>0</v>
      </c>
      <c r="DR21" s="1">
        <v>0</v>
      </c>
      <c r="DS21" s="282">
        <v>-5.64</v>
      </c>
      <c r="DT21" s="62">
        <v>5.68</v>
      </c>
      <c r="DU21" s="62">
        <v>-7.72</v>
      </c>
      <c r="DV21" s="565">
        <v>0.17299999999999999</v>
      </c>
      <c r="DW21" s="550">
        <v>2.1110918226901143E-2</v>
      </c>
      <c r="DX21" s="517">
        <v>2.8000000000000674E-2</v>
      </c>
      <c r="DY21" s="468">
        <v>6.9999999999997495E-4</v>
      </c>
    </row>
    <row r="22" spans="1:129" ht="15.6">
      <c r="A22">
        <f t="shared" si="0"/>
        <v>15</v>
      </c>
      <c r="B22" s="6">
        <v>-5.66</v>
      </c>
      <c r="C22" s="1">
        <v>0</v>
      </c>
      <c r="D22" s="1">
        <v>-7.73</v>
      </c>
      <c r="E22" s="1">
        <v>0</v>
      </c>
      <c r="F22" s="1">
        <v>0.17</v>
      </c>
      <c r="G22" s="1">
        <v>0</v>
      </c>
      <c r="H22" s="41"/>
      <c r="I22" s="22"/>
      <c r="J22" s="22"/>
      <c r="K22" s="37"/>
      <c r="L22" s="14"/>
      <c r="M22" s="15"/>
      <c r="N22" s="22">
        <v>0.01</v>
      </c>
      <c r="O22" s="22">
        <v>0.02</v>
      </c>
      <c r="P22" s="22">
        <v>-7.75</v>
      </c>
      <c r="Q22" s="53">
        <v>0.16869999999999999</v>
      </c>
      <c r="R22" s="52"/>
      <c r="S22" s="62"/>
      <c r="T22" s="113"/>
      <c r="U22" s="105"/>
      <c r="V22" s="580">
        <f>N22-B22-offsetRot</f>
        <v>-8.0175200000001112E-2</v>
      </c>
      <c r="W22" s="580">
        <f t="shared" ref="W22:W23" si="29">O22-C22</f>
        <v>0.02</v>
      </c>
      <c r="X22" s="593">
        <f t="shared" si="15"/>
        <v>8.2632092403860727E-2</v>
      </c>
      <c r="Y22" s="593">
        <f t="shared" si="16"/>
        <v>-1.6985912666868955E-2</v>
      </c>
      <c r="Z22" s="595">
        <f t="shared" si="28"/>
        <v>-1.9999999999999574E-2</v>
      </c>
      <c r="AA22" s="583"/>
      <c r="AC22" s="468">
        <f>ABS(Q22-ABS(F22))</f>
        <v>1.3000000000000234E-3</v>
      </c>
      <c r="AD22" s="334" t="s">
        <v>305</v>
      </c>
      <c r="AE22" s="334" t="s">
        <v>353</v>
      </c>
      <c r="AF22" s="334"/>
      <c r="CJ22" s="105"/>
      <c r="CK22" s="9">
        <v>-8.0175200000001112E-2</v>
      </c>
      <c r="CL22" s="9">
        <f t="shared" si="17"/>
        <v>-6.3175200000001111E-2</v>
      </c>
      <c r="CM22" s="9">
        <v>0.02</v>
      </c>
      <c r="CN22" s="9">
        <f t="shared" si="18"/>
        <v>-1.4000000000000002E-2</v>
      </c>
      <c r="CO22" s="335">
        <f t="shared" si="19"/>
        <v>6.4707850335489744E-2</v>
      </c>
      <c r="CP22" s="335">
        <f t="shared" si="20"/>
        <v>-2.9292149664510256E-2</v>
      </c>
      <c r="CQ22" s="9">
        <v>-1.9999999999999574E-2</v>
      </c>
      <c r="CS22" s="6">
        <v>15</v>
      </c>
      <c r="CT22" s="6">
        <v>-5.66</v>
      </c>
      <c r="CU22" s="1">
        <v>0</v>
      </c>
      <c r="CV22" s="1">
        <v>-7.73</v>
      </c>
      <c r="CW22" s="1">
        <v>0</v>
      </c>
      <c r="CX22" s="1">
        <v>0.17</v>
      </c>
      <c r="CY22" s="1">
        <v>0</v>
      </c>
      <c r="CZ22" s="560">
        <v>0.01</v>
      </c>
      <c r="DA22" s="22">
        <v>0.02</v>
      </c>
      <c r="DB22" s="22">
        <v>-7.75</v>
      </c>
      <c r="DC22" s="564">
        <v>0.16869999999999999</v>
      </c>
      <c r="DD22" s="186">
        <v>6.060819989935462E-2</v>
      </c>
      <c r="DE22" s="550">
        <v>-3.339180010064538E-2</v>
      </c>
      <c r="DF22">
        <f t="shared" si="21"/>
        <v>1.1150123139614609E-3</v>
      </c>
      <c r="DG22" s="548">
        <v>-1.9999999999999574E-2</v>
      </c>
      <c r="DH22" s="517">
        <f t="shared" si="22"/>
        <v>-1.999999999999575E-3</v>
      </c>
      <c r="DI22" s="611">
        <v>1.3000000000000234E-3</v>
      </c>
      <c r="DJ22" s="468">
        <f t="shared" si="23"/>
        <v>-9.999999999999766E-4</v>
      </c>
      <c r="DL22" s="6">
        <v>15</v>
      </c>
      <c r="DM22" s="6">
        <v>-5.66</v>
      </c>
      <c r="DN22" s="1">
        <v>0</v>
      </c>
      <c r="DO22" s="1">
        <v>-7.73</v>
      </c>
      <c r="DP22" s="1">
        <v>0</v>
      </c>
      <c r="DQ22" s="1">
        <v>0.17</v>
      </c>
      <c r="DR22" s="1">
        <v>0</v>
      </c>
      <c r="DS22" s="560">
        <v>0.01</v>
      </c>
      <c r="DT22" s="22">
        <v>0.02</v>
      </c>
      <c r="DU22" s="22">
        <v>-7.75</v>
      </c>
      <c r="DV22" s="564">
        <v>0.16869999999999999</v>
      </c>
      <c r="DW22" s="550">
        <v>-3.339180010064538E-2</v>
      </c>
      <c r="DX22" s="517">
        <v>-1.999999999999575E-3</v>
      </c>
      <c r="DY22" s="468">
        <v>-9.999999999999766E-4</v>
      </c>
    </row>
    <row r="23" spans="1:129">
      <c r="A23">
        <f t="shared" si="0"/>
        <v>16</v>
      </c>
      <c r="B23" s="6">
        <v>-5.66</v>
      </c>
      <c r="C23" s="1">
        <v>0</v>
      </c>
      <c r="D23" s="1">
        <v>-7.73</v>
      </c>
      <c r="E23" s="1">
        <v>0</v>
      </c>
      <c r="F23" s="1">
        <v>-0.17</v>
      </c>
      <c r="G23" s="1">
        <v>0</v>
      </c>
      <c r="H23" s="41"/>
      <c r="I23" s="22"/>
      <c r="J23" s="22"/>
      <c r="K23" s="37"/>
      <c r="L23" s="14"/>
      <c r="M23" s="15"/>
      <c r="N23" s="22">
        <v>-11.35</v>
      </c>
      <c r="O23" s="22">
        <v>0.05</v>
      </c>
      <c r="P23" s="22">
        <v>-7.75</v>
      </c>
      <c r="Q23" s="53">
        <v>0.16889999999999999</v>
      </c>
      <c r="R23" s="52"/>
      <c r="S23" s="62"/>
      <c r="T23" s="113"/>
      <c r="U23" s="105"/>
      <c r="V23" s="580">
        <f>N23-B23+offsetRot</f>
        <v>6.0175200000001539E-2</v>
      </c>
      <c r="W23" s="580">
        <f t="shared" si="29"/>
        <v>0.05</v>
      </c>
      <c r="X23" s="593">
        <f t="shared" si="15"/>
        <v>7.823716952344445E-2</v>
      </c>
      <c r="Y23" s="593">
        <f t="shared" si="16"/>
        <v>-2.1380835547285232E-2</v>
      </c>
      <c r="Z23" s="595">
        <f t="shared" si="28"/>
        <v>-1.9999999999999574E-2</v>
      </c>
      <c r="AA23" s="583"/>
      <c r="AC23" s="468">
        <f>ABS(Q23-ABS(F23))</f>
        <v>1.1000000000000176E-3</v>
      </c>
      <c r="AE23" s="334" t="s">
        <v>306</v>
      </c>
      <c r="AG23" s="10">
        <v>0.17</v>
      </c>
      <c r="AH23" s="86">
        <f>AVERAGE(AH7,AH11,AH16,AH20)</f>
        <v>-5.6174999999999997</v>
      </c>
      <c r="CJ23" s="105"/>
      <c r="CK23" s="9">
        <v>6.0175200000001539E-2</v>
      </c>
      <c r="CL23" s="9">
        <f t="shared" si="17"/>
        <v>7.717520000000154E-2</v>
      </c>
      <c r="CM23" s="9">
        <v>0.05</v>
      </c>
      <c r="CN23" s="9">
        <f t="shared" si="18"/>
        <v>1.6E-2</v>
      </c>
      <c r="CO23" s="335">
        <f t="shared" si="19"/>
        <v>7.8816314903960322E-2</v>
      </c>
      <c r="CP23" s="335">
        <f t="shared" si="20"/>
        <v>-1.5183685096039679E-2</v>
      </c>
      <c r="CQ23" s="9">
        <v>-1.9999999999999574E-2</v>
      </c>
      <c r="CS23" s="6">
        <v>16</v>
      </c>
      <c r="CT23" s="6">
        <v>-5.66</v>
      </c>
      <c r="CU23" s="1">
        <v>0</v>
      </c>
      <c r="CV23" s="1">
        <v>-7.73</v>
      </c>
      <c r="CW23" s="1">
        <v>0</v>
      </c>
      <c r="CX23" s="1">
        <v>-0.17</v>
      </c>
      <c r="CY23" s="1">
        <v>0</v>
      </c>
      <c r="CZ23" s="560">
        <v>-11.35</v>
      </c>
      <c r="DA23" s="22">
        <v>0.05</v>
      </c>
      <c r="DB23" s="22">
        <v>-7.75</v>
      </c>
      <c r="DC23" s="564">
        <v>0.16889999999999999</v>
      </c>
      <c r="DD23" s="186">
        <v>8.3197136339180883E-2</v>
      </c>
      <c r="DE23" s="550">
        <v>-1.0802863660819118E-2</v>
      </c>
      <c r="DF23">
        <f t="shared" si="21"/>
        <v>1.1670186327424623E-4</v>
      </c>
      <c r="DG23" s="548">
        <v>-1.9999999999999574E-2</v>
      </c>
      <c r="DH23" s="517">
        <f t="shared" si="22"/>
        <v>-1.999999999999575E-3</v>
      </c>
      <c r="DI23" s="611">
        <v>1.1000000000000176E-3</v>
      </c>
      <c r="DJ23" s="468">
        <f t="shared" si="23"/>
        <v>-1.1999999999999823E-3</v>
      </c>
      <c r="DL23" s="6">
        <v>16</v>
      </c>
      <c r="DM23" s="6">
        <v>-5.66</v>
      </c>
      <c r="DN23" s="1">
        <v>0</v>
      </c>
      <c r="DO23" s="1">
        <v>-7.73</v>
      </c>
      <c r="DP23" s="1">
        <v>0</v>
      </c>
      <c r="DQ23" s="1">
        <v>-0.17</v>
      </c>
      <c r="DR23" s="1">
        <v>0</v>
      </c>
      <c r="DS23" s="560">
        <v>-11.35</v>
      </c>
      <c r="DT23" s="22">
        <v>0.05</v>
      </c>
      <c r="DU23" s="22">
        <v>-7.75</v>
      </c>
      <c r="DV23" s="564">
        <v>0.16889999999999999</v>
      </c>
      <c r="DW23" s="550">
        <v>-1.0802863660819118E-2</v>
      </c>
      <c r="DX23" s="517">
        <v>-1.999999999999575E-3</v>
      </c>
      <c r="DY23" s="468">
        <v>-1.1999999999999823E-3</v>
      </c>
    </row>
    <row r="24" spans="1:129">
      <c r="A24">
        <f t="shared" si="0"/>
        <v>17</v>
      </c>
      <c r="B24" s="6">
        <v>0</v>
      </c>
      <c r="C24" s="1">
        <v>5.66</v>
      </c>
      <c r="D24" s="1">
        <v>7.73</v>
      </c>
      <c r="E24" s="1">
        <v>0.17</v>
      </c>
      <c r="F24" s="1">
        <v>0</v>
      </c>
      <c r="G24" s="1">
        <v>0</v>
      </c>
      <c r="H24" s="41"/>
      <c r="I24" s="22"/>
      <c r="J24" s="22"/>
      <c r="K24" s="37"/>
      <c r="L24" s="14"/>
      <c r="M24" s="15"/>
      <c r="N24" s="22">
        <v>-0.04</v>
      </c>
      <c r="O24" s="22">
        <v>0.02</v>
      </c>
      <c r="P24" s="22">
        <v>7.71</v>
      </c>
      <c r="Q24" s="53">
        <v>0.17219999999999999</v>
      </c>
      <c r="R24" s="62"/>
      <c r="S24" s="114"/>
      <c r="T24" s="113"/>
      <c r="U24" s="105"/>
      <c r="V24" s="580">
        <f>N24-B24</f>
        <v>-0.04</v>
      </c>
      <c r="W24" s="580">
        <f>O24-C24+offsetRot</f>
        <v>0.11017520000000047</v>
      </c>
      <c r="X24" s="593">
        <f t="shared" si="15"/>
        <v>0.11721166620708071</v>
      </c>
      <c r="Y24" s="593">
        <f t="shared" si="16"/>
        <v>1.7593661136351024E-2</v>
      </c>
      <c r="Z24" s="595">
        <f>P24-D24</f>
        <v>-2.0000000000000462E-2</v>
      </c>
      <c r="AA24" s="583"/>
      <c r="AC24" s="468">
        <f>ABS(Q24-ABS(E24))</f>
        <v>2.1999999999999797E-3</v>
      </c>
      <c r="AG24" s="12">
        <v>-0.17</v>
      </c>
      <c r="AH24" s="87">
        <f>AVERAGE(AH8,AH12,AH17,AH21)</f>
        <v>5.6825000000000001</v>
      </c>
      <c r="CJ24" s="105"/>
      <c r="CK24" s="9">
        <v>-0.04</v>
      </c>
      <c r="CL24" s="9">
        <f t="shared" si="17"/>
        <v>-2.3E-2</v>
      </c>
      <c r="CM24" s="9">
        <v>0.11017520000000047</v>
      </c>
      <c r="CN24" s="9">
        <f t="shared" si="18"/>
        <v>7.617520000000047E-2</v>
      </c>
      <c r="CO24" s="335">
        <f t="shared" si="19"/>
        <v>7.9571735528641524E-2</v>
      </c>
      <c r="CP24" s="335">
        <f t="shared" si="20"/>
        <v>-1.4428264471358476E-2</v>
      </c>
      <c r="CQ24" s="9">
        <v>-2.0000000000000462E-2</v>
      </c>
      <c r="CS24" s="6">
        <v>17</v>
      </c>
      <c r="CT24" s="6">
        <v>0</v>
      </c>
      <c r="CU24" s="1">
        <v>5.66</v>
      </c>
      <c r="CV24" s="1">
        <v>7.73</v>
      </c>
      <c r="CW24" s="1">
        <v>0.17</v>
      </c>
      <c r="CX24" s="1">
        <v>0</v>
      </c>
      <c r="CY24" s="1">
        <v>0</v>
      </c>
      <c r="CZ24" s="560">
        <v>-0.04</v>
      </c>
      <c r="DA24" s="22">
        <v>0.02</v>
      </c>
      <c r="DB24" s="22">
        <v>7.71</v>
      </c>
      <c r="DC24" s="564">
        <v>0.17219999999999999</v>
      </c>
      <c r="DD24" s="186">
        <v>7.535655177249069E-2</v>
      </c>
      <c r="DE24" s="550">
        <v>-1.864344822750931E-2</v>
      </c>
      <c r="DF24">
        <f t="shared" si="21"/>
        <v>3.4757816181182004E-4</v>
      </c>
      <c r="DG24" s="548">
        <v>-2.0000000000000462E-2</v>
      </c>
      <c r="DH24" s="517">
        <f t="shared" si="22"/>
        <v>-2.0000000000004632E-3</v>
      </c>
      <c r="DI24" s="611">
        <v>2.1999999999999797E-3</v>
      </c>
      <c r="DJ24" s="468">
        <f t="shared" si="23"/>
        <v>-1.0000000000002021E-4</v>
      </c>
      <c r="DL24" s="6">
        <v>17</v>
      </c>
      <c r="DM24" s="6">
        <v>0</v>
      </c>
      <c r="DN24" s="1">
        <v>5.66</v>
      </c>
      <c r="DO24" s="1">
        <v>7.73</v>
      </c>
      <c r="DP24" s="1">
        <v>0.17</v>
      </c>
      <c r="DQ24" s="1">
        <v>0</v>
      </c>
      <c r="DR24" s="1">
        <v>0</v>
      </c>
      <c r="DS24" s="560">
        <v>-0.04</v>
      </c>
      <c r="DT24" s="22">
        <v>0.02</v>
      </c>
      <c r="DU24" s="22">
        <v>7.71</v>
      </c>
      <c r="DV24" s="564">
        <v>0.17219999999999999</v>
      </c>
      <c r="DW24" s="550">
        <v>-1.864344822750931E-2</v>
      </c>
      <c r="DX24" s="517">
        <v>-2.0000000000004632E-3</v>
      </c>
      <c r="DY24" s="468">
        <v>-1.0000000000002021E-4</v>
      </c>
    </row>
    <row r="25" spans="1:129">
      <c r="A25">
        <f t="shared" si="0"/>
        <v>18</v>
      </c>
      <c r="B25" s="6">
        <v>0</v>
      </c>
      <c r="C25" s="1">
        <v>5.66</v>
      </c>
      <c r="D25" s="1">
        <v>7.73</v>
      </c>
      <c r="E25" s="1">
        <v>-0.17</v>
      </c>
      <c r="F25" s="1">
        <v>0</v>
      </c>
      <c r="G25" s="1">
        <v>0</v>
      </c>
      <c r="H25" s="41"/>
      <c r="I25" s="22"/>
      <c r="J25" s="22"/>
      <c r="K25" s="37"/>
      <c r="L25" s="14"/>
      <c r="M25" s="15"/>
      <c r="N25" s="22">
        <v>-0.03</v>
      </c>
      <c r="O25" s="22">
        <v>11.31</v>
      </c>
      <c r="P25" s="22">
        <v>7.77</v>
      </c>
      <c r="Q25" s="53">
        <v>0.17549999999999999</v>
      </c>
      <c r="R25" s="62"/>
      <c r="S25" s="114"/>
      <c r="T25" s="113"/>
      <c r="U25" s="105"/>
      <c r="V25" s="580">
        <f t="shared" ref="V25" si="30">N25-B25</f>
        <v>-0.03</v>
      </c>
      <c r="W25" s="580">
        <f>O25-C25-offsetRot</f>
        <v>-0.10017520000000069</v>
      </c>
      <c r="X25" s="593">
        <f t="shared" si="15"/>
        <v>0.10457088837262565</v>
      </c>
      <c r="Y25" s="593">
        <f t="shared" si="16"/>
        <v>4.9528833018959717E-3</v>
      </c>
      <c r="Z25" s="594">
        <f t="shared" ref="Z25:Z27" si="31">P25-D25</f>
        <v>3.9999999999999147E-2</v>
      </c>
      <c r="AA25" s="583"/>
      <c r="AC25" s="543">
        <f>ABS(Q25-ABS(E25))</f>
        <v>5.4999999999999771E-3</v>
      </c>
      <c r="CJ25" s="105"/>
      <c r="CK25" s="9">
        <v>-0.03</v>
      </c>
      <c r="CL25" s="9">
        <f t="shared" si="17"/>
        <v>-1.2999999999999998E-2</v>
      </c>
      <c r="CM25" s="9">
        <v>-0.10017520000000069</v>
      </c>
      <c r="CN25" s="9">
        <f t="shared" si="18"/>
        <v>-0.13417520000000069</v>
      </c>
      <c r="CO25" s="335">
        <f t="shared" si="19"/>
        <v>0.13480350253253875</v>
      </c>
      <c r="CP25" s="335">
        <f t="shared" si="20"/>
        <v>4.0803502532538755E-2</v>
      </c>
      <c r="CQ25" s="9">
        <v>3.9999999999999147E-2</v>
      </c>
      <c r="CS25" s="6">
        <v>18</v>
      </c>
      <c r="CT25" s="6">
        <v>0</v>
      </c>
      <c r="CU25" s="1">
        <v>5.66</v>
      </c>
      <c r="CV25" s="1">
        <v>7.73</v>
      </c>
      <c r="CW25" s="1">
        <v>-0.17</v>
      </c>
      <c r="CX25" s="1">
        <v>0</v>
      </c>
      <c r="CY25" s="1">
        <v>0</v>
      </c>
      <c r="CZ25" s="560">
        <v>-0.03</v>
      </c>
      <c r="DA25" s="22">
        <v>11.31</v>
      </c>
      <c r="DB25" s="22">
        <v>7.77</v>
      </c>
      <c r="DC25" s="564">
        <v>0.17549999999999999</v>
      </c>
      <c r="DD25" s="186">
        <v>0.13740828030013399</v>
      </c>
      <c r="DE25" s="550">
        <v>4.3408280300133995E-2</v>
      </c>
      <c r="DF25">
        <f t="shared" si="21"/>
        <v>1.884278798615001E-3</v>
      </c>
      <c r="DG25" s="548">
        <v>3.9999999999999147E-2</v>
      </c>
      <c r="DH25" s="517">
        <f t="shared" si="22"/>
        <v>5.7999999999999149E-2</v>
      </c>
      <c r="DI25" s="612">
        <v>5.4999999999999771E-3</v>
      </c>
      <c r="DJ25" s="543">
        <f t="shared" si="23"/>
        <v>3.1999999999999772E-3</v>
      </c>
      <c r="DL25" s="6">
        <v>18</v>
      </c>
      <c r="DM25" s="6">
        <v>0</v>
      </c>
      <c r="DN25" s="1">
        <v>5.66</v>
      </c>
      <c r="DO25" s="1">
        <v>7.73</v>
      </c>
      <c r="DP25" s="1">
        <v>-0.17</v>
      </c>
      <c r="DQ25" s="1">
        <v>0</v>
      </c>
      <c r="DR25" s="1">
        <v>0</v>
      </c>
      <c r="DS25" s="560">
        <v>-0.03</v>
      </c>
      <c r="DT25" s="22">
        <v>11.31</v>
      </c>
      <c r="DU25" s="22">
        <v>7.77</v>
      </c>
      <c r="DV25" s="564">
        <v>0.17549999999999999</v>
      </c>
      <c r="DW25" s="550">
        <v>4.3408280300133995E-2</v>
      </c>
      <c r="DX25" s="628">
        <v>5.7999999999999149E-2</v>
      </c>
      <c r="DY25" s="543">
        <v>3.1999999999999772E-3</v>
      </c>
    </row>
    <row r="26" spans="1:129">
      <c r="A26">
        <f t="shared" si="0"/>
        <v>19</v>
      </c>
      <c r="B26" s="6">
        <v>0</v>
      </c>
      <c r="C26" s="1">
        <v>5.66</v>
      </c>
      <c r="D26" s="1">
        <v>7.73</v>
      </c>
      <c r="E26" s="1">
        <v>0</v>
      </c>
      <c r="F26" s="1">
        <v>0.17</v>
      </c>
      <c r="G26" s="1">
        <v>0</v>
      </c>
      <c r="H26" s="41"/>
      <c r="I26" s="22"/>
      <c r="J26" s="22"/>
      <c r="K26" s="37"/>
      <c r="L26" s="14"/>
      <c r="M26" s="15"/>
      <c r="N26" s="22">
        <v>5.67</v>
      </c>
      <c r="O26" s="22">
        <v>5.65</v>
      </c>
      <c r="P26" s="22">
        <v>7.74</v>
      </c>
      <c r="Q26" s="53">
        <v>0.1673</v>
      </c>
      <c r="R26" s="52"/>
      <c r="S26" s="62"/>
      <c r="T26" s="113"/>
      <c r="U26" s="105"/>
      <c r="V26" s="580">
        <f>N26-B26-offsetRot</f>
        <v>-8.0175200000001112E-2</v>
      </c>
      <c r="W26" s="580">
        <f t="shared" ref="W26:W27" si="32">O26-C26</f>
        <v>-9.9999999999997868E-3</v>
      </c>
      <c r="X26" s="593">
        <f t="shared" si="15"/>
        <v>8.0796427489339989E-2</v>
      </c>
      <c r="Y26" s="593">
        <f t="shared" si="16"/>
        <v>-1.8821577581389692E-2</v>
      </c>
      <c r="Z26" s="595">
        <f t="shared" si="31"/>
        <v>9.9999999999997868E-3</v>
      </c>
      <c r="AA26" s="583"/>
      <c r="AC26" s="468">
        <f>ABS(Q26-ABS(F26))</f>
        <v>2.7000000000000079E-3</v>
      </c>
      <c r="CJ26" s="105"/>
      <c r="CK26" s="9">
        <v>-8.0175200000001112E-2</v>
      </c>
      <c r="CL26" s="9">
        <f t="shared" si="17"/>
        <v>-6.3175200000001111E-2</v>
      </c>
      <c r="CM26" s="9">
        <v>-9.9999999999997868E-3</v>
      </c>
      <c r="CN26" s="9">
        <f t="shared" si="18"/>
        <v>-4.3999999999999789E-2</v>
      </c>
      <c r="CO26" s="335">
        <f t="shared" si="19"/>
        <v>7.6987699634682688E-2</v>
      </c>
      <c r="CP26" s="335">
        <f t="shared" si="20"/>
        <v>-1.7012300365317312E-2</v>
      </c>
      <c r="CQ26" s="9">
        <v>9.9999999999997868E-3</v>
      </c>
      <c r="CS26" s="6">
        <v>19</v>
      </c>
      <c r="CT26" s="6">
        <v>0</v>
      </c>
      <c r="CU26" s="1">
        <v>5.66</v>
      </c>
      <c r="CV26" s="1">
        <v>7.73</v>
      </c>
      <c r="CW26" s="1">
        <v>0</v>
      </c>
      <c r="CX26" s="1">
        <v>0.17</v>
      </c>
      <c r="CY26" s="1">
        <v>0</v>
      </c>
      <c r="CZ26" s="560">
        <v>5.67</v>
      </c>
      <c r="DA26" s="22">
        <v>5.65</v>
      </c>
      <c r="DB26" s="22">
        <v>7.74</v>
      </c>
      <c r="DC26" s="564">
        <v>0.1673</v>
      </c>
      <c r="DD26" s="186">
        <v>7.4788728395662057E-2</v>
      </c>
      <c r="DE26" s="550">
        <v>-1.9211271604337943E-2</v>
      </c>
      <c r="DF26">
        <f t="shared" si="21"/>
        <v>3.6907295665564133E-4</v>
      </c>
      <c r="DG26" s="548">
        <v>9.9999999999997868E-3</v>
      </c>
      <c r="DH26" s="517">
        <f t="shared" si="22"/>
        <v>2.7999999999999785E-2</v>
      </c>
      <c r="DI26" s="611">
        <v>2.7000000000000079E-3</v>
      </c>
      <c r="DJ26" s="468">
        <f t="shared" si="23"/>
        <v>4.0000000000000799E-4</v>
      </c>
      <c r="DL26" s="6">
        <v>19</v>
      </c>
      <c r="DM26" s="6">
        <v>0</v>
      </c>
      <c r="DN26" s="1">
        <v>5.66</v>
      </c>
      <c r="DO26" s="1">
        <v>7.73</v>
      </c>
      <c r="DP26" s="1">
        <v>0</v>
      </c>
      <c r="DQ26" s="1">
        <v>0.17</v>
      </c>
      <c r="DR26" s="1">
        <v>0</v>
      </c>
      <c r="DS26" s="560">
        <v>5.67</v>
      </c>
      <c r="DT26" s="22">
        <v>5.65</v>
      </c>
      <c r="DU26" s="22">
        <v>7.74</v>
      </c>
      <c r="DV26" s="564">
        <v>0.1673</v>
      </c>
      <c r="DW26" s="550">
        <v>-1.9211271604337943E-2</v>
      </c>
      <c r="DX26" s="517">
        <v>2.7999999999999785E-2</v>
      </c>
      <c r="DY26" s="468">
        <v>4.0000000000000799E-4</v>
      </c>
    </row>
    <row r="27" spans="1:129">
      <c r="A27">
        <f t="shared" si="0"/>
        <v>20</v>
      </c>
      <c r="B27" s="6">
        <v>0</v>
      </c>
      <c r="C27" s="1">
        <v>5.66</v>
      </c>
      <c r="D27" s="1">
        <v>7.73</v>
      </c>
      <c r="E27" s="1">
        <v>0</v>
      </c>
      <c r="F27" s="1">
        <v>-0.17</v>
      </c>
      <c r="G27" s="1">
        <v>0</v>
      </c>
      <c r="H27" s="41"/>
      <c r="I27" s="22"/>
      <c r="J27" s="22"/>
      <c r="K27" s="37"/>
      <c r="L27" s="14"/>
      <c r="M27" s="15"/>
      <c r="N27" s="22">
        <v>-5.71</v>
      </c>
      <c r="O27" s="22">
        <v>5.68</v>
      </c>
      <c r="P27" s="22">
        <v>7.74</v>
      </c>
      <c r="Q27" s="53">
        <v>0.17019999999999999</v>
      </c>
      <c r="R27" s="52"/>
      <c r="S27" s="62"/>
      <c r="T27" s="113"/>
      <c r="U27" s="105"/>
      <c r="V27" s="580">
        <f>N27-B27+offsetRot</f>
        <v>4.0175200000001077E-2</v>
      </c>
      <c r="W27" s="580">
        <f t="shared" si="32"/>
        <v>1.9999999999999574E-2</v>
      </c>
      <c r="X27" s="593">
        <f t="shared" si="15"/>
        <v>4.4878131590342187E-2</v>
      </c>
      <c r="Y27" s="593">
        <f t="shared" si="16"/>
        <v>-5.4739873480387495E-2</v>
      </c>
      <c r="Z27" s="595">
        <f t="shared" si="31"/>
        <v>9.9999999999997868E-3</v>
      </c>
      <c r="AA27" s="583"/>
      <c r="AC27" s="468">
        <f>ABS(Q27-ABS(F27))</f>
        <v>1.9999999999997797E-4</v>
      </c>
      <c r="CJ27" s="105"/>
      <c r="CK27" s="9">
        <v>4.0175200000001077E-2</v>
      </c>
      <c r="CL27" s="9">
        <f t="shared" si="17"/>
        <v>5.7175200000001078E-2</v>
      </c>
      <c r="CM27" s="9">
        <v>1.9999999999999574E-2</v>
      </c>
      <c r="CN27" s="9">
        <f t="shared" si="18"/>
        <v>-1.4000000000000429E-2</v>
      </c>
      <c r="CO27" s="335">
        <f t="shared" si="19"/>
        <v>5.8864280298328082E-2</v>
      </c>
      <c r="CP27" s="335">
        <f t="shared" si="20"/>
        <v>-3.5135719701671918E-2</v>
      </c>
      <c r="CQ27" s="9">
        <v>9.9999999999997868E-3</v>
      </c>
      <c r="CS27" s="6">
        <v>20</v>
      </c>
      <c r="CT27" s="6">
        <v>0</v>
      </c>
      <c r="CU27" s="1">
        <v>5.66</v>
      </c>
      <c r="CV27" s="1">
        <v>7.73</v>
      </c>
      <c r="CW27" s="1">
        <v>0</v>
      </c>
      <c r="CX27" s="1">
        <v>-0.17</v>
      </c>
      <c r="CY27" s="1">
        <v>0</v>
      </c>
      <c r="CZ27" s="560">
        <v>-5.71</v>
      </c>
      <c r="DA27" s="22">
        <v>5.68</v>
      </c>
      <c r="DB27" s="22">
        <v>7.74</v>
      </c>
      <c r="DC27" s="564">
        <v>0.17019999999999999</v>
      </c>
      <c r="DD27" s="186">
        <v>6.445739286567638E-2</v>
      </c>
      <c r="DE27" s="550">
        <v>-2.954260713432362E-2</v>
      </c>
      <c r="DF27">
        <f t="shared" si="21"/>
        <v>8.7276563629298885E-4</v>
      </c>
      <c r="DG27" s="548">
        <v>9.9999999999997868E-3</v>
      </c>
      <c r="DH27" s="517">
        <f t="shared" si="22"/>
        <v>2.7999999999999785E-2</v>
      </c>
      <c r="DI27" s="611">
        <v>1.9999999999997797E-4</v>
      </c>
      <c r="DJ27" s="468">
        <f t="shared" si="23"/>
        <v>-2.100000000000022E-3</v>
      </c>
      <c r="DL27" s="6">
        <v>20</v>
      </c>
      <c r="DM27" s="6">
        <v>0</v>
      </c>
      <c r="DN27" s="1">
        <v>5.66</v>
      </c>
      <c r="DO27" s="1">
        <v>7.73</v>
      </c>
      <c r="DP27" s="1">
        <v>0</v>
      </c>
      <c r="DQ27" s="1">
        <v>-0.17</v>
      </c>
      <c r="DR27" s="1">
        <v>0</v>
      </c>
      <c r="DS27" s="560">
        <v>-5.71</v>
      </c>
      <c r="DT27" s="22">
        <v>5.68</v>
      </c>
      <c r="DU27" s="22">
        <v>7.74</v>
      </c>
      <c r="DV27" s="564">
        <v>0.17019999999999999</v>
      </c>
      <c r="DW27" s="550">
        <v>-2.954260713432362E-2</v>
      </c>
      <c r="DX27" s="517">
        <v>2.7999999999999785E-2</v>
      </c>
      <c r="DY27" s="468">
        <v>-2.100000000000022E-3</v>
      </c>
    </row>
    <row r="28" spans="1:129">
      <c r="A28">
        <f>A27+1</f>
        <v>21</v>
      </c>
      <c r="B28" s="6">
        <v>0</v>
      </c>
      <c r="C28" s="1">
        <v>5.66</v>
      </c>
      <c r="D28" s="1">
        <v>-7.73</v>
      </c>
      <c r="E28" s="1">
        <v>0.17</v>
      </c>
      <c r="F28" s="1">
        <v>0</v>
      </c>
      <c r="G28" s="1">
        <v>0</v>
      </c>
      <c r="H28" s="41"/>
      <c r="I28" s="22"/>
      <c r="J28" s="22"/>
      <c r="K28" s="37"/>
      <c r="L28" s="14"/>
      <c r="M28" s="15"/>
      <c r="N28" s="22">
        <v>-0.02</v>
      </c>
      <c r="O28" s="22">
        <v>-0.01</v>
      </c>
      <c r="P28" s="22">
        <v>-7.75</v>
      </c>
      <c r="Q28" s="53">
        <v>0.17069999999999999</v>
      </c>
      <c r="R28" s="62"/>
      <c r="S28" s="114"/>
      <c r="T28" s="113"/>
      <c r="U28" s="105"/>
      <c r="V28" s="580">
        <f>N28-B28</f>
        <v>-0.02</v>
      </c>
      <c r="W28" s="580">
        <f>O28-C28+offsetRot</f>
        <v>8.0175200000001112E-2</v>
      </c>
      <c r="X28" s="593">
        <f t="shared" si="15"/>
        <v>8.2632092403860727E-2</v>
      </c>
      <c r="Y28" s="593">
        <f t="shared" si="16"/>
        <v>-1.6985912666868955E-2</v>
      </c>
      <c r="Z28" s="595">
        <f>P28-D28</f>
        <v>-1.9999999999999574E-2</v>
      </c>
      <c r="AA28" s="583"/>
      <c r="AC28" s="468">
        <f>ABS(Q28-ABS(E28))</f>
        <v>6.9999999999997842E-4</v>
      </c>
      <c r="CJ28" s="105"/>
      <c r="CK28" s="9">
        <v>-0.02</v>
      </c>
      <c r="CL28" s="9">
        <f t="shared" si="17"/>
        <v>-2.9999999999999992E-3</v>
      </c>
      <c r="CM28" s="9">
        <v>8.0175200000001112E-2</v>
      </c>
      <c r="CN28" s="9">
        <f t="shared" si="18"/>
        <v>4.617520000000111E-2</v>
      </c>
      <c r="CO28" s="335">
        <f t="shared" si="19"/>
        <v>4.6272552285778472E-2</v>
      </c>
      <c r="CP28" s="335">
        <f t="shared" si="20"/>
        <v>-4.7727447714221528E-2</v>
      </c>
      <c r="CQ28" s="9">
        <v>-1.9999999999999574E-2</v>
      </c>
      <c r="CS28" s="6">
        <v>21</v>
      </c>
      <c r="CT28" s="6">
        <v>0</v>
      </c>
      <c r="CU28" s="1">
        <v>5.66</v>
      </c>
      <c r="CV28" s="1">
        <v>-7.73</v>
      </c>
      <c r="CW28" s="1">
        <v>0.17</v>
      </c>
      <c r="CX28" s="1">
        <v>0</v>
      </c>
      <c r="CY28" s="1">
        <v>0</v>
      </c>
      <c r="CZ28" s="560">
        <v>-0.02</v>
      </c>
      <c r="DA28" s="22">
        <v>-0.01</v>
      </c>
      <c r="DB28" s="22">
        <v>-7.75</v>
      </c>
      <c r="DC28" s="564">
        <v>0.17069999999999999</v>
      </c>
      <c r="DD28" s="186">
        <v>4.3221498065662833E-2</v>
      </c>
      <c r="DE28" s="550">
        <v>-5.0778501934337167E-2</v>
      </c>
      <c r="DF28">
        <f t="shared" si="21"/>
        <v>2.5784562586954832E-3</v>
      </c>
      <c r="DG28" s="548">
        <v>-1.9999999999999574E-2</v>
      </c>
      <c r="DH28" s="517">
        <f t="shared" si="22"/>
        <v>-1.999999999999575E-3</v>
      </c>
      <c r="DI28" s="611">
        <v>6.9999999999997842E-4</v>
      </c>
      <c r="DJ28" s="468">
        <f t="shared" si="23"/>
        <v>-1.6000000000000215E-3</v>
      </c>
      <c r="DL28" s="6">
        <v>21</v>
      </c>
      <c r="DM28" s="6">
        <v>0</v>
      </c>
      <c r="DN28" s="1">
        <v>5.66</v>
      </c>
      <c r="DO28" s="1">
        <v>-7.73</v>
      </c>
      <c r="DP28" s="1">
        <v>0.17</v>
      </c>
      <c r="DQ28" s="1">
        <v>0</v>
      </c>
      <c r="DR28" s="1">
        <v>0</v>
      </c>
      <c r="DS28" s="560">
        <v>-0.02</v>
      </c>
      <c r="DT28" s="22">
        <v>-0.01</v>
      </c>
      <c r="DU28" s="22">
        <v>-7.75</v>
      </c>
      <c r="DV28" s="564">
        <v>0.17069999999999999</v>
      </c>
      <c r="DW28" s="550">
        <v>-5.0778501934337167E-2</v>
      </c>
      <c r="DX28" s="517">
        <v>-1.999999999999575E-3</v>
      </c>
      <c r="DY28" s="468">
        <v>-1.6000000000000215E-3</v>
      </c>
    </row>
    <row r="29" spans="1:129">
      <c r="A29">
        <f t="shared" si="0"/>
        <v>22</v>
      </c>
      <c r="B29" s="6">
        <v>0</v>
      </c>
      <c r="C29" s="1">
        <v>5.66</v>
      </c>
      <c r="D29" s="1">
        <v>-7.73</v>
      </c>
      <c r="E29" s="1">
        <v>-0.17</v>
      </c>
      <c r="F29" s="1">
        <v>0</v>
      </c>
      <c r="G29" s="1">
        <v>0</v>
      </c>
      <c r="H29" s="41"/>
      <c r="I29" s="22"/>
      <c r="J29" s="22"/>
      <c r="K29" s="37"/>
      <c r="L29" s="14"/>
      <c r="M29" s="15"/>
      <c r="N29" s="22">
        <v>-0.02</v>
      </c>
      <c r="O29" s="22">
        <v>11.32</v>
      </c>
      <c r="P29" s="22">
        <v>-7.71</v>
      </c>
      <c r="Q29" s="53">
        <v>0.17480000000000001</v>
      </c>
      <c r="R29" s="62"/>
      <c r="S29" s="114"/>
      <c r="T29" s="113"/>
      <c r="U29" s="105"/>
      <c r="V29" s="580">
        <f t="shared" ref="V29" si="33">N29-B29</f>
        <v>-0.02</v>
      </c>
      <c r="W29" s="580">
        <f>O29-C29-offsetRot</f>
        <v>-9.0175200000000899E-2</v>
      </c>
      <c r="X29" s="593">
        <f t="shared" si="15"/>
        <v>9.2366480365120338E-2</v>
      </c>
      <c r="Y29" s="593">
        <f t="shared" si="16"/>
        <v>-7.251524705609344E-3</v>
      </c>
      <c r="Z29" s="595">
        <f t="shared" ref="Z29:Z31" si="34">P29-D29</f>
        <v>2.0000000000000462E-2</v>
      </c>
      <c r="AA29" s="583"/>
      <c r="AC29" s="543">
        <f>ABS(Q29-ABS(E29))</f>
        <v>4.7999999999999987E-3</v>
      </c>
      <c r="CJ29" s="105"/>
      <c r="CK29" s="9">
        <v>-0.02</v>
      </c>
      <c r="CL29" s="9">
        <f t="shared" si="17"/>
        <v>-2.9999999999999992E-3</v>
      </c>
      <c r="CM29" s="9">
        <v>-9.0175200000000899E-2</v>
      </c>
      <c r="CN29" s="9">
        <f t="shared" si="18"/>
        <v>-0.1241752000000009</v>
      </c>
      <c r="CO29" s="535">
        <f t="shared" si="19"/>
        <v>0.12421143383376679</v>
      </c>
      <c r="CP29" s="335">
        <f t="shared" si="20"/>
        <v>3.0211433833766788E-2</v>
      </c>
      <c r="CQ29" s="9">
        <v>2.0000000000000462E-2</v>
      </c>
      <c r="CS29" s="6">
        <v>22</v>
      </c>
      <c r="CT29" s="6">
        <v>0</v>
      </c>
      <c r="CU29" s="1">
        <v>5.66</v>
      </c>
      <c r="CV29" s="1">
        <v>-7.73</v>
      </c>
      <c r="CW29" s="1">
        <v>-0.17</v>
      </c>
      <c r="CX29" s="1">
        <v>0</v>
      </c>
      <c r="CY29" s="1">
        <v>0</v>
      </c>
      <c r="CZ29" s="560">
        <v>-0.02</v>
      </c>
      <c r="DA29" s="22">
        <v>11.32</v>
      </c>
      <c r="DB29" s="22">
        <v>-7.71</v>
      </c>
      <c r="DC29" s="564">
        <v>0.17480000000000001</v>
      </c>
      <c r="DD29" s="554">
        <v>0.12719092536435228</v>
      </c>
      <c r="DE29" s="550">
        <v>3.3190925364352281E-2</v>
      </c>
      <c r="DF29">
        <f t="shared" si="21"/>
        <v>1.1016375265420035E-3</v>
      </c>
      <c r="DG29" s="548">
        <v>2.0000000000000462E-2</v>
      </c>
      <c r="DH29" s="517">
        <f t="shared" si="22"/>
        <v>3.8000000000000464E-2</v>
      </c>
      <c r="DI29" s="612">
        <v>4.7999999999999987E-3</v>
      </c>
      <c r="DJ29" s="543">
        <f t="shared" si="23"/>
        <v>2.4999999999999988E-3</v>
      </c>
      <c r="DL29" s="6">
        <v>22</v>
      </c>
      <c r="DM29" s="6">
        <v>0</v>
      </c>
      <c r="DN29" s="1">
        <v>5.66</v>
      </c>
      <c r="DO29" s="1">
        <v>-7.73</v>
      </c>
      <c r="DP29" s="1">
        <v>-0.17</v>
      </c>
      <c r="DQ29" s="1">
        <v>0</v>
      </c>
      <c r="DR29" s="1">
        <v>0</v>
      </c>
      <c r="DS29" s="560">
        <v>-0.02</v>
      </c>
      <c r="DT29" s="22">
        <v>11.32</v>
      </c>
      <c r="DU29" s="22">
        <v>-7.71</v>
      </c>
      <c r="DV29" s="564">
        <v>0.17480000000000001</v>
      </c>
      <c r="DW29" s="550">
        <v>3.3190925364352281E-2</v>
      </c>
      <c r="DX29" s="517">
        <v>3.8000000000000464E-2</v>
      </c>
      <c r="DY29" s="543">
        <v>2.4999999999999988E-3</v>
      </c>
    </row>
    <row r="30" spans="1:129">
      <c r="A30">
        <f t="shared" si="0"/>
        <v>23</v>
      </c>
      <c r="B30" s="6">
        <v>0</v>
      </c>
      <c r="C30" s="1">
        <v>5.66</v>
      </c>
      <c r="D30" s="1">
        <v>-7.73</v>
      </c>
      <c r="E30" s="1">
        <v>0</v>
      </c>
      <c r="F30" s="1">
        <v>0.17</v>
      </c>
      <c r="G30" s="1">
        <v>0</v>
      </c>
      <c r="H30" s="41"/>
      <c r="I30" s="22"/>
      <c r="J30" s="22"/>
      <c r="K30" s="37"/>
      <c r="L30" s="14"/>
      <c r="M30" s="15"/>
      <c r="N30" s="22">
        <v>5.62</v>
      </c>
      <c r="O30" s="22">
        <v>5.66</v>
      </c>
      <c r="P30" s="22">
        <v>-7.73</v>
      </c>
      <c r="Q30" s="53">
        <v>0.16800000000000001</v>
      </c>
      <c r="R30" s="52"/>
      <c r="S30" s="62"/>
      <c r="T30" s="113"/>
      <c r="U30" s="105"/>
      <c r="V30" s="580">
        <f>N30-B30-offsetRot</f>
        <v>-0.13017520000000093</v>
      </c>
      <c r="W30" s="580">
        <f t="shared" ref="W30:W31" si="35">O30-C30</f>
        <v>0</v>
      </c>
      <c r="X30" s="593">
        <f t="shared" si="15"/>
        <v>0.13017520000000093</v>
      </c>
      <c r="Y30" s="593">
        <f t="shared" si="16"/>
        <v>3.0557194929271253E-2</v>
      </c>
      <c r="Z30" s="595">
        <f t="shared" si="34"/>
        <v>0</v>
      </c>
      <c r="AA30" s="583"/>
      <c r="AC30" s="468">
        <f>ABS(Q30-ABS(F30))</f>
        <v>2.0000000000000018E-3</v>
      </c>
      <c r="CJ30" s="105"/>
      <c r="CK30" s="9">
        <v>-0.13017520000000093</v>
      </c>
      <c r="CL30" s="9">
        <f t="shared" si="17"/>
        <v>-0.11317520000000093</v>
      </c>
      <c r="CM30" s="9">
        <v>0</v>
      </c>
      <c r="CN30" s="9">
        <f t="shared" si="18"/>
        <v>-3.4000000000000002E-2</v>
      </c>
      <c r="CO30" s="335">
        <f t="shared" si="19"/>
        <v>0.11817201824053024</v>
      </c>
      <c r="CP30" s="335">
        <f t="shared" si="20"/>
        <v>2.4172018240530238E-2</v>
      </c>
      <c r="CQ30" s="9">
        <v>0</v>
      </c>
      <c r="CS30" s="6">
        <v>23</v>
      </c>
      <c r="CT30" s="6">
        <v>0</v>
      </c>
      <c r="CU30" s="1">
        <v>5.66</v>
      </c>
      <c r="CV30" s="1">
        <v>-7.73</v>
      </c>
      <c r="CW30" s="1">
        <v>0</v>
      </c>
      <c r="CX30" s="1">
        <v>0.17</v>
      </c>
      <c r="CY30" s="1">
        <v>0</v>
      </c>
      <c r="CZ30" s="560">
        <v>5.62</v>
      </c>
      <c r="DA30" s="22">
        <v>5.66</v>
      </c>
      <c r="DB30" s="22">
        <v>-7.73</v>
      </c>
      <c r="DC30" s="564">
        <v>0.16800000000000001</v>
      </c>
      <c r="DD30" s="186">
        <v>0.11432792263939813</v>
      </c>
      <c r="DE30" s="550">
        <v>2.032792263939813E-2</v>
      </c>
      <c r="DF30">
        <f t="shared" si="21"/>
        <v>4.1322443883335503E-4</v>
      </c>
      <c r="DG30" s="548">
        <v>0</v>
      </c>
      <c r="DH30" s="517">
        <f t="shared" si="22"/>
        <v>1.7999999999999999E-2</v>
      </c>
      <c r="DI30" s="611">
        <v>2.0000000000000018E-3</v>
      </c>
      <c r="DJ30" s="468">
        <f t="shared" si="23"/>
        <v>-2.9999999999999818E-4</v>
      </c>
      <c r="DL30" s="6">
        <v>23</v>
      </c>
      <c r="DM30" s="6">
        <v>0</v>
      </c>
      <c r="DN30" s="1">
        <v>5.66</v>
      </c>
      <c r="DO30" s="1">
        <v>-7.73</v>
      </c>
      <c r="DP30" s="1">
        <v>0</v>
      </c>
      <c r="DQ30" s="1">
        <v>0.17</v>
      </c>
      <c r="DR30" s="1">
        <v>0</v>
      </c>
      <c r="DS30" s="560">
        <v>5.62</v>
      </c>
      <c r="DT30" s="22">
        <v>5.66</v>
      </c>
      <c r="DU30" s="22">
        <v>-7.73</v>
      </c>
      <c r="DV30" s="564">
        <v>0.16800000000000001</v>
      </c>
      <c r="DW30" s="550">
        <v>2.032792263939813E-2</v>
      </c>
      <c r="DX30" s="517">
        <v>1.7999999999999999E-2</v>
      </c>
      <c r="DY30" s="468">
        <v>-2.9999999999999818E-4</v>
      </c>
    </row>
    <row r="31" spans="1:129">
      <c r="A31">
        <f t="shared" si="0"/>
        <v>24</v>
      </c>
      <c r="B31" s="6">
        <v>0</v>
      </c>
      <c r="C31" s="1">
        <v>5.66</v>
      </c>
      <c r="D31" s="1">
        <v>-7.73</v>
      </c>
      <c r="E31" s="1">
        <v>0</v>
      </c>
      <c r="F31" s="1">
        <v>-0.17</v>
      </c>
      <c r="G31" s="1">
        <v>0</v>
      </c>
      <c r="H31" s="41"/>
      <c r="I31" s="22"/>
      <c r="J31" s="22"/>
      <c r="K31" s="37"/>
      <c r="L31" s="14"/>
      <c r="M31" s="15"/>
      <c r="N31" s="22">
        <v>-5.68</v>
      </c>
      <c r="O31" s="22">
        <v>5.67</v>
      </c>
      <c r="P31" s="22">
        <v>-7.73</v>
      </c>
      <c r="Q31" s="53">
        <v>0.17080000000000001</v>
      </c>
      <c r="R31" s="52"/>
      <c r="S31" s="62"/>
      <c r="T31" s="113"/>
      <c r="U31" s="105"/>
      <c r="V31" s="580">
        <f>N31-B31+offsetRot</f>
        <v>7.0175200000001325E-2</v>
      </c>
      <c r="W31" s="580">
        <f t="shared" si="35"/>
        <v>9.9999999999997868E-3</v>
      </c>
      <c r="X31" s="593">
        <f t="shared" si="15"/>
        <v>7.0884121600258129E-2</v>
      </c>
      <c r="Y31" s="593">
        <f t="shared" si="16"/>
        <v>-2.8733883470471552E-2</v>
      </c>
      <c r="Z31" s="595">
        <f t="shared" si="34"/>
        <v>0</v>
      </c>
      <c r="AA31" s="583"/>
      <c r="AC31" s="468">
        <f>ABS(Q31-ABS(F31))</f>
        <v>7.9999999999999516E-4</v>
      </c>
      <c r="CJ31" s="105"/>
      <c r="CK31" s="9">
        <v>7.0175200000001325E-2</v>
      </c>
      <c r="CL31" s="9">
        <f t="shared" si="17"/>
        <v>8.7175200000001327E-2</v>
      </c>
      <c r="CM31" s="9">
        <v>9.9999999999997868E-3</v>
      </c>
      <c r="CN31" s="9">
        <f t="shared" si="18"/>
        <v>-2.4000000000000216E-2</v>
      </c>
      <c r="CO31" s="335">
        <f t="shared" si="19"/>
        <v>9.0418557249274001E-2</v>
      </c>
      <c r="CP31" s="335">
        <f t="shared" si="20"/>
        <v>-3.5814427507259994E-3</v>
      </c>
      <c r="CQ31" s="9">
        <v>0</v>
      </c>
      <c r="CS31" s="6">
        <v>24</v>
      </c>
      <c r="CT31" s="6">
        <v>0</v>
      </c>
      <c r="CU31" s="1">
        <v>5.66</v>
      </c>
      <c r="CV31" s="1">
        <v>-7.73</v>
      </c>
      <c r="CW31" s="1">
        <v>0</v>
      </c>
      <c r="CX31" s="1">
        <v>-0.17</v>
      </c>
      <c r="CY31" s="1">
        <v>0</v>
      </c>
      <c r="CZ31" s="560">
        <v>-5.68</v>
      </c>
      <c r="DA31" s="22">
        <v>5.67</v>
      </c>
      <c r="DB31" s="22">
        <v>-7.73</v>
      </c>
      <c r="DC31" s="564">
        <v>0.17080000000000001</v>
      </c>
      <c r="DD31" s="186">
        <v>9.6048256074955651E-2</v>
      </c>
      <c r="DE31" s="550">
        <v>2.0482560749556511E-3</v>
      </c>
      <c r="DF31">
        <f t="shared" si="21"/>
        <v>4.1953529485927296E-6</v>
      </c>
      <c r="DG31" s="548">
        <v>0</v>
      </c>
      <c r="DH31" s="517">
        <f t="shared" si="22"/>
        <v>1.7999999999999999E-2</v>
      </c>
      <c r="DI31" s="611">
        <v>7.9999999999999516E-4</v>
      </c>
      <c r="DJ31" s="468">
        <f t="shared" si="23"/>
        <v>-1.5000000000000048E-3</v>
      </c>
      <c r="DL31" s="6">
        <v>24</v>
      </c>
      <c r="DM31" s="6">
        <v>0</v>
      </c>
      <c r="DN31" s="1">
        <v>5.66</v>
      </c>
      <c r="DO31" s="1">
        <v>-7.73</v>
      </c>
      <c r="DP31" s="1">
        <v>0</v>
      </c>
      <c r="DQ31" s="1">
        <v>-0.17</v>
      </c>
      <c r="DR31" s="1">
        <v>0</v>
      </c>
      <c r="DS31" s="560">
        <v>-5.68</v>
      </c>
      <c r="DT31" s="22">
        <v>5.67</v>
      </c>
      <c r="DU31" s="22">
        <v>-7.73</v>
      </c>
      <c r="DV31" s="564">
        <v>0.17080000000000001</v>
      </c>
      <c r="DW31" s="550">
        <v>2.0482560749556511E-3</v>
      </c>
      <c r="DX31" s="517">
        <v>1.7999999999999999E-2</v>
      </c>
      <c r="DY31" s="468">
        <v>-1.5000000000000048E-3</v>
      </c>
    </row>
    <row r="32" spans="1:129">
      <c r="A32">
        <f t="shared" si="0"/>
        <v>25</v>
      </c>
      <c r="B32" s="6">
        <v>0</v>
      </c>
      <c r="C32" s="1">
        <v>-5.66</v>
      </c>
      <c r="D32" s="1">
        <v>7.73</v>
      </c>
      <c r="E32" s="1">
        <v>0.17</v>
      </c>
      <c r="F32" s="1">
        <v>0</v>
      </c>
      <c r="G32" s="1">
        <v>0</v>
      </c>
      <c r="H32" s="41"/>
      <c r="I32" s="22"/>
      <c r="J32" s="22"/>
      <c r="K32" s="37"/>
      <c r="L32" s="14"/>
      <c r="M32" s="15"/>
      <c r="N32" s="22">
        <v>-0.04</v>
      </c>
      <c r="O32" s="22">
        <v>-11.23</v>
      </c>
      <c r="P32" s="22">
        <v>7.65</v>
      </c>
      <c r="Q32" s="53">
        <v>0.17599999999999999</v>
      </c>
      <c r="R32" s="62"/>
      <c r="S32" s="114"/>
      <c r="T32" s="113"/>
      <c r="U32" s="105"/>
      <c r="V32" s="580">
        <f>N32-B32</f>
        <v>-0.04</v>
      </c>
      <c r="W32" s="580">
        <f>O32-C32+offsetRot</f>
        <v>0.18017520000000076</v>
      </c>
      <c r="X32" s="593">
        <f t="shared" si="15"/>
        <v>0.18456192103204896</v>
      </c>
      <c r="Y32" s="593">
        <f t="shared" si="16"/>
        <v>8.4943915961319283E-2</v>
      </c>
      <c r="Z32" s="594">
        <f>P32-D32</f>
        <v>-8.0000000000000071E-2</v>
      </c>
      <c r="AA32" s="583"/>
      <c r="AC32" s="543">
        <f>ABS(Q32-ABS(E32))</f>
        <v>5.9999999999999776E-3</v>
      </c>
      <c r="CJ32" s="105"/>
      <c r="CK32" s="9">
        <v>-0.04</v>
      </c>
      <c r="CL32" s="9">
        <f t="shared" si="17"/>
        <v>-2.3E-2</v>
      </c>
      <c r="CM32" s="9">
        <v>0.18017520000000076</v>
      </c>
      <c r="CN32" s="9">
        <f t="shared" si="18"/>
        <v>0.14617520000000075</v>
      </c>
      <c r="CO32" s="535">
        <f>SQRT(CL32*CL32+CN32*CN32)</f>
        <v>0.14797360945465993</v>
      </c>
      <c r="CP32" s="335">
        <f t="shared" si="20"/>
        <v>5.3973609454659927E-2</v>
      </c>
      <c r="CQ32" s="9">
        <v>-8.0000000000000071E-2</v>
      </c>
      <c r="CS32" s="6">
        <v>25</v>
      </c>
      <c r="CT32" s="6">
        <v>0</v>
      </c>
      <c r="CU32" s="1">
        <v>-5.66</v>
      </c>
      <c r="CV32" s="1">
        <v>7.73</v>
      </c>
      <c r="CW32" s="1">
        <v>0.17</v>
      </c>
      <c r="CX32" s="1">
        <v>0</v>
      </c>
      <c r="CY32" s="1">
        <v>0</v>
      </c>
      <c r="CZ32" s="560">
        <v>-0.04</v>
      </c>
      <c r="DA32" s="22">
        <v>-11.23</v>
      </c>
      <c r="DB32" s="22">
        <v>7.65</v>
      </c>
      <c r="DC32" s="564">
        <v>0.17599999999999999</v>
      </c>
      <c r="DD32" s="554">
        <v>0.14430224494109653</v>
      </c>
      <c r="DE32" s="550">
        <v>5.030224494109653E-2</v>
      </c>
      <c r="DF32">
        <f t="shared" si="21"/>
        <v>2.5303158461140716E-3</v>
      </c>
      <c r="DG32" s="548">
        <v>-8.0000000000000071E-2</v>
      </c>
      <c r="DH32" s="517">
        <f t="shared" si="22"/>
        <v>-6.2000000000000069E-2</v>
      </c>
      <c r="DI32" s="612">
        <v>5.9999999999999776E-3</v>
      </c>
      <c r="DJ32" s="543">
        <f t="shared" si="23"/>
        <v>3.6999999999999776E-3</v>
      </c>
      <c r="DL32" s="6">
        <v>25</v>
      </c>
      <c r="DM32" s="6">
        <v>0</v>
      </c>
      <c r="DN32" s="1">
        <v>-5.66</v>
      </c>
      <c r="DO32" s="1">
        <v>7.73</v>
      </c>
      <c r="DP32" s="1">
        <v>0.17</v>
      </c>
      <c r="DQ32" s="1">
        <v>0</v>
      </c>
      <c r="DR32" s="1">
        <v>0</v>
      </c>
      <c r="DS32" s="560">
        <v>-0.04</v>
      </c>
      <c r="DT32" s="22">
        <v>-11.23</v>
      </c>
      <c r="DU32" s="22">
        <v>7.65</v>
      </c>
      <c r="DV32" s="564">
        <v>0.17599999999999999</v>
      </c>
      <c r="DW32" s="550">
        <v>5.030224494109653E-2</v>
      </c>
      <c r="DX32" s="628">
        <v>-6.2000000000000069E-2</v>
      </c>
      <c r="DY32" s="543">
        <v>3.6999999999999776E-3</v>
      </c>
    </row>
    <row r="33" spans="1:129" ht="15.45" customHeight="1">
      <c r="A33">
        <f t="shared" si="0"/>
        <v>26</v>
      </c>
      <c r="B33" s="6">
        <v>0</v>
      </c>
      <c r="C33" s="1">
        <v>-5.66</v>
      </c>
      <c r="D33" s="1">
        <v>7.73</v>
      </c>
      <c r="E33" s="1">
        <v>-0.17</v>
      </c>
      <c r="F33" s="1">
        <v>0</v>
      </c>
      <c r="G33" s="1">
        <v>0</v>
      </c>
      <c r="H33" s="41"/>
      <c r="I33" s="22"/>
      <c r="J33" s="22"/>
      <c r="K33" s="37"/>
      <c r="L33" s="14"/>
      <c r="M33" s="15"/>
      <c r="N33" s="22">
        <v>-0.03</v>
      </c>
      <c r="O33" s="22">
        <v>0.09</v>
      </c>
      <c r="P33" s="22">
        <v>7.72</v>
      </c>
      <c r="Q33" s="53">
        <v>0.16950000000000001</v>
      </c>
      <c r="R33" s="62"/>
      <c r="S33" s="62"/>
      <c r="T33" s="113"/>
      <c r="U33" s="105"/>
      <c r="V33" s="580">
        <f t="shared" ref="V33" si="36">N33-B33</f>
        <v>-0.03</v>
      </c>
      <c r="W33" s="580">
        <f>O33-C33-offsetRot</f>
        <v>-1.7520000000104119E-4</v>
      </c>
      <c r="X33" s="593">
        <f t="shared" si="15"/>
        <v>3.0000511579638112E-2</v>
      </c>
      <c r="Y33" s="593">
        <f t="shared" si="16"/>
        <v>-6.9617493491091573E-2</v>
      </c>
      <c r="Z33" s="595">
        <f t="shared" ref="Z33:Z35" si="37">P33-D33</f>
        <v>-1.0000000000000675E-2</v>
      </c>
      <c r="AA33" s="583"/>
      <c r="AC33" s="468">
        <f>ABS(Q33-ABS(E33))</f>
        <v>5.0000000000000044E-4</v>
      </c>
      <c r="AG33" s="282" t="s">
        <v>27</v>
      </c>
      <c r="CJ33" s="105"/>
      <c r="CK33" s="9">
        <v>-0.03</v>
      </c>
      <c r="CL33" s="9">
        <f t="shared" si="17"/>
        <v>-1.2999999999999998E-2</v>
      </c>
      <c r="CM33" s="9">
        <v>-1.7520000000104119E-4</v>
      </c>
      <c r="CN33" s="9">
        <f t="shared" si="18"/>
        <v>-3.4175200000001044E-2</v>
      </c>
      <c r="CO33" s="335">
        <f t="shared" si="19"/>
        <v>3.6564248864704871E-2</v>
      </c>
      <c r="CP33" s="335">
        <f t="shared" si="20"/>
        <v>-5.7435751135295129E-2</v>
      </c>
      <c r="CQ33" s="9">
        <v>-1.0000000000000675E-2</v>
      </c>
      <c r="CS33" s="6">
        <v>26</v>
      </c>
      <c r="CT33" s="6">
        <v>0</v>
      </c>
      <c r="CU33" s="1">
        <v>-5.66</v>
      </c>
      <c r="CV33" s="1">
        <v>7.73</v>
      </c>
      <c r="CW33" s="1">
        <v>-0.17</v>
      </c>
      <c r="CX33" s="1">
        <v>0</v>
      </c>
      <c r="CY33" s="1">
        <v>0</v>
      </c>
      <c r="CZ33" s="560">
        <v>-0.03</v>
      </c>
      <c r="DA33" s="22">
        <v>0.09</v>
      </c>
      <c r="DB33" s="22">
        <v>7.72</v>
      </c>
      <c r="DC33" s="564">
        <v>0.16950000000000001</v>
      </c>
      <c r="DD33" s="186">
        <v>3.8026247448835621E-2</v>
      </c>
      <c r="DE33" s="550">
        <v>-5.597375255116438E-2</v>
      </c>
      <c r="DF33">
        <f t="shared" si="21"/>
        <v>3.1330609746589807E-3</v>
      </c>
      <c r="DG33" s="548">
        <v>-1.0000000000000675E-2</v>
      </c>
      <c r="DH33" s="517">
        <f t="shared" si="22"/>
        <v>7.9999999999993236E-3</v>
      </c>
      <c r="DI33" s="611">
        <v>5.0000000000000044E-4</v>
      </c>
      <c r="DJ33" s="468">
        <f t="shared" si="23"/>
        <v>-1.7999999999999995E-3</v>
      </c>
      <c r="DL33" s="6">
        <v>26</v>
      </c>
      <c r="DM33" s="6">
        <v>0</v>
      </c>
      <c r="DN33" s="1">
        <v>-5.66</v>
      </c>
      <c r="DO33" s="1">
        <v>7.73</v>
      </c>
      <c r="DP33" s="1">
        <v>-0.17</v>
      </c>
      <c r="DQ33" s="1">
        <v>0</v>
      </c>
      <c r="DR33" s="1">
        <v>0</v>
      </c>
      <c r="DS33" s="560">
        <v>-0.03</v>
      </c>
      <c r="DT33" s="22">
        <v>0.09</v>
      </c>
      <c r="DU33" s="22">
        <v>7.72</v>
      </c>
      <c r="DV33" s="564">
        <v>0.16950000000000001</v>
      </c>
      <c r="DW33" s="550">
        <v>-5.597375255116438E-2</v>
      </c>
      <c r="DX33" s="517">
        <v>7.9999999999993236E-3</v>
      </c>
      <c r="DY33" s="468">
        <v>-1.7999999999999995E-3</v>
      </c>
    </row>
    <row r="34" spans="1:129">
      <c r="A34">
        <f t="shared" si="0"/>
        <v>27</v>
      </c>
      <c r="B34" s="6">
        <v>0</v>
      </c>
      <c r="C34" s="1">
        <v>-5.66</v>
      </c>
      <c r="D34" s="1">
        <v>7.73</v>
      </c>
      <c r="E34" s="1">
        <v>0</v>
      </c>
      <c r="F34" s="1">
        <v>0.17</v>
      </c>
      <c r="G34" s="1">
        <v>0</v>
      </c>
      <c r="H34" s="41"/>
      <c r="I34" s="22"/>
      <c r="J34" s="22"/>
      <c r="K34" s="37"/>
      <c r="L34" s="14"/>
      <c r="M34" s="15"/>
      <c r="N34" s="22">
        <v>5.63</v>
      </c>
      <c r="O34" s="22">
        <v>-5.56</v>
      </c>
      <c r="P34" s="22">
        <v>7.78</v>
      </c>
      <c r="Q34" s="53">
        <v>0.16650000000000001</v>
      </c>
      <c r="R34" s="52"/>
      <c r="S34" s="62"/>
      <c r="T34" s="113"/>
      <c r="U34" s="105"/>
      <c r="V34" s="580">
        <f>N34-B34-offsetRot</f>
        <v>-0.12017520000000115</v>
      </c>
      <c r="W34" s="580">
        <f t="shared" ref="W34:W35" si="38">O34-C34</f>
        <v>0.10000000000000053</v>
      </c>
      <c r="X34" s="593">
        <f t="shared" si="15"/>
        <v>0.15633962611903734</v>
      </c>
      <c r="Y34" s="593">
        <f t="shared" si="16"/>
        <v>5.6721621048307663E-2</v>
      </c>
      <c r="Z34" s="594">
        <f t="shared" si="37"/>
        <v>4.9999999999999822E-2</v>
      </c>
      <c r="AA34" s="583"/>
      <c r="AC34" s="468">
        <f>ABS(Q34-ABS(F34))</f>
        <v>3.5000000000000031E-3</v>
      </c>
      <c r="CJ34" s="105"/>
      <c r="CK34" s="9">
        <v>-0.12017520000000115</v>
      </c>
      <c r="CL34" s="9">
        <f t="shared" si="17"/>
        <v>-0.10317520000000115</v>
      </c>
      <c r="CM34" s="9">
        <v>0.10000000000000053</v>
      </c>
      <c r="CN34" s="9">
        <f t="shared" si="18"/>
        <v>6.600000000000053E-2</v>
      </c>
      <c r="CO34" s="335">
        <f t="shared" si="19"/>
        <v>0.12247906717084478</v>
      </c>
      <c r="CP34" s="335">
        <f t="shared" si="20"/>
        <v>2.847906717084478E-2</v>
      </c>
      <c r="CQ34" s="9">
        <v>4.9999999999999822E-2</v>
      </c>
      <c r="CS34" s="6">
        <v>27</v>
      </c>
      <c r="CT34" s="6">
        <v>0</v>
      </c>
      <c r="CU34" s="1">
        <v>-5.66</v>
      </c>
      <c r="CV34" s="1">
        <v>7.73</v>
      </c>
      <c r="CW34" s="1">
        <v>0</v>
      </c>
      <c r="CX34" s="1">
        <v>0.17</v>
      </c>
      <c r="CY34" s="1">
        <v>0</v>
      </c>
      <c r="CZ34" s="560">
        <v>5.63</v>
      </c>
      <c r="DA34" s="22">
        <v>-5.56</v>
      </c>
      <c r="DB34" s="22">
        <v>7.78</v>
      </c>
      <c r="DC34" s="564">
        <v>0.16650000000000001</v>
      </c>
      <c r="DD34" s="186">
        <v>0.1166506317815737</v>
      </c>
      <c r="DE34" s="550">
        <v>2.2650631781573699E-2</v>
      </c>
      <c r="DF34">
        <f t="shared" si="21"/>
        <v>5.1305112010443653E-4</v>
      </c>
      <c r="DG34" s="548">
        <v>4.9999999999999822E-2</v>
      </c>
      <c r="DH34" s="517">
        <f t="shared" si="22"/>
        <v>6.7999999999999824E-2</v>
      </c>
      <c r="DI34" s="611">
        <v>3.5000000000000031E-3</v>
      </c>
      <c r="DJ34" s="468">
        <f t="shared" si="23"/>
        <v>1.2000000000000031E-3</v>
      </c>
      <c r="DL34" s="6">
        <v>27</v>
      </c>
      <c r="DM34" s="6">
        <v>0</v>
      </c>
      <c r="DN34" s="1">
        <v>-5.66</v>
      </c>
      <c r="DO34" s="1">
        <v>7.73</v>
      </c>
      <c r="DP34" s="1">
        <v>0</v>
      </c>
      <c r="DQ34" s="1">
        <v>0.17</v>
      </c>
      <c r="DR34" s="1">
        <v>0</v>
      </c>
      <c r="DS34" s="560">
        <v>5.63</v>
      </c>
      <c r="DT34" s="22">
        <v>-5.56</v>
      </c>
      <c r="DU34" s="22">
        <v>7.78</v>
      </c>
      <c r="DV34" s="564">
        <v>0.16650000000000001</v>
      </c>
      <c r="DW34" s="550">
        <v>2.2650631781573699E-2</v>
      </c>
      <c r="DX34" s="628">
        <v>6.7999999999999824E-2</v>
      </c>
      <c r="DY34" s="468">
        <v>1.2000000000000031E-3</v>
      </c>
    </row>
    <row r="35" spans="1:129">
      <c r="A35">
        <f t="shared" si="0"/>
        <v>28</v>
      </c>
      <c r="B35" s="6">
        <v>0</v>
      </c>
      <c r="C35" s="1">
        <v>-5.66</v>
      </c>
      <c r="D35" s="1">
        <v>7.73</v>
      </c>
      <c r="E35" s="1">
        <v>0</v>
      </c>
      <c r="F35" s="1">
        <v>-0.17</v>
      </c>
      <c r="G35" s="1">
        <v>0</v>
      </c>
      <c r="H35" s="41"/>
      <c r="I35" s="22"/>
      <c r="J35" s="22"/>
      <c r="K35" s="37"/>
      <c r="L35" s="14"/>
      <c r="M35" s="15"/>
      <c r="N35" s="22">
        <v>-5.72</v>
      </c>
      <c r="O35" s="22">
        <v>-5.55</v>
      </c>
      <c r="P35" s="22">
        <v>7.68</v>
      </c>
      <c r="Q35" s="53">
        <v>0.1706</v>
      </c>
      <c r="R35" s="52"/>
      <c r="S35" s="62"/>
      <c r="T35" s="113"/>
      <c r="U35" s="105"/>
      <c r="V35" s="580">
        <f>N35-B35+offsetRot</f>
        <v>3.017520000000129E-2</v>
      </c>
      <c r="W35" s="580">
        <f t="shared" si="38"/>
        <v>0.11000000000000032</v>
      </c>
      <c r="X35" s="593">
        <f t="shared" si="15"/>
        <v>0.11406376591643881</v>
      </c>
      <c r="Y35" s="593">
        <f t="shared" si="16"/>
        <v>1.444576084570913E-2</v>
      </c>
      <c r="Z35" s="594">
        <f t="shared" si="37"/>
        <v>-5.0000000000000711E-2</v>
      </c>
      <c r="AA35" s="583"/>
      <c r="AC35" s="468">
        <f>ABS(Q35-ABS(F35))</f>
        <v>5.9999999999998943E-4</v>
      </c>
      <c r="CJ35" s="105"/>
      <c r="CK35" s="9">
        <v>3.017520000000129E-2</v>
      </c>
      <c r="CL35" s="9">
        <f t="shared" si="17"/>
        <v>4.7175200000001291E-2</v>
      </c>
      <c r="CM35" s="9">
        <v>0.11000000000000032</v>
      </c>
      <c r="CN35" s="9">
        <f t="shared" si="18"/>
        <v>7.6000000000000317E-2</v>
      </c>
      <c r="CO35" s="335">
        <f t="shared" si="19"/>
        <v>8.9451101139338532E-2</v>
      </c>
      <c r="CP35" s="335">
        <f t="shared" si="20"/>
        <v>-4.5488988606614683E-3</v>
      </c>
      <c r="CQ35" s="9">
        <v>-5.0000000000000711E-2</v>
      </c>
      <c r="CS35" s="6">
        <v>28</v>
      </c>
      <c r="CT35" s="6">
        <v>0</v>
      </c>
      <c r="CU35" s="1">
        <v>-5.66</v>
      </c>
      <c r="CV35" s="1">
        <v>7.73</v>
      </c>
      <c r="CW35" s="1">
        <v>0</v>
      </c>
      <c r="CX35" s="1">
        <v>-0.17</v>
      </c>
      <c r="CY35" s="1">
        <v>0</v>
      </c>
      <c r="CZ35" s="560">
        <v>-5.72</v>
      </c>
      <c r="DA35" s="22">
        <v>-5.55</v>
      </c>
      <c r="DB35" s="22">
        <v>7.68</v>
      </c>
      <c r="DC35" s="564">
        <v>0.1706</v>
      </c>
      <c r="DD35" s="186">
        <v>8.9728766262777621E-2</v>
      </c>
      <c r="DE35" s="550">
        <v>-4.2712337372223796E-3</v>
      </c>
      <c r="DF35">
        <f t="shared" si="21"/>
        <v>1.8243437637986656E-5</v>
      </c>
      <c r="DG35" s="548">
        <v>-5.0000000000000711E-2</v>
      </c>
      <c r="DH35" s="517">
        <f t="shared" si="22"/>
        <v>-3.2000000000000708E-2</v>
      </c>
      <c r="DI35" s="611">
        <v>5.9999999999998943E-4</v>
      </c>
      <c r="DJ35" s="468">
        <f t="shared" si="23"/>
        <v>-1.7000000000000105E-3</v>
      </c>
      <c r="DL35" s="6">
        <v>28</v>
      </c>
      <c r="DM35" s="6">
        <v>0</v>
      </c>
      <c r="DN35" s="1">
        <v>-5.66</v>
      </c>
      <c r="DO35" s="1">
        <v>7.73</v>
      </c>
      <c r="DP35" s="1">
        <v>0</v>
      </c>
      <c r="DQ35" s="1">
        <v>-0.17</v>
      </c>
      <c r="DR35" s="1">
        <v>0</v>
      </c>
      <c r="DS35" s="560">
        <v>-5.72</v>
      </c>
      <c r="DT35" s="22">
        <v>-5.55</v>
      </c>
      <c r="DU35" s="22">
        <v>7.68</v>
      </c>
      <c r="DV35" s="564">
        <v>0.1706</v>
      </c>
      <c r="DW35" s="550">
        <v>-4.2712337372223796E-3</v>
      </c>
      <c r="DX35" s="517">
        <v>-3.2000000000000708E-2</v>
      </c>
      <c r="DY35" s="468">
        <v>-1.7000000000000105E-3</v>
      </c>
    </row>
    <row r="36" spans="1:129">
      <c r="A36" s="2" t="s">
        <v>28</v>
      </c>
      <c r="B36" s="2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42"/>
      <c r="I36" s="24"/>
      <c r="J36" s="24"/>
      <c r="K36" s="34"/>
      <c r="L36" s="35"/>
      <c r="M36" s="36"/>
      <c r="N36" s="24">
        <v>-0.05</v>
      </c>
      <c r="O36" s="24">
        <v>0.03</v>
      </c>
      <c r="P36" s="24">
        <v>-0.02</v>
      </c>
      <c r="Q36" s="54"/>
      <c r="R36" s="294"/>
      <c r="S36" s="73"/>
      <c r="T36" s="293"/>
      <c r="U36" s="108"/>
      <c r="V36" s="590"/>
      <c r="W36" s="590"/>
      <c r="X36" s="596"/>
      <c r="Y36" s="596"/>
      <c r="Z36" s="597"/>
      <c r="AA36" s="592"/>
      <c r="AB36" s="28"/>
      <c r="AC36" s="420"/>
      <c r="AG36" s="295" t="s">
        <v>29</v>
      </c>
      <c r="CJ36" s="108"/>
      <c r="CK36" s="120"/>
      <c r="CL36" s="120"/>
      <c r="CM36" s="120"/>
      <c r="CN36" s="120"/>
      <c r="CO36" s="247"/>
      <c r="CP36" s="247"/>
      <c r="CQ36" s="120">
        <v>-0.02</v>
      </c>
      <c r="CS36" s="2" t="s">
        <v>28</v>
      </c>
      <c r="CT36" s="2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62">
        <v>-0.05</v>
      </c>
      <c r="DA36" s="24">
        <v>0.03</v>
      </c>
      <c r="DB36" s="24">
        <v>-0.02</v>
      </c>
      <c r="DC36" s="563"/>
      <c r="DD36" s="247"/>
      <c r="DE36" s="551"/>
      <c r="DF36" s="551"/>
      <c r="DG36" s="549">
        <v>-0.02</v>
      </c>
      <c r="DH36" s="605"/>
      <c r="DI36" s="614"/>
      <c r="DJ36" s="468"/>
      <c r="DL36" s="2" t="s">
        <v>28</v>
      </c>
      <c r="DM36" s="2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62">
        <v>-0.05</v>
      </c>
      <c r="DT36" s="24">
        <v>0.03</v>
      </c>
      <c r="DU36" s="24">
        <v>-0.02</v>
      </c>
      <c r="DV36" s="563"/>
      <c r="DW36" s="620"/>
      <c r="DX36" s="597"/>
      <c r="DY36" s="544"/>
    </row>
    <row r="37" spans="1:129">
      <c r="A37">
        <f>A35+1</f>
        <v>29</v>
      </c>
      <c r="B37" s="6">
        <v>0</v>
      </c>
      <c r="C37" s="1">
        <v>-5.66</v>
      </c>
      <c r="D37" s="1">
        <v>-7.73</v>
      </c>
      <c r="E37" s="1">
        <v>0.17</v>
      </c>
      <c r="F37" s="1">
        <v>0</v>
      </c>
      <c r="G37" s="1">
        <v>0</v>
      </c>
      <c r="H37" s="41"/>
      <c r="I37" s="22"/>
      <c r="J37" s="22"/>
      <c r="K37" s="37"/>
      <c r="L37" s="14"/>
      <c r="M37" s="15"/>
      <c r="N37" s="22">
        <v>-0.04</v>
      </c>
      <c r="O37" s="22">
        <v>-11.22</v>
      </c>
      <c r="P37" s="22">
        <v>-7.82</v>
      </c>
      <c r="Q37" s="53">
        <v>0.17319999999999999</v>
      </c>
      <c r="R37" s="62"/>
      <c r="S37" s="114"/>
      <c r="T37" s="113"/>
      <c r="U37" s="105"/>
      <c r="V37" s="580">
        <f>N37-AVERAGE(offx1,offx2)-B37</f>
        <v>2.0000000000000004E-2</v>
      </c>
      <c r="W37" s="580">
        <f>O37+offsetRot-AVERAGE(offy1,offy2)-C37</f>
        <v>0.15017520000000051</v>
      </c>
      <c r="X37" s="593">
        <f>SQRT(V37*V37+W37*W37)</f>
        <v>0.15150112440190058</v>
      </c>
      <c r="Y37" s="593">
        <f>X37-averXY</f>
        <v>5.1883119331170902E-2</v>
      </c>
      <c r="Z37" s="594">
        <f>P37-D37</f>
        <v>-8.9999999999999858E-2</v>
      </c>
      <c r="AA37" s="583"/>
      <c r="AC37" s="468">
        <f>ABS(Q37-ABS(E37))</f>
        <v>3.1999999999999806E-3</v>
      </c>
      <c r="AG37" s="282" t="s">
        <v>30</v>
      </c>
      <c r="CJ37" s="105"/>
      <c r="CK37" s="9">
        <v>2.0000000000000004E-2</v>
      </c>
      <c r="CL37" s="9">
        <f t="shared" ref="CL37:CL40" si="39">CK37--0.017</f>
        <v>3.7000000000000005E-2</v>
      </c>
      <c r="CM37" s="9">
        <v>0.15017520000000051</v>
      </c>
      <c r="CN37" s="9">
        <f t="shared" ref="CN37:CN40" si="40">CM37-0.034</f>
        <v>0.11617520000000051</v>
      </c>
      <c r="CO37" s="535">
        <f t="shared" ref="CO37:CO40" si="41">SQRT(CL37*CL37+CN37*CN37)</f>
        <v>0.12192488300195378</v>
      </c>
      <c r="CP37" s="335">
        <f t="shared" ref="CP37:CP40" si="42">CO37-0.094</f>
        <v>2.7924883001953782E-2</v>
      </c>
      <c r="CQ37" s="9">
        <v>-8.9999999999999858E-2</v>
      </c>
      <c r="CS37" s="6">
        <v>29</v>
      </c>
      <c r="CT37" s="6">
        <v>0</v>
      </c>
      <c r="CU37" s="1">
        <v>-5.66</v>
      </c>
      <c r="CV37" s="1">
        <v>-7.73</v>
      </c>
      <c r="CW37" s="1">
        <v>0.17</v>
      </c>
      <c r="CX37" s="1">
        <v>0</v>
      </c>
      <c r="CY37" s="1">
        <v>0</v>
      </c>
      <c r="CZ37" s="560">
        <v>-0.04</v>
      </c>
      <c r="DA37" s="22">
        <v>-11.22</v>
      </c>
      <c r="DB37" s="22">
        <v>-7.82</v>
      </c>
      <c r="DC37" s="564">
        <v>0.17319999999999999</v>
      </c>
      <c r="DD37" s="554">
        <v>0.12726401649735927</v>
      </c>
      <c r="DE37" s="550">
        <v>3.3264016497359272E-2</v>
      </c>
      <c r="DF37">
        <f t="shared" ref="DF37:DF40" si="43">DE37*DE37</f>
        <v>1.1064947935365899E-3</v>
      </c>
      <c r="DG37" s="548">
        <v>-8.9999999999999858E-2</v>
      </c>
      <c r="DH37" s="517">
        <f t="shared" ref="DH37:DH40" si="44">DG37-(-0.018)</f>
        <v>-7.1999999999999856E-2</v>
      </c>
      <c r="DI37" s="611">
        <v>3.1999999999999806E-3</v>
      </c>
      <c r="DJ37" s="468">
        <f t="shared" ref="DJ37:DJ40" si="45">DI37-0.0023</f>
        <v>8.9999999999998068E-4</v>
      </c>
      <c r="DL37" s="6">
        <v>29</v>
      </c>
      <c r="DM37" s="6">
        <v>0</v>
      </c>
      <c r="DN37" s="1">
        <v>-5.66</v>
      </c>
      <c r="DO37" s="1">
        <v>-7.73</v>
      </c>
      <c r="DP37" s="1">
        <v>0.17</v>
      </c>
      <c r="DQ37" s="1">
        <v>0</v>
      </c>
      <c r="DR37" s="1">
        <v>0</v>
      </c>
      <c r="DS37" s="560">
        <v>-0.04</v>
      </c>
      <c r="DT37" s="22">
        <v>-11.22</v>
      </c>
      <c r="DU37" s="22">
        <v>-7.82</v>
      </c>
      <c r="DV37" s="564">
        <v>0.17319999999999999</v>
      </c>
      <c r="DW37" s="550">
        <v>3.3264016497359272E-2</v>
      </c>
      <c r="DX37" s="628">
        <v>-7.1999999999999856E-2</v>
      </c>
      <c r="DY37" s="468">
        <v>8.9999999999998068E-4</v>
      </c>
    </row>
    <row r="38" spans="1:129">
      <c r="A38">
        <f t="shared" si="0"/>
        <v>30</v>
      </c>
      <c r="B38" s="6">
        <v>0</v>
      </c>
      <c r="C38" s="1">
        <v>-5.66</v>
      </c>
      <c r="D38" s="1">
        <v>-7.73</v>
      </c>
      <c r="E38" s="1">
        <v>-0.17</v>
      </c>
      <c r="F38" s="1">
        <v>0</v>
      </c>
      <c r="G38" s="1">
        <v>0</v>
      </c>
      <c r="H38" s="41"/>
      <c r="I38" s="22"/>
      <c r="J38" s="22"/>
      <c r="K38" s="37"/>
      <c r="L38" s="14"/>
      <c r="M38" s="15"/>
      <c r="N38" s="22">
        <v>-0.04</v>
      </c>
      <c r="O38" s="22">
        <v>7.0000000000000007E-2</v>
      </c>
      <c r="P38" s="22">
        <v>-7.76</v>
      </c>
      <c r="Q38" s="53">
        <v>0.1736</v>
      </c>
      <c r="R38" s="62"/>
      <c r="S38" s="114"/>
      <c r="T38" s="113"/>
      <c r="U38" s="105"/>
      <c r="V38" s="580">
        <f>N38-AVERAGE(offx1,offx2)-B38</f>
        <v>2.0000000000000004E-2</v>
      </c>
      <c r="W38" s="580">
        <f>(O38-offsetRot-AVERAGE(offy1,offy2))-C38</f>
        <v>-6.017520000000065E-2</v>
      </c>
      <c r="X38" s="593">
        <f t="shared" ref="X38:X40" si="46">SQRT(V38*V38+W38*W38)</f>
        <v>6.341178672013649E-2</v>
      </c>
      <c r="Y38" s="593">
        <f>X38-averXY</f>
        <v>-3.6206218350593192E-2</v>
      </c>
      <c r="Z38" s="595">
        <f>P38-D38</f>
        <v>-2.9999999999999361E-2</v>
      </c>
      <c r="AA38" s="583"/>
      <c r="AC38" s="468">
        <f>ABS(Q38-ABS(E38))</f>
        <v>3.5999999999999921E-3</v>
      </c>
      <c r="AD38" s="84"/>
      <c r="AE38" s="39"/>
      <c r="CJ38" s="105"/>
      <c r="CK38" s="9">
        <v>2.0000000000000004E-2</v>
      </c>
      <c r="CL38" s="9">
        <f t="shared" si="39"/>
        <v>3.7000000000000005E-2</v>
      </c>
      <c r="CM38" s="9">
        <v>-6.017520000000065E-2</v>
      </c>
      <c r="CN38" s="9">
        <f t="shared" si="40"/>
        <v>-9.4175200000000653E-2</v>
      </c>
      <c r="CO38" s="335">
        <f t="shared" si="41"/>
        <v>0.10118284585363332</v>
      </c>
      <c r="CP38" s="335">
        <f t="shared" si="42"/>
        <v>7.182845853633324E-3</v>
      </c>
      <c r="CQ38" s="9">
        <v>-2.9999999999999361E-2</v>
      </c>
      <c r="CS38" s="6">
        <v>30</v>
      </c>
      <c r="CT38" s="6">
        <v>0</v>
      </c>
      <c r="CU38" s="1">
        <v>-5.66</v>
      </c>
      <c r="CV38" s="1">
        <v>-7.73</v>
      </c>
      <c r="CW38" s="1">
        <v>-0.17</v>
      </c>
      <c r="CX38" s="1">
        <v>0</v>
      </c>
      <c r="CY38" s="1">
        <v>0</v>
      </c>
      <c r="CZ38" s="560">
        <v>-0.04</v>
      </c>
      <c r="DA38" s="22">
        <v>7.0000000000000007E-2</v>
      </c>
      <c r="DB38" s="22">
        <v>-7.76</v>
      </c>
      <c r="DC38" s="564">
        <v>0.1736</v>
      </c>
      <c r="DD38" s="186">
        <v>9.2862885455062993E-2</v>
      </c>
      <c r="DE38" s="550">
        <v>-1.1371145449370068E-3</v>
      </c>
      <c r="DF38">
        <f t="shared" si="43"/>
        <v>1.2930294883072961E-6</v>
      </c>
      <c r="DG38" s="548">
        <v>-2.9999999999999361E-2</v>
      </c>
      <c r="DH38" s="517">
        <f t="shared" si="44"/>
        <v>-1.1999999999999362E-2</v>
      </c>
      <c r="DI38" s="611">
        <v>3.5999999999999921E-3</v>
      </c>
      <c r="DJ38" s="468">
        <f t="shared" si="45"/>
        <v>1.2999999999999921E-3</v>
      </c>
      <c r="DL38" s="6">
        <v>30</v>
      </c>
      <c r="DM38" s="6">
        <v>0</v>
      </c>
      <c r="DN38" s="1">
        <v>-5.66</v>
      </c>
      <c r="DO38" s="1">
        <v>-7.73</v>
      </c>
      <c r="DP38" s="1">
        <v>-0.17</v>
      </c>
      <c r="DQ38" s="1">
        <v>0</v>
      </c>
      <c r="DR38" s="1">
        <v>0</v>
      </c>
      <c r="DS38" s="560">
        <v>-0.04</v>
      </c>
      <c r="DT38" s="22">
        <v>7.0000000000000007E-2</v>
      </c>
      <c r="DU38" s="22">
        <v>-7.76</v>
      </c>
      <c r="DV38" s="564">
        <v>0.1736</v>
      </c>
      <c r="DW38" s="550">
        <v>-1.1371145449370068E-3</v>
      </c>
      <c r="DX38" s="517">
        <v>-1.1999999999999362E-2</v>
      </c>
      <c r="DY38" s="468">
        <v>1.2999999999999921E-3</v>
      </c>
    </row>
    <row r="39" spans="1:129">
      <c r="A39">
        <f t="shared" si="0"/>
        <v>31</v>
      </c>
      <c r="B39" s="6">
        <v>0</v>
      </c>
      <c r="C39" s="1">
        <v>-5.66</v>
      </c>
      <c r="D39" s="1">
        <v>-7.73</v>
      </c>
      <c r="E39" s="1">
        <v>0</v>
      </c>
      <c r="F39" s="1">
        <v>0.17</v>
      </c>
      <c r="G39" s="1">
        <v>0</v>
      </c>
      <c r="H39" s="41"/>
      <c r="I39" s="22"/>
      <c r="J39" s="22"/>
      <c r="K39" s="37"/>
      <c r="L39" s="14"/>
      <c r="M39" s="15"/>
      <c r="N39" s="22">
        <v>5.59</v>
      </c>
      <c r="O39" s="22">
        <v>-5.58</v>
      </c>
      <c r="P39" s="22">
        <v>-7.8</v>
      </c>
      <c r="Q39" s="53">
        <v>0.1671</v>
      </c>
      <c r="R39" s="52"/>
      <c r="S39" s="62"/>
      <c r="T39" s="113"/>
      <c r="U39" s="105"/>
      <c r="V39" s="580">
        <f>N39-offsetRot-AVERAGE(offx1,offx2)-B39</f>
        <v>-0.10017520000000119</v>
      </c>
      <c r="W39" s="580">
        <f>O39-AVERAGE(offy1,offy2)-C39</f>
        <v>4.0000000000000036E-2</v>
      </c>
      <c r="X39" s="593">
        <f t="shared" si="46"/>
        <v>0.10786598488420823</v>
      </c>
      <c r="Y39" s="593">
        <f>X39-averXY</f>
        <v>8.2479798134785509E-3</v>
      </c>
      <c r="Z39" s="594">
        <f t="shared" ref="Z39:Z40" si="47">P39-D39</f>
        <v>-6.9999999999999396E-2</v>
      </c>
      <c r="AA39" s="583"/>
      <c r="AC39" s="468">
        <f>ABS(Q39-ABS(F39))</f>
        <v>2.9000000000000137E-3</v>
      </c>
      <c r="AD39" s="84"/>
      <c r="AE39" s="39"/>
      <c r="CJ39" s="105"/>
      <c r="CK39" s="9">
        <v>-0.10017520000000119</v>
      </c>
      <c r="CL39" s="9">
        <f t="shared" si="39"/>
        <v>-8.3175200000001184E-2</v>
      </c>
      <c r="CM39" s="9">
        <v>4.0000000000000036E-2</v>
      </c>
      <c r="CN39" s="9">
        <f t="shared" si="40"/>
        <v>6.0000000000000331E-3</v>
      </c>
      <c r="CO39" s="335">
        <f t="shared" si="41"/>
        <v>8.3391329855328475E-2</v>
      </c>
      <c r="CP39" s="335">
        <f t="shared" si="42"/>
        <v>-1.0608670144671525E-2</v>
      </c>
      <c r="CQ39" s="9">
        <v>-6.9999999999999396E-2</v>
      </c>
      <c r="CS39" s="6">
        <v>31</v>
      </c>
      <c r="CT39" s="6">
        <v>0</v>
      </c>
      <c r="CU39" s="1">
        <v>-5.66</v>
      </c>
      <c r="CV39" s="1">
        <v>-7.73</v>
      </c>
      <c r="CW39" s="1">
        <v>0</v>
      </c>
      <c r="CX39" s="1">
        <v>0.17</v>
      </c>
      <c r="CY39" s="1">
        <v>0</v>
      </c>
      <c r="CZ39" s="560">
        <v>5.59</v>
      </c>
      <c r="DA39" s="22">
        <v>-5.58</v>
      </c>
      <c r="DB39" s="22">
        <v>-7.8</v>
      </c>
      <c r="DC39" s="564">
        <v>0.1671</v>
      </c>
      <c r="DD39" s="186">
        <v>9.8101304247396298E-2</v>
      </c>
      <c r="DE39" s="550">
        <v>4.101304247396298E-3</v>
      </c>
      <c r="DF39">
        <f t="shared" si="43"/>
        <v>1.6820696529710914E-5</v>
      </c>
      <c r="DG39" s="548">
        <v>-6.9999999999999396E-2</v>
      </c>
      <c r="DH39" s="517">
        <f t="shared" si="44"/>
        <v>-5.1999999999999394E-2</v>
      </c>
      <c r="DI39" s="611">
        <v>2.9000000000000137E-3</v>
      </c>
      <c r="DJ39" s="468">
        <f t="shared" si="45"/>
        <v>6.0000000000001372E-4</v>
      </c>
      <c r="DL39" s="6">
        <v>31</v>
      </c>
      <c r="DM39" s="6">
        <v>0</v>
      </c>
      <c r="DN39" s="1">
        <v>-5.66</v>
      </c>
      <c r="DO39" s="1">
        <v>-7.73</v>
      </c>
      <c r="DP39" s="1">
        <v>0</v>
      </c>
      <c r="DQ39" s="1">
        <v>0.17</v>
      </c>
      <c r="DR39" s="1">
        <v>0</v>
      </c>
      <c r="DS39" s="560">
        <v>5.59</v>
      </c>
      <c r="DT39" s="22">
        <v>-5.58</v>
      </c>
      <c r="DU39" s="22">
        <v>-7.8</v>
      </c>
      <c r="DV39" s="564">
        <v>0.1671</v>
      </c>
      <c r="DW39" s="550">
        <v>4.101304247396298E-3</v>
      </c>
      <c r="DX39" s="628">
        <v>-5.1999999999999394E-2</v>
      </c>
      <c r="DY39" s="468">
        <v>6.0000000000001372E-4</v>
      </c>
    </row>
    <row r="40" spans="1:129">
      <c r="A40">
        <f t="shared" si="0"/>
        <v>32</v>
      </c>
      <c r="B40" s="6">
        <v>0</v>
      </c>
      <c r="C40" s="1">
        <v>-5.66</v>
      </c>
      <c r="D40" s="1">
        <v>-7.73</v>
      </c>
      <c r="E40" s="1">
        <v>0</v>
      </c>
      <c r="F40" s="1">
        <v>-0.17</v>
      </c>
      <c r="G40" s="1">
        <v>0</v>
      </c>
      <c r="H40" s="41"/>
      <c r="I40" s="22"/>
      <c r="J40" s="22"/>
      <c r="K40" s="37"/>
      <c r="L40" s="14"/>
      <c r="M40" s="15"/>
      <c r="N40" s="22">
        <v>-5.71</v>
      </c>
      <c r="O40" s="22">
        <v>-5.57</v>
      </c>
      <c r="P40" s="22">
        <v>-7.79</v>
      </c>
      <c r="Q40" s="53">
        <v>0.1704</v>
      </c>
      <c r="R40" s="52"/>
      <c r="S40" s="62"/>
      <c r="T40" s="113"/>
      <c r="U40" s="105"/>
      <c r="V40" s="580">
        <f>N40+offsetRot-AVERAGE(offx1,offx2)-B40</f>
        <v>0.10017520000000107</v>
      </c>
      <c r="W40" s="580">
        <f>O40-AVERAGE(offy1,offy2)-C40</f>
        <v>4.9999999999999822E-2</v>
      </c>
      <c r="X40" s="593">
        <f t="shared" si="46"/>
        <v>0.11196012993490226</v>
      </c>
      <c r="Y40" s="593">
        <f>X40-averXY</f>
        <v>1.2342124864172577E-2</v>
      </c>
      <c r="Z40" s="594">
        <f t="shared" si="47"/>
        <v>-5.9999999999999609E-2</v>
      </c>
      <c r="AA40" s="583"/>
      <c r="AC40" s="468">
        <f>ABS(Q40-ABS(F40))</f>
        <v>3.999999999999837E-4</v>
      </c>
      <c r="AD40" s="84"/>
      <c r="AE40" s="39"/>
      <c r="CJ40" s="105"/>
      <c r="CK40" s="9">
        <v>0.10017520000000107</v>
      </c>
      <c r="CL40" s="9">
        <f t="shared" si="39"/>
        <v>0.11717520000000108</v>
      </c>
      <c r="CM40" s="9">
        <v>4.9999999999999822E-2</v>
      </c>
      <c r="CN40" s="9">
        <f t="shared" si="40"/>
        <v>1.599999999999982E-2</v>
      </c>
      <c r="CO40" s="335">
        <f t="shared" si="41"/>
        <v>0.11826253631239374</v>
      </c>
      <c r="CP40" s="335">
        <f t="shared" si="42"/>
        <v>2.4262536312393737E-2</v>
      </c>
      <c r="CQ40" s="9">
        <v>-5.9999999999999609E-2</v>
      </c>
      <c r="CS40" s="6">
        <v>32</v>
      </c>
      <c r="CT40" s="6">
        <v>0</v>
      </c>
      <c r="CU40" s="1">
        <v>-5.66</v>
      </c>
      <c r="CV40" s="1">
        <v>-7.73</v>
      </c>
      <c r="CW40" s="1">
        <v>0</v>
      </c>
      <c r="CX40" s="1">
        <v>-0.17</v>
      </c>
      <c r="CY40" s="1">
        <v>0</v>
      </c>
      <c r="CZ40" s="560">
        <v>-5.71</v>
      </c>
      <c r="DA40" s="22">
        <v>-5.57</v>
      </c>
      <c r="DB40" s="22">
        <v>-7.79</v>
      </c>
      <c r="DC40" s="564">
        <v>0.1704</v>
      </c>
      <c r="DD40" s="186">
        <v>5.4380469794219469E-2</v>
      </c>
      <c r="DE40" s="550">
        <v>-3.9619530205780532E-2</v>
      </c>
      <c r="DF40">
        <f t="shared" si="43"/>
        <v>1.5697071737267559E-3</v>
      </c>
      <c r="DG40" s="548">
        <v>-5.9999999999999609E-2</v>
      </c>
      <c r="DH40" s="517">
        <f t="shared" si="44"/>
        <v>-4.1999999999999607E-2</v>
      </c>
      <c r="DI40" s="611">
        <v>3.999999999999837E-4</v>
      </c>
      <c r="DJ40" s="468">
        <f t="shared" si="45"/>
        <v>-1.9000000000000163E-3</v>
      </c>
      <c r="DL40" s="6">
        <v>32</v>
      </c>
      <c r="DM40" s="6">
        <v>0</v>
      </c>
      <c r="DN40" s="1">
        <v>-5.66</v>
      </c>
      <c r="DO40" s="1">
        <v>-7.73</v>
      </c>
      <c r="DP40" s="1">
        <v>0</v>
      </c>
      <c r="DQ40" s="1">
        <v>-0.17</v>
      </c>
      <c r="DR40" s="1">
        <v>0</v>
      </c>
      <c r="DS40" s="560">
        <v>-5.71</v>
      </c>
      <c r="DT40" s="22">
        <v>-5.57</v>
      </c>
      <c r="DU40" s="22">
        <v>-7.79</v>
      </c>
      <c r="DV40" s="564">
        <v>0.1704</v>
      </c>
      <c r="DW40" s="550">
        <v>-3.9619530205780532E-2</v>
      </c>
      <c r="DX40" s="628">
        <v>-4.1999999999999607E-2</v>
      </c>
      <c r="DY40" s="468">
        <v>-1.9000000000000163E-3</v>
      </c>
    </row>
    <row r="41" spans="1:129">
      <c r="A41" s="10" t="s">
        <v>24</v>
      </c>
      <c r="B41" s="10">
        <v>0</v>
      </c>
      <c r="C41" s="208">
        <v>0</v>
      </c>
      <c r="D41" s="208">
        <v>0</v>
      </c>
      <c r="E41" s="208">
        <v>0</v>
      </c>
      <c r="F41" s="208">
        <v>0</v>
      </c>
      <c r="G41" s="11">
        <v>0</v>
      </c>
      <c r="H41" s="236"/>
      <c r="I41" s="21"/>
      <c r="J41" s="21"/>
      <c r="K41" s="237"/>
      <c r="L41" s="238"/>
      <c r="M41" s="239"/>
      <c r="N41" s="21">
        <v>-7.0000000000000007E-2</v>
      </c>
      <c r="O41" s="21">
        <v>0.05</v>
      </c>
      <c r="P41" s="21">
        <v>-0.03</v>
      </c>
      <c r="Q41" s="240">
        <v>1.1000000000000001E-3</v>
      </c>
      <c r="R41" s="21"/>
      <c r="S41" s="199"/>
      <c r="T41" s="201"/>
      <c r="V41" s="536"/>
      <c r="W41" s="536"/>
      <c r="X41" s="536"/>
      <c r="Y41" s="536"/>
      <c r="Z41" s="536"/>
      <c r="AA41" s="583"/>
      <c r="AG41" s="179"/>
      <c r="AH41" s="39"/>
      <c r="AI41" s="1"/>
      <c r="AJ41" s="1"/>
      <c r="CJ41" s="327" t="s">
        <v>102</v>
      </c>
      <c r="CK41" s="326">
        <f>AVERAGE(CK37:CK40,CK16:CK35,CK7:CK14)</f>
        <v>-1.3787062068965478E-2</v>
      </c>
      <c r="CL41" s="326"/>
      <c r="CM41" s="326">
        <f>AVERAGE(CM37:CM40,CM16:CM35,CM7:CM14)</f>
        <v>2.7307024999999929E-2</v>
      </c>
      <c r="CN41" s="326"/>
      <c r="CO41" s="207">
        <f>AVERAGE(CO37:CO40,CO16:CO35,CO7:CO14)</f>
        <v>8.830958958449743E-2</v>
      </c>
      <c r="CP41" s="207">
        <f>AVERAGE(CP37:CP40,CP16:CP35,CP7:CP14)</f>
        <v>1.0270631967000513E-2</v>
      </c>
      <c r="CQ41" s="326" t="s">
        <v>7</v>
      </c>
      <c r="CS41" s="2" t="s">
        <v>24</v>
      </c>
      <c r="CT41" s="2">
        <v>0</v>
      </c>
      <c r="CU41" s="5">
        <v>0</v>
      </c>
      <c r="CV41" s="5">
        <v>0</v>
      </c>
      <c r="CW41" s="5">
        <v>0</v>
      </c>
      <c r="CX41" s="5">
        <v>0</v>
      </c>
      <c r="CY41" s="3">
        <v>0</v>
      </c>
      <c r="CZ41" s="562">
        <v>-7.0000000000000007E-2</v>
      </c>
      <c r="DA41" s="24">
        <v>0.05</v>
      </c>
      <c r="DB41" s="24">
        <v>-0.03</v>
      </c>
      <c r="DC41" s="563">
        <v>1.1000000000000001E-3</v>
      </c>
      <c r="DJ41" s="27"/>
      <c r="DL41" s="2" t="s">
        <v>24</v>
      </c>
      <c r="DM41" s="2">
        <v>0</v>
      </c>
      <c r="DN41" s="5">
        <v>0</v>
      </c>
      <c r="DO41" s="5">
        <v>0</v>
      </c>
      <c r="DP41" s="5">
        <v>0</v>
      </c>
      <c r="DQ41" s="5">
        <v>0</v>
      </c>
      <c r="DR41" s="3">
        <v>0</v>
      </c>
      <c r="DS41" s="562">
        <v>-7.0000000000000007E-2</v>
      </c>
      <c r="DT41" s="24">
        <v>0.05</v>
      </c>
      <c r="DU41" s="24">
        <v>-0.03</v>
      </c>
      <c r="DV41" s="563">
        <v>1.1000000000000001E-3</v>
      </c>
      <c r="DW41" s="2"/>
      <c r="DX41" s="3"/>
      <c r="DY41" s="4"/>
    </row>
    <row r="42" spans="1:129">
      <c r="A42" s="10"/>
      <c r="B42" s="11"/>
      <c r="C42" s="208"/>
      <c r="D42" s="208"/>
      <c r="E42" s="208"/>
      <c r="F42" s="208"/>
      <c r="G42" s="11"/>
      <c r="H42" s="21"/>
      <c r="I42" s="21"/>
      <c r="J42" s="21"/>
      <c r="K42" s="238"/>
      <c r="L42" s="238"/>
      <c r="M42" s="238"/>
      <c r="N42" s="21"/>
      <c r="O42" s="21"/>
      <c r="P42" s="21"/>
      <c r="Q42" s="21"/>
      <c r="R42" s="21"/>
      <c r="S42" s="199"/>
      <c r="T42" s="201"/>
      <c r="U42" s="327" t="s">
        <v>102</v>
      </c>
      <c r="V42" s="552">
        <f>AVERAGE(V8:V14,V16:V35,V37:V40)</f>
        <v>-1.7419354838709714E-2</v>
      </c>
      <c r="W42" s="552">
        <f>AVERAGE(W8:W14,W16:W35,W37:W40)</f>
        <v>3.1284670967741908E-2</v>
      </c>
      <c r="X42" s="552">
        <f>AVERAGE(X8:X14,X16:X35,X37:X40)</f>
        <v>9.9618005070729682E-2</v>
      </c>
      <c r="Y42" s="552">
        <f>AVERAGE(Y8:Y14,Y16:Y35,Y37:Y40)</f>
        <v>-2.4174211020063893E-17</v>
      </c>
      <c r="Z42" s="540">
        <f>AVERAGE(Z8:Z14,Z16:Z35,Z37:Z40)</f>
        <v>-1.7096774193548367E-2</v>
      </c>
      <c r="AA42" s="574" t="s">
        <v>7</v>
      </c>
      <c r="AB42" s="477"/>
      <c r="AC42" s="566">
        <f>AVERAGE(AC7:AC40)</f>
        <v>2.2812499999999934E-3</v>
      </c>
      <c r="AD42" s="575"/>
      <c r="AE42" s="574"/>
      <c r="AF42" s="508"/>
      <c r="AG42" s="39"/>
      <c r="AH42" s="39"/>
      <c r="AI42" s="1"/>
      <c r="AJ42" s="1"/>
      <c r="CJ42" s="328" t="s">
        <v>103</v>
      </c>
      <c r="CK42" s="216">
        <f>STDEV(CK37:CK40,CK16:CK35,CK7:CK14)</f>
        <v>6.5605841173766957E-2</v>
      </c>
      <c r="CL42" s="216"/>
      <c r="CM42" s="216">
        <f>STDEV(CM37:CM40,CM16:CM35,CM7:CM14)</f>
        <v>7.8962436959154739E-2</v>
      </c>
      <c r="CN42" s="216"/>
      <c r="CO42" s="156">
        <f>STDEV(CO37:CO40,CO16:CO35,CO7:CO14)</f>
        <v>4.5400995563764375E-2</v>
      </c>
      <c r="CP42" s="156">
        <f>STDEV(CP37:CP40,CP16:CP35,CP7:CP14)</f>
        <v>3.8073594231519889E-2</v>
      </c>
      <c r="CQ42" s="298" t="s">
        <v>7</v>
      </c>
      <c r="CS42" s="10" t="s">
        <v>102</v>
      </c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207">
        <v>9.4045006951584686E-2</v>
      </c>
      <c r="DE42" s="599">
        <v>4.5006951584700139E-5</v>
      </c>
      <c r="DF42" s="599"/>
      <c r="DG42" s="600">
        <v>-1.7878787878787862E-2</v>
      </c>
      <c r="DH42" s="606">
        <f>AVERAGE(DH37:DH40,DH16:DH35,DH7:DH14)</f>
        <v>-2.4033187303445407E-4</v>
      </c>
      <c r="DI42" s="566">
        <v>2.2812499999999934E-3</v>
      </c>
      <c r="DJ42" s="616">
        <f>AVERAGE(DJ37:DJ40,DJ16:DJ35,DJ7:DJ14)</f>
        <v>-5.8437500000000698E-4</v>
      </c>
      <c r="DL42" s="10" t="s">
        <v>102</v>
      </c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618">
        <v>4.5006951584700139E-5</v>
      </c>
      <c r="DX42" s="619">
        <v>1.8750000000001762E-4</v>
      </c>
      <c r="DY42" s="616">
        <v>-1.8750000000006609E-5</v>
      </c>
    </row>
    <row r="43" spans="1:129">
      <c r="A43" s="12"/>
      <c r="B43" s="13"/>
      <c r="C43" s="212"/>
      <c r="D43" s="212"/>
      <c r="E43" s="212"/>
      <c r="F43" s="212"/>
      <c r="G43" s="13"/>
      <c r="H43" s="273"/>
      <c r="I43" s="273"/>
      <c r="J43" s="273"/>
      <c r="K43" s="274"/>
      <c r="L43" s="274"/>
      <c r="M43" s="274"/>
      <c r="N43" s="273"/>
      <c r="O43" s="273"/>
      <c r="P43" s="273"/>
      <c r="Q43" s="273"/>
      <c r="R43" s="273"/>
      <c r="S43" s="204"/>
      <c r="T43" s="206"/>
      <c r="U43" s="570" t="s">
        <v>103</v>
      </c>
      <c r="V43" s="576">
        <f>STDEV(V8:V14,V16:V35,V37:V40)</f>
        <v>6.6197576870995298E-2</v>
      </c>
      <c r="W43" s="576">
        <f>STDEV(W8:W14,W16:W35,W37:W40)</f>
        <v>7.751803976306558E-2</v>
      </c>
      <c r="X43" s="577">
        <f>STDEV(X8:X14,X16:X35,X37:X40)</f>
        <v>3.8229969301503082E-2</v>
      </c>
      <c r="Y43" s="577">
        <f>STDEV(Y8:Y14,Y16:Y35,Y37:Y40)</f>
        <v>3.8229969301503179E-2</v>
      </c>
      <c r="Z43" s="571">
        <f>STDEV(Z8:Z14,Z16:Z35,Z37:Z40)</f>
        <v>3.3485673392969623E-2</v>
      </c>
      <c r="AA43" s="380" t="s">
        <v>7</v>
      </c>
      <c r="AB43" s="572"/>
      <c r="AC43" s="573">
        <f>STDEV(AC7:AC40)</f>
        <v>1.5478262593173224E-3</v>
      </c>
      <c r="AD43" s="578"/>
      <c r="AE43" s="380"/>
      <c r="AF43" s="579"/>
      <c r="AG43" s="39"/>
      <c r="AH43" s="39"/>
      <c r="AI43" s="1"/>
      <c r="AJ43" s="1"/>
      <c r="AT43" s="451" t="s">
        <v>252</v>
      </c>
      <c r="AU43" s="3"/>
      <c r="AV43" s="441"/>
      <c r="AW43" s="441"/>
      <c r="AX43" s="441"/>
      <c r="AY43" s="441"/>
      <c r="AZ43" s="309"/>
      <c r="BA43" s="3"/>
      <c r="BB43" s="3"/>
      <c r="BC43" s="3"/>
      <c r="BD43" s="3"/>
      <c r="BE43" s="3"/>
      <c r="BF43" s="3"/>
      <c r="BG43" s="3"/>
      <c r="BH43" s="3"/>
      <c r="BI43" s="3"/>
      <c r="BJ43" s="4"/>
      <c r="BQ43" s="10" t="s">
        <v>291</v>
      </c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86"/>
      <c r="CS43" s="12" t="s">
        <v>310</v>
      </c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81">
        <v>2.9303076795697155E-2</v>
      </c>
      <c r="DE43" s="555">
        <v>2.9303076795697085E-2</v>
      </c>
      <c r="DF43" s="555"/>
      <c r="DG43" s="556">
        <v>3.2668560551160498E-2</v>
      </c>
      <c r="DH43" s="607">
        <f>STDEV(DH38:DH41,DH17:DH36,DH8:DH15)</f>
        <v>3.1516982676714531E-2</v>
      </c>
      <c r="DI43" s="573">
        <v>1.5478262593173224E-3</v>
      </c>
      <c r="DJ43" s="617">
        <f>STDEV(DJ38:DJ41,DJ17:DJ36,DJ8:DJ15)</f>
        <v>1.6852153390342298E-3</v>
      </c>
      <c r="DL43" s="12" t="s">
        <v>310</v>
      </c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555">
        <v>2.9303076795697085E-2</v>
      </c>
      <c r="DX43" s="607">
        <v>3.1329332798450196E-2</v>
      </c>
      <c r="DY43" s="617">
        <v>1.6081534862904035E-3</v>
      </c>
    </row>
    <row r="44" spans="1:129">
      <c r="A44" s="10"/>
      <c r="B44" s="427" t="s">
        <v>75</v>
      </c>
      <c r="C44" s="428"/>
      <c r="D44" s="428"/>
      <c r="E44" s="428"/>
      <c r="F44" s="428"/>
      <c r="G44" s="427"/>
      <c r="H44" s="21" t="s">
        <v>248</v>
      </c>
      <c r="I44" s="21"/>
      <c r="J44" s="21"/>
      <c r="K44" s="238"/>
      <c r="L44" s="238"/>
      <c r="M44" s="238"/>
      <c r="N44" s="21" t="s">
        <v>244</v>
      </c>
      <c r="O44" s="21"/>
      <c r="P44" s="429"/>
      <c r="Q44" s="509"/>
      <c r="R44" s="21"/>
      <c r="S44" s="199"/>
      <c r="T44" s="199"/>
      <c r="U44" s="3"/>
      <c r="V44" s="120"/>
      <c r="W44" s="120"/>
      <c r="X44" s="120"/>
      <c r="Y44" s="120"/>
      <c r="Z44" s="120"/>
      <c r="AA44" s="567"/>
      <c r="AB44" s="161"/>
      <c r="AC44" s="420" t="s">
        <v>246</v>
      </c>
      <c r="AD44" s="208"/>
      <c r="AE44" s="207"/>
      <c r="AF44" s="568"/>
      <c r="AG44" s="71"/>
      <c r="AH44" s="39"/>
      <c r="AI44" s="147"/>
      <c r="AJ44" s="147"/>
      <c r="AK44" s="39"/>
      <c r="AL44" s="39"/>
      <c r="AM44" s="39"/>
      <c r="AN44" s="39"/>
      <c r="AO44" s="1"/>
      <c r="AP44" s="1"/>
      <c r="AQ44" s="1"/>
      <c r="AR44" s="1"/>
      <c r="AS44" s="1"/>
      <c r="AT44" s="452">
        <v>44203</v>
      </c>
      <c r="AU44" s="427" t="s">
        <v>249</v>
      </c>
      <c r="AV44" s="428"/>
      <c r="AW44" s="428"/>
      <c r="AX44" s="428"/>
      <c r="AY44" s="428"/>
      <c r="AZ44" s="427"/>
      <c r="BA44" s="445"/>
      <c r="BB44" s="445" t="s">
        <v>248</v>
      </c>
      <c r="BC44" s="445"/>
      <c r="BD44" s="446"/>
      <c r="BE44" s="446"/>
      <c r="BF44" s="446"/>
      <c r="BG44" s="445" t="s">
        <v>251</v>
      </c>
      <c r="BH44" s="445"/>
      <c r="BI44" s="447"/>
      <c r="BJ44" s="453" t="s">
        <v>246</v>
      </c>
      <c r="BQ44" s="452">
        <v>44203</v>
      </c>
      <c r="BR44" s="531" t="s">
        <v>288</v>
      </c>
      <c r="BS44" s="524"/>
      <c r="BT44" s="524"/>
      <c r="BU44" s="524"/>
      <c r="BV44" s="524"/>
      <c r="BW44" s="523"/>
      <c r="BX44" s="525" t="s">
        <v>289</v>
      </c>
      <c r="BY44" s="11"/>
      <c r="BZ44" s="525"/>
      <c r="CA44" s="526"/>
      <c r="CB44" s="526"/>
      <c r="CC44" s="526"/>
      <c r="CD44" s="525" t="s">
        <v>290</v>
      </c>
      <c r="CE44" s="525"/>
      <c r="CF44" s="527"/>
      <c r="CG44" s="528" t="s">
        <v>246</v>
      </c>
      <c r="CS44" s="179" t="s">
        <v>312</v>
      </c>
      <c r="DF44">
        <f>SUM(DF7:DF14,DF16:DF35,DF37:DF40)</f>
        <v>0.10007534398424925</v>
      </c>
    </row>
    <row r="45" spans="1:129">
      <c r="A45" s="421" t="s">
        <v>292</v>
      </c>
      <c r="B45" s="92" t="s">
        <v>0</v>
      </c>
      <c r="C45" s="93" t="s">
        <v>1</v>
      </c>
      <c r="D45" s="93" t="s">
        <v>2</v>
      </c>
      <c r="E45" s="93" t="s">
        <v>3</v>
      </c>
      <c r="F45" s="93" t="s">
        <v>4</v>
      </c>
      <c r="G45" s="93" t="s">
        <v>5</v>
      </c>
      <c r="H45" s="423">
        <v>1</v>
      </c>
      <c r="I45" s="424">
        <v>2</v>
      </c>
      <c r="J45" s="424">
        <v>3</v>
      </c>
      <c r="K45" s="424">
        <v>4</v>
      </c>
      <c r="L45" s="424">
        <v>5</v>
      </c>
      <c r="M45" s="425">
        <v>6</v>
      </c>
      <c r="N45" s="99" t="s">
        <v>0</v>
      </c>
      <c r="O45" s="99" t="s">
        <v>1</v>
      </c>
      <c r="P45" s="101" t="s">
        <v>2</v>
      </c>
      <c r="Q45" s="569" t="s">
        <v>106</v>
      </c>
      <c r="R45" s="24"/>
      <c r="S45" s="300"/>
      <c r="T45" s="25"/>
      <c r="U45" s="108"/>
      <c r="V45" s="120"/>
      <c r="W45" s="120"/>
      <c r="X45" s="120"/>
      <c r="Y45" s="120"/>
      <c r="Z45" s="120"/>
      <c r="AA45" s="245"/>
      <c r="AB45" s="336"/>
      <c r="AC45" s="419" t="s">
        <v>2</v>
      </c>
      <c r="AD45" s="309"/>
      <c r="AE45" s="309"/>
      <c r="AF45" s="337"/>
      <c r="AG45" s="1"/>
      <c r="AH45" s="1"/>
      <c r="AI45" s="1"/>
      <c r="AJ45" s="1"/>
      <c r="AT45" s="450" t="s">
        <v>292</v>
      </c>
      <c r="AU45" s="443" t="s">
        <v>0</v>
      </c>
      <c r="AV45" s="443" t="s">
        <v>1</v>
      </c>
      <c r="AW45" s="449" t="s">
        <v>2</v>
      </c>
      <c r="AX45" s="443" t="s">
        <v>3</v>
      </c>
      <c r="AY45" s="443" t="s">
        <v>4</v>
      </c>
      <c r="AZ45" s="444" t="s">
        <v>5</v>
      </c>
      <c r="BA45" s="424">
        <v>1</v>
      </c>
      <c r="BB45" s="424">
        <v>2</v>
      </c>
      <c r="BC45" s="424">
        <v>3</v>
      </c>
      <c r="BD45" s="424">
        <v>4</v>
      </c>
      <c r="BE45" s="424">
        <v>5</v>
      </c>
      <c r="BF45" s="425">
        <v>6</v>
      </c>
      <c r="BG45" s="99" t="s">
        <v>0</v>
      </c>
      <c r="BH45" s="99" t="s">
        <v>1</v>
      </c>
      <c r="BI45" s="101" t="s">
        <v>2</v>
      </c>
      <c r="BJ45" s="419" t="s">
        <v>2</v>
      </c>
      <c r="BQ45" s="450" t="s">
        <v>292</v>
      </c>
      <c r="BR45" s="442" t="s">
        <v>0</v>
      </c>
      <c r="BS45" s="443" t="s">
        <v>1</v>
      </c>
      <c r="BT45" s="449" t="s">
        <v>2</v>
      </c>
      <c r="BU45" s="443" t="s">
        <v>3</v>
      </c>
      <c r="BV45" s="443" t="s">
        <v>4</v>
      </c>
      <c r="BW45" s="444" t="s">
        <v>5</v>
      </c>
      <c r="BX45" s="424">
        <v>1</v>
      </c>
      <c r="BY45" s="424">
        <v>2</v>
      </c>
      <c r="BZ45" s="424">
        <v>3</v>
      </c>
      <c r="CA45" s="424">
        <v>4</v>
      </c>
      <c r="CB45" s="424">
        <v>5</v>
      </c>
      <c r="CC45" s="425">
        <v>6</v>
      </c>
      <c r="CD45" s="99" t="s">
        <v>0</v>
      </c>
      <c r="CE45" s="99" t="s">
        <v>1</v>
      </c>
      <c r="CF45" s="101" t="s">
        <v>2</v>
      </c>
      <c r="CG45" s="419" t="s">
        <v>2</v>
      </c>
      <c r="CS45" s="180" t="s">
        <v>311</v>
      </c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601">
        <f>SQRT((1/32)*DF44)</f>
        <v>5.5922754756072141E-2</v>
      </c>
      <c r="DF45" s="3"/>
      <c r="DG45" s="3"/>
      <c r="DH45" s="3"/>
      <c r="DI45" s="4"/>
      <c r="DJ45" s="1"/>
    </row>
    <row r="46" spans="1:129">
      <c r="A46" s="422">
        <v>7.6</v>
      </c>
      <c r="B46" s="2">
        <v>0</v>
      </c>
      <c r="C46" s="3">
        <v>0</v>
      </c>
      <c r="D46" s="83">
        <v>0</v>
      </c>
      <c r="E46" s="3">
        <v>0</v>
      </c>
      <c r="F46" s="3">
        <v>0</v>
      </c>
      <c r="G46" s="3">
        <v>0</v>
      </c>
      <c r="H46" s="241">
        <v>-1</v>
      </c>
      <c r="I46" s="242">
        <v>0</v>
      </c>
      <c r="J46" s="242">
        <v>0</v>
      </c>
      <c r="K46" s="242">
        <v>-1</v>
      </c>
      <c r="L46" s="242">
        <v>0</v>
      </c>
      <c r="M46" s="243">
        <v>0</v>
      </c>
      <c r="N46" s="244">
        <v>0</v>
      </c>
      <c r="O46" s="244">
        <v>0.61</v>
      </c>
      <c r="P46" s="261">
        <v>7.0000000000000007E-2</v>
      </c>
      <c r="Q46" s="569"/>
      <c r="R46" s="24"/>
      <c r="S46" s="24"/>
      <c r="T46" s="25"/>
      <c r="U46" s="108"/>
      <c r="V46" s="120"/>
      <c r="W46" s="120"/>
      <c r="X46" s="120"/>
      <c r="Y46" s="120"/>
      <c r="Z46" s="120"/>
      <c r="AA46" s="245"/>
      <c r="AB46" s="28"/>
      <c r="AC46" s="413" t="s">
        <v>247</v>
      </c>
      <c r="AD46" s="3" t="s">
        <v>73</v>
      </c>
      <c r="AE46" s="3" t="s">
        <v>88</v>
      </c>
      <c r="AF46" s="4"/>
      <c r="AG46" s="1"/>
      <c r="AT46" s="422" t="s">
        <v>250</v>
      </c>
      <c r="AU46" s="3">
        <v>0</v>
      </c>
      <c r="AV46" s="3">
        <v>0</v>
      </c>
      <c r="AW46" s="83">
        <v>0</v>
      </c>
      <c r="AX46" s="3">
        <v>0</v>
      </c>
      <c r="AY46" s="3">
        <v>0</v>
      </c>
      <c r="AZ46" s="4">
        <v>0</v>
      </c>
      <c r="BA46" s="242">
        <v>-1</v>
      </c>
      <c r="BB46" s="242">
        <v>0</v>
      </c>
      <c r="BC46" s="242">
        <v>0</v>
      </c>
      <c r="BD46" s="242">
        <v>-1</v>
      </c>
      <c r="BE46" s="242">
        <v>0</v>
      </c>
      <c r="BF46" s="243">
        <v>0</v>
      </c>
      <c r="BG46" s="244">
        <v>0</v>
      </c>
      <c r="BH46" s="244">
        <v>0.61</v>
      </c>
      <c r="BI46" s="261">
        <v>7.0000000000000007E-2</v>
      </c>
      <c r="BJ46" s="413" t="s">
        <v>247</v>
      </c>
      <c r="BQ46" s="422" t="s">
        <v>250</v>
      </c>
      <c r="BR46" s="2">
        <v>0</v>
      </c>
      <c r="BS46" s="3">
        <v>0</v>
      </c>
      <c r="BT46" s="83">
        <v>0</v>
      </c>
      <c r="BU46" s="3">
        <v>0</v>
      </c>
      <c r="BV46" s="3">
        <v>0</v>
      </c>
      <c r="BW46" s="4">
        <v>0</v>
      </c>
      <c r="BX46" s="242">
        <v>-1</v>
      </c>
      <c r="BY46" s="242">
        <v>0</v>
      </c>
      <c r="BZ46" s="242">
        <v>0</v>
      </c>
      <c r="CA46" s="242">
        <v>-1</v>
      </c>
      <c r="CB46" s="242">
        <v>0</v>
      </c>
      <c r="CC46" s="243">
        <v>0</v>
      </c>
      <c r="CD46" s="244">
        <v>0</v>
      </c>
      <c r="CE46" s="244">
        <v>0.61</v>
      </c>
      <c r="CF46" s="261">
        <v>7.0000000000000007E-2</v>
      </c>
      <c r="CG46" s="413" t="s">
        <v>247</v>
      </c>
    </row>
    <row r="47" spans="1:129">
      <c r="A47" s="430">
        <v>0.25</v>
      </c>
      <c r="B47" s="6">
        <v>0</v>
      </c>
      <c r="C47" s="1">
        <v>0</v>
      </c>
      <c r="D47" s="79">
        <f>$A$46*0.25</f>
        <v>1.9</v>
      </c>
      <c r="E47" s="1">
        <v>0</v>
      </c>
      <c r="F47" s="1">
        <v>0</v>
      </c>
      <c r="G47" s="1">
        <v>0</v>
      </c>
      <c r="H47" s="181">
        <v>-1555</v>
      </c>
      <c r="I47" s="182">
        <v>-1554</v>
      </c>
      <c r="J47" s="182">
        <v>-1555</v>
      </c>
      <c r="K47" s="182">
        <v>-1555</v>
      </c>
      <c r="L47" s="182">
        <v>-1555</v>
      </c>
      <c r="M47" s="183">
        <v>-1554</v>
      </c>
      <c r="N47" s="116">
        <v>0.03</v>
      </c>
      <c r="O47" s="187">
        <v>0.63</v>
      </c>
      <c r="P47" s="431">
        <v>1.97</v>
      </c>
      <c r="Q47" s="426"/>
      <c r="R47" s="62"/>
      <c r="S47" s="62"/>
      <c r="T47" s="112"/>
      <c r="U47" s="105"/>
      <c r="V47" s="188"/>
      <c r="W47" s="188"/>
      <c r="X47" s="188"/>
      <c r="Y47" s="188"/>
      <c r="Z47" s="188"/>
      <c r="AA47" s="189"/>
      <c r="AB47" s="190"/>
      <c r="AC47" s="364">
        <f>ABS(((P47-errZ0)-D47)*1000)</f>
        <v>0</v>
      </c>
      <c r="AD47" s="188">
        <f>N47-errX0</f>
        <v>0.03</v>
      </c>
      <c r="AE47" s="188">
        <f>O47-errY0</f>
        <v>2.0000000000000018E-2</v>
      </c>
      <c r="AF47" s="192"/>
      <c r="AG47" s="338" t="s">
        <v>107</v>
      </c>
      <c r="AH47" s="339">
        <f>25*0.001</f>
        <v>2.5000000000000001E-2</v>
      </c>
      <c r="AT47" s="430">
        <v>0.25</v>
      </c>
      <c r="AU47" s="6">
        <v>0</v>
      </c>
      <c r="AV47" s="1">
        <v>0</v>
      </c>
      <c r="AW47" s="79">
        <f>$A$46*0.25</f>
        <v>1.9</v>
      </c>
      <c r="AX47" s="1">
        <v>0</v>
      </c>
      <c r="AY47" s="1">
        <v>0</v>
      </c>
      <c r="AZ47" s="135">
        <v>0</v>
      </c>
      <c r="BA47" s="182">
        <v>-1555</v>
      </c>
      <c r="BB47" s="182">
        <v>-1554</v>
      </c>
      <c r="BC47" s="182">
        <v>-1555</v>
      </c>
      <c r="BD47" s="182">
        <v>-1555</v>
      </c>
      <c r="BE47" s="182">
        <v>-1555</v>
      </c>
      <c r="BF47" s="183">
        <v>-1554</v>
      </c>
      <c r="BG47" s="116">
        <v>0.03</v>
      </c>
      <c r="BH47" s="187">
        <v>0.63</v>
      </c>
      <c r="BI47" s="431">
        <v>1.97</v>
      </c>
      <c r="BJ47" s="364">
        <v>0</v>
      </c>
      <c r="BQ47" s="430">
        <v>1</v>
      </c>
      <c r="BR47" s="6">
        <v>0</v>
      </c>
      <c r="BS47" s="1">
        <v>0</v>
      </c>
      <c r="BT47" s="79">
        <v>7.6</v>
      </c>
      <c r="BU47" s="1">
        <v>0</v>
      </c>
      <c r="BV47" s="1">
        <v>0</v>
      </c>
      <c r="BW47" s="135">
        <v>0</v>
      </c>
      <c r="BX47" s="182">
        <v>-6202</v>
      </c>
      <c r="BY47" s="182">
        <v>-6202</v>
      </c>
      <c r="BZ47" s="182">
        <v>-6203</v>
      </c>
      <c r="CA47" s="182">
        <v>-6203</v>
      </c>
      <c r="CB47" s="182">
        <v>-6203</v>
      </c>
      <c r="CC47" s="183">
        <v>-6204</v>
      </c>
      <c r="CD47" s="116">
        <v>0</v>
      </c>
      <c r="CE47" s="187">
        <v>0.65</v>
      </c>
      <c r="CF47" s="431">
        <v>7.67</v>
      </c>
      <c r="CG47" s="364">
        <f>(CF47-CF46)-BT47</f>
        <v>0</v>
      </c>
    </row>
    <row r="48" spans="1:129">
      <c r="A48" s="430">
        <v>0.5</v>
      </c>
      <c r="B48" s="6">
        <v>0</v>
      </c>
      <c r="C48" s="1">
        <v>0</v>
      </c>
      <c r="D48" s="79">
        <f>$A$46*0.5</f>
        <v>3.8</v>
      </c>
      <c r="E48" s="1">
        <v>0</v>
      </c>
      <c r="F48" s="1">
        <v>0</v>
      </c>
      <c r="G48" s="1">
        <v>0</v>
      </c>
      <c r="H48" s="181">
        <v>-3106</v>
      </c>
      <c r="I48" s="182">
        <v>-3106</v>
      </c>
      <c r="J48" s="182">
        <v>-3107</v>
      </c>
      <c r="K48" s="182">
        <v>-3107</v>
      </c>
      <c r="L48" s="182">
        <v>-3107</v>
      </c>
      <c r="M48" s="183">
        <v>-3017</v>
      </c>
      <c r="N48" s="116">
        <v>0</v>
      </c>
      <c r="O48" s="187">
        <v>0.62</v>
      </c>
      <c r="P48" s="431">
        <v>3.87</v>
      </c>
      <c r="Q48" s="426"/>
      <c r="R48" s="62"/>
      <c r="S48" s="62"/>
      <c r="T48" s="112"/>
      <c r="U48" s="109"/>
      <c r="V48" s="188"/>
      <c r="W48" s="188"/>
      <c r="X48" s="188"/>
      <c r="Y48" s="188"/>
      <c r="Z48" s="188"/>
      <c r="AA48" s="189"/>
      <c r="AB48" s="190"/>
      <c r="AC48" s="364">
        <f t="shared" ref="AC48:AC54" si="48">ABS(((P48-errZ0)-D48)*1000)</f>
        <v>4.4408920985006262E-13</v>
      </c>
      <c r="AD48" s="188">
        <f t="shared" ref="AD48:AD54" si="49">N48-errX0</f>
        <v>0</v>
      </c>
      <c r="AE48" s="188">
        <f t="shared" ref="AE48:AE54" si="50">O48-errY0</f>
        <v>1.0000000000000009E-2</v>
      </c>
      <c r="AF48" s="192"/>
      <c r="AG48" s="179"/>
      <c r="AH48" s="192"/>
      <c r="AT48" s="430">
        <v>0.5</v>
      </c>
      <c r="AU48" s="6">
        <v>0</v>
      </c>
      <c r="AV48" s="1">
        <v>0</v>
      </c>
      <c r="AW48" s="79">
        <f>$A$46*0.5</f>
        <v>3.8</v>
      </c>
      <c r="AX48" s="1">
        <v>0</v>
      </c>
      <c r="AY48" s="1">
        <v>0</v>
      </c>
      <c r="AZ48" s="135">
        <v>0</v>
      </c>
      <c r="BA48" s="182">
        <v>-3106</v>
      </c>
      <c r="BB48" s="182">
        <v>-3106</v>
      </c>
      <c r="BC48" s="182">
        <v>-3107</v>
      </c>
      <c r="BD48" s="182">
        <v>-3107</v>
      </c>
      <c r="BE48" s="182">
        <v>-3107</v>
      </c>
      <c r="BF48" s="183">
        <v>-3017</v>
      </c>
      <c r="BG48" s="116">
        <v>0</v>
      </c>
      <c r="BH48" s="187">
        <v>0.62</v>
      </c>
      <c r="BI48" s="431">
        <v>3.87</v>
      </c>
      <c r="BJ48" s="364">
        <v>4.4408920985006262E-13</v>
      </c>
      <c r="BQ48" s="529">
        <v>-1</v>
      </c>
      <c r="BR48" s="12">
        <v>0</v>
      </c>
      <c r="BS48" s="13">
        <v>0</v>
      </c>
      <c r="BT48" s="82">
        <v>-7.6</v>
      </c>
      <c r="BU48" s="13">
        <v>0</v>
      </c>
      <c r="BV48" s="13">
        <v>0</v>
      </c>
      <c r="BW48" s="87">
        <v>0</v>
      </c>
      <c r="BX48" s="433">
        <v>6241</v>
      </c>
      <c r="BY48" s="433">
        <v>6241</v>
      </c>
      <c r="BZ48" s="433">
        <v>6242</v>
      </c>
      <c r="CA48" s="433">
        <v>6242</v>
      </c>
      <c r="CB48" s="433">
        <v>6242</v>
      </c>
      <c r="CC48" s="434">
        <v>6242</v>
      </c>
      <c r="CD48" s="467">
        <v>0.02</v>
      </c>
      <c r="CE48" s="436">
        <v>0.62</v>
      </c>
      <c r="CF48" s="530">
        <v>-7.53</v>
      </c>
      <c r="CG48" s="384">
        <f>(CF48-CF46)-BT48</f>
        <v>0</v>
      </c>
    </row>
    <row r="49" spans="1:62">
      <c r="A49" s="430">
        <v>0.75</v>
      </c>
      <c r="B49" s="6">
        <v>0</v>
      </c>
      <c r="C49" s="1">
        <v>0</v>
      </c>
      <c r="D49" s="79">
        <f>$A$46*0.75</f>
        <v>5.6999999999999993</v>
      </c>
      <c r="E49" s="1">
        <v>0</v>
      </c>
      <c r="F49" s="1">
        <v>0</v>
      </c>
      <c r="G49" s="1">
        <v>0</v>
      </c>
      <c r="H49" s="181">
        <v>-4656</v>
      </c>
      <c r="I49" s="182">
        <v>-4655</v>
      </c>
      <c r="J49" s="182">
        <v>-4656</v>
      </c>
      <c r="K49" s="182">
        <v>-4656</v>
      </c>
      <c r="L49" s="182">
        <v>-4656</v>
      </c>
      <c r="M49" s="183">
        <v>-4656</v>
      </c>
      <c r="N49" s="116">
        <v>0.03</v>
      </c>
      <c r="O49" s="187">
        <v>0.63</v>
      </c>
      <c r="P49" s="431">
        <v>5.77</v>
      </c>
      <c r="Q49" s="426"/>
      <c r="R49" s="62"/>
      <c r="S49" s="62"/>
      <c r="T49" s="112"/>
      <c r="U49" s="109"/>
      <c r="V49" s="188"/>
      <c r="W49" s="188"/>
      <c r="X49" s="188"/>
      <c r="Y49" s="188"/>
      <c r="Z49" s="188"/>
      <c r="AA49" s="189"/>
      <c r="AB49" s="190"/>
      <c r="AC49" s="364">
        <f t="shared" si="48"/>
        <v>0</v>
      </c>
      <c r="AD49" s="188">
        <f t="shared" si="49"/>
        <v>0.03</v>
      </c>
      <c r="AE49" s="188">
        <f t="shared" si="50"/>
        <v>2.0000000000000018E-2</v>
      </c>
      <c r="AF49" s="192"/>
      <c r="AG49" s="179"/>
      <c r="AH49" s="192"/>
      <c r="AT49" s="430">
        <v>0.75</v>
      </c>
      <c r="AU49" s="6">
        <v>0</v>
      </c>
      <c r="AV49" s="1">
        <v>0</v>
      </c>
      <c r="AW49" s="79">
        <f>$A$46*0.75</f>
        <v>5.6999999999999993</v>
      </c>
      <c r="AX49" s="1">
        <v>0</v>
      </c>
      <c r="AY49" s="1">
        <v>0</v>
      </c>
      <c r="AZ49" s="135">
        <v>0</v>
      </c>
      <c r="BA49" s="182">
        <v>-4656</v>
      </c>
      <c r="BB49" s="182">
        <v>-4655</v>
      </c>
      <c r="BC49" s="182">
        <v>-4656</v>
      </c>
      <c r="BD49" s="182">
        <v>-4656</v>
      </c>
      <c r="BE49" s="182">
        <v>-4656</v>
      </c>
      <c r="BF49" s="183">
        <v>-4656</v>
      </c>
      <c r="BG49" s="116">
        <v>0.03</v>
      </c>
      <c r="BH49" s="187">
        <v>0.63</v>
      </c>
      <c r="BI49" s="431">
        <v>5.77</v>
      </c>
      <c r="BJ49" s="364">
        <v>0</v>
      </c>
    </row>
    <row r="50" spans="1:62">
      <c r="A50" s="430">
        <v>1</v>
      </c>
      <c r="B50" s="6">
        <v>0</v>
      </c>
      <c r="C50" s="1">
        <v>0</v>
      </c>
      <c r="D50" s="79">
        <f>$A$46*1</f>
        <v>7.6</v>
      </c>
      <c r="E50" s="1">
        <v>0</v>
      </c>
      <c r="F50" s="1">
        <v>0</v>
      </c>
      <c r="G50" s="1">
        <v>0</v>
      </c>
      <c r="H50" s="181">
        <v>-6202</v>
      </c>
      <c r="I50" s="182">
        <v>-6202</v>
      </c>
      <c r="J50" s="182">
        <v>-6203</v>
      </c>
      <c r="K50" s="182">
        <v>-6203</v>
      </c>
      <c r="L50" s="182">
        <v>-6203</v>
      </c>
      <c r="M50" s="183">
        <v>-6204</v>
      </c>
      <c r="N50" s="116">
        <v>0</v>
      </c>
      <c r="O50" s="187">
        <v>0.65</v>
      </c>
      <c r="P50" s="431">
        <v>7.67</v>
      </c>
      <c r="Q50" s="426"/>
      <c r="R50" s="62"/>
      <c r="S50" s="62"/>
      <c r="T50" s="112"/>
      <c r="U50" s="109"/>
      <c r="V50" s="188"/>
      <c r="W50" s="188"/>
      <c r="X50" s="188"/>
      <c r="Y50" s="188"/>
      <c r="Z50" s="188"/>
      <c r="AA50" s="189"/>
      <c r="AB50" s="190"/>
      <c r="AC50" s="364">
        <f t="shared" si="48"/>
        <v>0</v>
      </c>
      <c r="AD50" s="188">
        <f t="shared" si="49"/>
        <v>0</v>
      </c>
      <c r="AE50" s="188">
        <f t="shared" si="50"/>
        <v>4.0000000000000036E-2</v>
      </c>
      <c r="AF50" s="192"/>
      <c r="AG50" s="179"/>
      <c r="AH50" s="192"/>
      <c r="AT50" s="430">
        <v>1</v>
      </c>
      <c r="AU50" s="6">
        <v>0</v>
      </c>
      <c r="AV50" s="1">
        <v>0</v>
      </c>
      <c r="AW50" s="79">
        <f>$A$46*1</f>
        <v>7.6</v>
      </c>
      <c r="AX50" s="1">
        <v>0</v>
      </c>
      <c r="AY50" s="1">
        <v>0</v>
      </c>
      <c r="AZ50" s="135">
        <v>0</v>
      </c>
      <c r="BA50" s="182">
        <v>-6202</v>
      </c>
      <c r="BB50" s="182">
        <v>-6202</v>
      </c>
      <c r="BC50" s="182">
        <v>-6203</v>
      </c>
      <c r="BD50" s="182">
        <v>-6203</v>
      </c>
      <c r="BE50" s="182">
        <v>-6203</v>
      </c>
      <c r="BF50" s="183">
        <v>-6204</v>
      </c>
      <c r="BG50" s="116">
        <v>0</v>
      </c>
      <c r="BH50" s="187">
        <v>0.65</v>
      </c>
      <c r="BI50" s="431">
        <v>7.67</v>
      </c>
      <c r="BJ50" s="364">
        <v>0</v>
      </c>
    </row>
    <row r="51" spans="1:62">
      <c r="A51" s="430">
        <v>-0.25</v>
      </c>
      <c r="B51" s="6">
        <v>0</v>
      </c>
      <c r="C51" s="1">
        <v>0</v>
      </c>
      <c r="D51" s="79">
        <f>+-$A$46*0.25</f>
        <v>-1.9</v>
      </c>
      <c r="E51" s="1">
        <v>0</v>
      </c>
      <c r="F51" s="1">
        <v>0</v>
      </c>
      <c r="G51" s="1">
        <v>0</v>
      </c>
      <c r="H51" s="181">
        <v>1557</v>
      </c>
      <c r="I51" s="182">
        <v>1557</v>
      </c>
      <c r="J51" s="182">
        <v>1557</v>
      </c>
      <c r="K51" s="182">
        <v>1557</v>
      </c>
      <c r="L51" s="182">
        <v>1557</v>
      </c>
      <c r="M51" s="183">
        <v>1557</v>
      </c>
      <c r="N51" s="116">
        <v>0.02</v>
      </c>
      <c r="O51" s="187">
        <v>0.65</v>
      </c>
      <c r="P51" s="431">
        <v>-1.83</v>
      </c>
      <c r="Q51" s="426"/>
      <c r="R51" s="62"/>
      <c r="S51" s="62"/>
      <c r="T51" s="112"/>
      <c r="U51" s="109"/>
      <c r="V51" s="188"/>
      <c r="W51" s="188"/>
      <c r="X51" s="188"/>
      <c r="Y51" s="188"/>
      <c r="Z51" s="188"/>
      <c r="AA51" s="189"/>
      <c r="AB51" s="190"/>
      <c r="AC51" s="364">
        <f t="shared" si="48"/>
        <v>2.2204460492503131E-13</v>
      </c>
      <c r="AD51" s="188">
        <f t="shared" si="49"/>
        <v>0.02</v>
      </c>
      <c r="AE51" s="188">
        <f t="shared" si="50"/>
        <v>4.0000000000000036E-2</v>
      </c>
      <c r="AF51" s="192"/>
      <c r="AG51" s="179"/>
      <c r="AH51" s="192"/>
      <c r="AT51" s="430">
        <v>-0.25</v>
      </c>
      <c r="AU51" s="6">
        <v>0</v>
      </c>
      <c r="AV51" s="1">
        <v>0</v>
      </c>
      <c r="AW51" s="79">
        <f>+-$A$46*0.25</f>
        <v>-1.9</v>
      </c>
      <c r="AX51" s="1">
        <v>0</v>
      </c>
      <c r="AY51" s="1">
        <v>0</v>
      </c>
      <c r="AZ51" s="135">
        <v>0</v>
      </c>
      <c r="BA51" s="182">
        <v>1557</v>
      </c>
      <c r="BB51" s="182">
        <v>1557</v>
      </c>
      <c r="BC51" s="182">
        <v>1557</v>
      </c>
      <c r="BD51" s="182">
        <v>1557</v>
      </c>
      <c r="BE51" s="182">
        <v>1557</v>
      </c>
      <c r="BF51" s="183">
        <v>1557</v>
      </c>
      <c r="BG51" s="116">
        <v>0.02</v>
      </c>
      <c r="BH51" s="187">
        <v>0.65</v>
      </c>
      <c r="BI51" s="431">
        <v>-1.83</v>
      </c>
      <c r="BJ51" s="364">
        <v>2.2204460492503131E-13</v>
      </c>
    </row>
    <row r="52" spans="1:62">
      <c r="A52" s="430">
        <v>-0.5</v>
      </c>
      <c r="B52" s="6">
        <v>0</v>
      </c>
      <c r="C52" s="1">
        <v>0</v>
      </c>
      <c r="D52" s="79">
        <f>+-$A$46*0.5</f>
        <v>-3.8</v>
      </c>
      <c r="E52" s="1">
        <v>0</v>
      </c>
      <c r="F52" s="1">
        <v>0</v>
      </c>
      <c r="G52" s="1">
        <v>0</v>
      </c>
      <c r="H52" s="181">
        <v>3116</v>
      </c>
      <c r="I52" s="182">
        <v>3116</v>
      </c>
      <c r="J52" s="182">
        <v>3116</v>
      </c>
      <c r="K52" s="182">
        <v>3116</v>
      </c>
      <c r="L52" s="182">
        <v>3116</v>
      </c>
      <c r="M52" s="183">
        <v>3116</v>
      </c>
      <c r="N52" s="116">
        <v>0</v>
      </c>
      <c r="O52" s="187">
        <v>0.61</v>
      </c>
      <c r="P52" s="431">
        <v>-3.73</v>
      </c>
      <c r="Q52" s="426"/>
      <c r="R52" s="62"/>
      <c r="S52" s="62"/>
      <c r="T52" s="112"/>
      <c r="U52" s="109"/>
      <c r="V52" s="188"/>
      <c r="W52" s="188"/>
      <c r="X52" s="188"/>
      <c r="Y52" s="188"/>
      <c r="Z52" s="188"/>
      <c r="AA52" s="189"/>
      <c r="AB52" s="190"/>
      <c r="AC52" s="364">
        <f t="shared" si="48"/>
        <v>0</v>
      </c>
      <c r="AD52" s="188">
        <f t="shared" si="49"/>
        <v>0</v>
      </c>
      <c r="AE52" s="188">
        <f t="shared" si="50"/>
        <v>0</v>
      </c>
      <c r="AF52" s="192"/>
      <c r="AG52" s="179"/>
      <c r="AH52" s="192"/>
      <c r="AT52" s="430">
        <v>-0.5</v>
      </c>
      <c r="AU52" s="6">
        <v>0</v>
      </c>
      <c r="AV52" s="1">
        <v>0</v>
      </c>
      <c r="AW52" s="79">
        <f>+-$A$46*0.5</f>
        <v>-3.8</v>
      </c>
      <c r="AX52" s="1">
        <v>0</v>
      </c>
      <c r="AY52" s="1">
        <v>0</v>
      </c>
      <c r="AZ52" s="135">
        <v>0</v>
      </c>
      <c r="BA52" s="182">
        <v>3116</v>
      </c>
      <c r="BB52" s="182">
        <v>3116</v>
      </c>
      <c r="BC52" s="182">
        <v>3116</v>
      </c>
      <c r="BD52" s="182">
        <v>3116</v>
      </c>
      <c r="BE52" s="182">
        <v>3116</v>
      </c>
      <c r="BF52" s="183">
        <v>3116</v>
      </c>
      <c r="BG52" s="116">
        <v>0</v>
      </c>
      <c r="BH52" s="187">
        <v>0.61</v>
      </c>
      <c r="BI52" s="431">
        <v>-3.73</v>
      </c>
      <c r="BJ52" s="364">
        <v>0</v>
      </c>
    </row>
    <row r="53" spans="1:62">
      <c r="A53" s="430">
        <v>-0.75</v>
      </c>
      <c r="B53" s="6">
        <v>0</v>
      </c>
      <c r="C53" s="1">
        <v>0</v>
      </c>
      <c r="D53" s="79">
        <f>+-$A$46*0.75</f>
        <v>-5.6999999999999993</v>
      </c>
      <c r="E53" s="1">
        <v>0</v>
      </c>
      <c r="F53" s="1">
        <v>0</v>
      </c>
      <c r="G53" s="1">
        <v>0</v>
      </c>
      <c r="H53" s="181">
        <v>4677</v>
      </c>
      <c r="I53" s="182">
        <v>4677</v>
      </c>
      <c r="J53" s="182">
        <v>4678</v>
      </c>
      <c r="K53" s="182">
        <v>4678</v>
      </c>
      <c r="L53" s="182">
        <v>4678</v>
      </c>
      <c r="M53" s="183">
        <v>4678</v>
      </c>
      <c r="N53" s="116">
        <v>0</v>
      </c>
      <c r="O53" s="187">
        <v>0.64</v>
      </c>
      <c r="P53" s="431">
        <v>-5.63</v>
      </c>
      <c r="Q53" s="426"/>
      <c r="R53" s="62"/>
      <c r="S53" s="62"/>
      <c r="T53" s="112"/>
      <c r="U53" s="109"/>
      <c r="V53" s="188"/>
      <c r="W53" s="188"/>
      <c r="X53" s="188"/>
      <c r="Y53" s="188"/>
      <c r="Z53" s="188"/>
      <c r="AA53" s="189"/>
      <c r="AB53" s="190"/>
      <c r="AC53" s="364">
        <f t="shared" si="48"/>
        <v>8.8817841970012523E-13</v>
      </c>
      <c r="AD53" s="188">
        <f t="shared" si="49"/>
        <v>0</v>
      </c>
      <c r="AE53" s="188">
        <f t="shared" si="50"/>
        <v>3.0000000000000027E-2</v>
      </c>
      <c r="AF53" s="192"/>
      <c r="AG53" s="179"/>
      <c r="AH53" s="192"/>
      <c r="AT53" s="430">
        <v>-0.75</v>
      </c>
      <c r="AU53" s="6">
        <v>0</v>
      </c>
      <c r="AV53" s="1">
        <v>0</v>
      </c>
      <c r="AW53" s="79">
        <f>+-$A$46*0.75</f>
        <v>-5.6999999999999993</v>
      </c>
      <c r="AX53" s="1">
        <v>0</v>
      </c>
      <c r="AY53" s="1">
        <v>0</v>
      </c>
      <c r="AZ53" s="135">
        <v>0</v>
      </c>
      <c r="BA53" s="182">
        <v>4677</v>
      </c>
      <c r="BB53" s="182">
        <v>4677</v>
      </c>
      <c r="BC53" s="182">
        <v>4678</v>
      </c>
      <c r="BD53" s="182">
        <v>4678</v>
      </c>
      <c r="BE53" s="182">
        <v>4678</v>
      </c>
      <c r="BF53" s="183">
        <v>4678</v>
      </c>
      <c r="BG53" s="116">
        <v>0</v>
      </c>
      <c r="BH53" s="187">
        <v>0.64</v>
      </c>
      <c r="BI53" s="431">
        <v>-5.63</v>
      </c>
      <c r="BJ53" s="364">
        <v>8.8817841970012523E-13</v>
      </c>
    </row>
    <row r="54" spans="1:62">
      <c r="A54" s="430">
        <v>-1</v>
      </c>
      <c r="B54" s="6">
        <v>0</v>
      </c>
      <c r="C54" s="1">
        <v>0</v>
      </c>
      <c r="D54" s="79">
        <f>+-$A$46*1</f>
        <v>-7.6</v>
      </c>
      <c r="E54" s="1">
        <v>0</v>
      </c>
      <c r="F54" s="1">
        <v>0</v>
      </c>
      <c r="G54" s="1">
        <v>0</v>
      </c>
      <c r="H54" s="181">
        <v>6241</v>
      </c>
      <c r="I54" s="182">
        <v>6241</v>
      </c>
      <c r="J54" s="182">
        <v>6242</v>
      </c>
      <c r="K54" s="182">
        <v>6242</v>
      </c>
      <c r="L54" s="182">
        <v>6242</v>
      </c>
      <c r="M54" s="183">
        <v>6242</v>
      </c>
      <c r="N54" s="116">
        <v>0.02</v>
      </c>
      <c r="O54" s="187">
        <v>0.62</v>
      </c>
      <c r="P54" s="431">
        <v>-7.53</v>
      </c>
      <c r="Q54" s="426"/>
      <c r="R54" s="62"/>
      <c r="S54" s="62"/>
      <c r="T54" s="112"/>
      <c r="U54" s="105"/>
      <c r="V54" s="188"/>
      <c r="W54" s="188"/>
      <c r="X54" s="188"/>
      <c r="Y54" s="188"/>
      <c r="Z54" s="188"/>
      <c r="AA54" s="189"/>
      <c r="AB54" s="190"/>
      <c r="AC54" s="364">
        <f t="shared" si="48"/>
        <v>8.8817841970012523E-13</v>
      </c>
      <c r="AD54" s="188">
        <f t="shared" si="49"/>
        <v>0.02</v>
      </c>
      <c r="AE54" s="188">
        <f t="shared" si="50"/>
        <v>1.0000000000000009E-2</v>
      </c>
      <c r="AF54" s="192"/>
      <c r="AG54" s="179"/>
      <c r="AH54" s="192"/>
      <c r="AT54" s="430">
        <v>-1</v>
      </c>
      <c r="AU54" s="6">
        <v>0</v>
      </c>
      <c r="AV54" s="1">
        <v>0</v>
      </c>
      <c r="AW54" s="79">
        <f>+-$A$46*1</f>
        <v>-7.6</v>
      </c>
      <c r="AX54" s="1">
        <v>0</v>
      </c>
      <c r="AY54" s="1">
        <v>0</v>
      </c>
      <c r="AZ54" s="135">
        <v>0</v>
      </c>
      <c r="BA54" s="182">
        <v>6241</v>
      </c>
      <c r="BB54" s="182">
        <v>6241</v>
      </c>
      <c r="BC54" s="182">
        <v>6242</v>
      </c>
      <c r="BD54" s="182">
        <v>6242</v>
      </c>
      <c r="BE54" s="182">
        <v>6242</v>
      </c>
      <c r="BF54" s="183">
        <v>6242</v>
      </c>
      <c r="BG54" s="116">
        <v>0.02</v>
      </c>
      <c r="BH54" s="187">
        <v>0.62</v>
      </c>
      <c r="BI54" s="431">
        <v>-7.53</v>
      </c>
      <c r="BJ54" s="364">
        <v>8.8817841970012523E-13</v>
      </c>
    </row>
    <row r="55" spans="1:62">
      <c r="A55" s="421" t="s">
        <v>71</v>
      </c>
      <c r="B55" s="43" t="s">
        <v>75</v>
      </c>
      <c r="C55" s="3"/>
      <c r="D55" s="3"/>
      <c r="E55" s="3"/>
      <c r="F55" s="3"/>
      <c r="G55" s="3"/>
      <c r="H55" s="42" t="s">
        <v>70</v>
      </c>
      <c r="I55" s="24"/>
      <c r="J55" s="24"/>
      <c r="K55" s="35"/>
      <c r="L55" s="35"/>
      <c r="M55" s="36"/>
      <c r="N55" s="24"/>
      <c r="O55" s="73"/>
      <c r="P55" s="74"/>
      <c r="Q55" s="301"/>
      <c r="R55" s="73"/>
      <c r="S55" s="194"/>
      <c r="T55" s="74"/>
      <c r="U55" s="108"/>
      <c r="V55" s="216"/>
      <c r="W55" s="216"/>
      <c r="X55" s="216"/>
      <c r="Y55" s="216"/>
      <c r="Z55" s="216"/>
      <c r="AA55" s="197"/>
      <c r="AB55" s="152"/>
      <c r="AC55" s="403" t="s">
        <v>1</v>
      </c>
      <c r="AD55" s="5" t="s">
        <v>73</v>
      </c>
      <c r="AE55" s="5" t="s">
        <v>74</v>
      </c>
      <c r="AF55" s="197"/>
      <c r="AG55" s="179"/>
      <c r="AH55" s="192"/>
      <c r="AT55" s="421" t="s">
        <v>292</v>
      </c>
      <c r="AU55" s="289" t="s">
        <v>75</v>
      </c>
      <c r="AV55" s="290"/>
      <c r="AW55" s="290"/>
      <c r="AX55" s="290"/>
      <c r="AY55" s="290"/>
      <c r="AZ55" s="448"/>
      <c r="BA55" s="24" t="s">
        <v>70</v>
      </c>
      <c r="BB55" s="24"/>
      <c r="BC55" s="24"/>
      <c r="BD55" s="35"/>
      <c r="BE55" s="35"/>
      <c r="BF55" s="36"/>
      <c r="BG55" s="24"/>
      <c r="BH55" s="73"/>
      <c r="BI55" s="74"/>
      <c r="BJ55" s="403" t="s">
        <v>1</v>
      </c>
    </row>
    <row r="56" spans="1:62">
      <c r="A56" s="422">
        <v>7.6</v>
      </c>
      <c r="B56" s="2">
        <v>0</v>
      </c>
      <c r="C56" s="83">
        <v>0</v>
      </c>
      <c r="D56" s="3">
        <v>0</v>
      </c>
      <c r="E56" s="3">
        <v>0</v>
      </c>
      <c r="F56" s="3">
        <v>0</v>
      </c>
      <c r="G56" s="3">
        <v>0</v>
      </c>
      <c r="H56" s="241">
        <v>0</v>
      </c>
      <c r="I56" s="242">
        <v>0</v>
      </c>
      <c r="J56" s="242">
        <v>0</v>
      </c>
      <c r="K56" s="242">
        <v>0</v>
      </c>
      <c r="L56" s="242">
        <v>0</v>
      </c>
      <c r="M56" s="243">
        <v>0</v>
      </c>
      <c r="N56" s="244">
        <v>-0.01</v>
      </c>
      <c r="O56" s="305">
        <v>0.62</v>
      </c>
      <c r="P56" s="261">
        <v>7.0000000000000007E-2</v>
      </c>
      <c r="Q56" s="301"/>
      <c r="R56" s="73"/>
      <c r="S56" s="73"/>
      <c r="T56" s="74"/>
      <c r="U56" s="108"/>
      <c r="V56" s="216"/>
      <c r="W56" s="216"/>
      <c r="X56" s="216"/>
      <c r="Y56" s="216"/>
      <c r="Z56" s="216"/>
      <c r="AA56" s="197"/>
      <c r="AB56" s="152"/>
      <c r="AC56" s="365" t="s">
        <v>245</v>
      </c>
      <c r="AD56" s="3"/>
      <c r="AE56" s="3"/>
      <c r="AF56" s="4"/>
      <c r="AG56" s="179"/>
      <c r="AH56" s="192"/>
      <c r="AT56" s="422" t="s">
        <v>250</v>
      </c>
      <c r="AU56" s="2">
        <v>0</v>
      </c>
      <c r="AV56" s="83">
        <v>0</v>
      </c>
      <c r="AW56" s="3">
        <v>0</v>
      </c>
      <c r="AX56" s="3">
        <v>0</v>
      </c>
      <c r="AY56" s="3">
        <v>0</v>
      </c>
      <c r="AZ56" s="4">
        <v>0</v>
      </c>
      <c r="BA56" s="242">
        <v>0</v>
      </c>
      <c r="BB56" s="242">
        <v>0</v>
      </c>
      <c r="BC56" s="242">
        <v>0</v>
      </c>
      <c r="BD56" s="242">
        <v>0</v>
      </c>
      <c r="BE56" s="242">
        <v>0</v>
      </c>
      <c r="BF56" s="243">
        <v>0</v>
      </c>
      <c r="BG56" s="244">
        <v>-0.01</v>
      </c>
      <c r="BH56" s="305">
        <v>0.62</v>
      </c>
      <c r="BI56" s="261">
        <v>7.0000000000000007E-2</v>
      </c>
      <c r="BJ56" s="365" t="s">
        <v>245</v>
      </c>
    </row>
    <row r="57" spans="1:62">
      <c r="A57" s="430">
        <v>0.25</v>
      </c>
      <c r="B57" s="6">
        <v>0</v>
      </c>
      <c r="C57" s="79">
        <f>$A$56*0.25</f>
        <v>1.9</v>
      </c>
      <c r="D57" s="1">
        <v>0</v>
      </c>
      <c r="E57" s="1">
        <v>0</v>
      </c>
      <c r="F57" s="1">
        <v>0</v>
      </c>
      <c r="G57" s="1">
        <v>0</v>
      </c>
      <c r="H57" s="181">
        <v>549</v>
      </c>
      <c r="I57" s="182">
        <v>549</v>
      </c>
      <c r="J57" s="182">
        <v>-1088</v>
      </c>
      <c r="K57" s="182">
        <v>549</v>
      </c>
      <c r="L57" s="182">
        <v>549</v>
      </c>
      <c r="M57" s="183">
        <v>-1089</v>
      </c>
      <c r="N57" s="116">
        <v>0.02</v>
      </c>
      <c r="O57" s="186">
        <v>2.52</v>
      </c>
      <c r="P57" s="432">
        <v>7.0000000000000007E-2</v>
      </c>
      <c r="Q57" s="426"/>
      <c r="R57" s="62"/>
      <c r="S57" s="62"/>
      <c r="T57" s="112"/>
      <c r="U57" s="105"/>
      <c r="V57" s="71"/>
      <c r="W57" s="71"/>
      <c r="X57" s="71"/>
      <c r="Y57" s="71"/>
      <c r="Z57" s="71"/>
      <c r="AA57" s="189"/>
      <c r="AB57" s="147"/>
      <c r="AC57" s="364">
        <f t="shared" ref="AC57:AC64" si="51">ABS(((O57-errY0.1)-C57)*1000)</f>
        <v>0</v>
      </c>
      <c r="AD57" s="188">
        <f t="shared" ref="AD57:AD64" si="52">N57-errX01</f>
        <v>0.03</v>
      </c>
      <c r="AE57" s="188">
        <f t="shared" ref="AE57:AE64" si="53">P57-errZ01</f>
        <v>0</v>
      </c>
      <c r="AF57" s="192"/>
      <c r="AG57" s="338" t="s">
        <v>107</v>
      </c>
      <c r="AH57" s="339">
        <f>25*0.005</f>
        <v>0.125</v>
      </c>
      <c r="AT57" s="430">
        <v>0.25</v>
      </c>
      <c r="AU57" s="6">
        <v>0</v>
      </c>
      <c r="AV57" s="79">
        <f>$A$56*0.25</f>
        <v>1.9</v>
      </c>
      <c r="AW57" s="1">
        <v>0</v>
      </c>
      <c r="AX57" s="1">
        <v>0</v>
      </c>
      <c r="AY57" s="1">
        <v>0</v>
      </c>
      <c r="AZ57" s="135">
        <v>0</v>
      </c>
      <c r="BA57" s="182">
        <v>549</v>
      </c>
      <c r="BB57" s="182">
        <v>549</v>
      </c>
      <c r="BC57" s="182">
        <v>-1088</v>
      </c>
      <c r="BD57" s="182">
        <v>549</v>
      </c>
      <c r="BE57" s="182">
        <v>549</v>
      </c>
      <c r="BF57" s="183">
        <v>-1089</v>
      </c>
      <c r="BG57" s="116">
        <v>0.02</v>
      </c>
      <c r="BH57" s="186">
        <v>2.52</v>
      </c>
      <c r="BI57" s="432">
        <v>7.0000000000000007E-2</v>
      </c>
      <c r="BJ57" s="364">
        <v>0</v>
      </c>
    </row>
    <row r="58" spans="1:62">
      <c r="A58" s="430">
        <v>0.5</v>
      </c>
      <c r="B58" s="6">
        <v>0</v>
      </c>
      <c r="C58" s="79">
        <f>$A$56*0.5</f>
        <v>3.8</v>
      </c>
      <c r="D58" s="1">
        <v>0</v>
      </c>
      <c r="E58" s="1">
        <v>0</v>
      </c>
      <c r="F58" s="1">
        <v>0</v>
      </c>
      <c r="G58" s="1">
        <v>0</v>
      </c>
      <c r="H58" s="181">
        <v>1105</v>
      </c>
      <c r="I58" s="182">
        <v>1105</v>
      </c>
      <c r="J58" s="182">
        <v>-2172</v>
      </c>
      <c r="K58" s="182">
        <v>1105</v>
      </c>
      <c r="L58" s="182">
        <v>1104</v>
      </c>
      <c r="M58" s="183">
        <v>-2172</v>
      </c>
      <c r="N58" s="116">
        <v>0.02</v>
      </c>
      <c r="O58" s="186">
        <v>4.3899999999999997</v>
      </c>
      <c r="P58" s="432">
        <v>0.08</v>
      </c>
      <c r="Q58" s="426"/>
      <c r="R58" s="62"/>
      <c r="S58" s="62"/>
      <c r="T58" s="112"/>
      <c r="U58" s="105"/>
      <c r="V58" s="71"/>
      <c r="W58" s="71"/>
      <c r="X58" s="71"/>
      <c r="Y58" s="71"/>
      <c r="Z58" s="71"/>
      <c r="AA58" s="189"/>
      <c r="AB58" s="147"/>
      <c r="AC58" s="364">
        <f t="shared" si="51"/>
        <v>30.000000000000249</v>
      </c>
      <c r="AD58" s="188">
        <f>N58-errX01</f>
        <v>0.03</v>
      </c>
      <c r="AE58" s="188">
        <f t="shared" si="53"/>
        <v>9.999999999999995E-3</v>
      </c>
      <c r="AF58" s="192"/>
      <c r="AG58" s="179"/>
      <c r="AH58" s="192"/>
      <c r="AT58" s="430">
        <v>0.5</v>
      </c>
      <c r="AU58" s="6">
        <v>0</v>
      </c>
      <c r="AV58" s="79">
        <f>$A$56*0.5</f>
        <v>3.8</v>
      </c>
      <c r="AW58" s="1">
        <v>0</v>
      </c>
      <c r="AX58" s="1">
        <v>0</v>
      </c>
      <c r="AY58" s="1">
        <v>0</v>
      </c>
      <c r="AZ58" s="135">
        <v>0</v>
      </c>
      <c r="BA58" s="182">
        <v>1105</v>
      </c>
      <c r="BB58" s="182">
        <v>1105</v>
      </c>
      <c r="BC58" s="182">
        <v>-2172</v>
      </c>
      <c r="BD58" s="182">
        <v>1105</v>
      </c>
      <c r="BE58" s="182">
        <v>1104</v>
      </c>
      <c r="BF58" s="183">
        <v>-2172</v>
      </c>
      <c r="BG58" s="116">
        <v>0.02</v>
      </c>
      <c r="BH58" s="186">
        <v>4.3899999999999997</v>
      </c>
      <c r="BI58" s="432">
        <v>0.08</v>
      </c>
      <c r="BJ58" s="364">
        <v>30.000000000000249</v>
      </c>
    </row>
    <row r="59" spans="1:62">
      <c r="A59" s="430">
        <v>0.75</v>
      </c>
      <c r="B59" s="6">
        <v>0</v>
      </c>
      <c r="C59" s="79">
        <f>$A$56*0.75</f>
        <v>5.6999999999999993</v>
      </c>
      <c r="D59" s="1">
        <v>0</v>
      </c>
      <c r="E59" s="1">
        <v>0</v>
      </c>
      <c r="F59" s="1">
        <v>0</v>
      </c>
      <c r="G59" s="1">
        <v>0</v>
      </c>
      <c r="H59" s="181">
        <v>1667</v>
      </c>
      <c r="I59" s="182">
        <v>1667</v>
      </c>
      <c r="J59" s="182">
        <v>-3250</v>
      </c>
      <c r="K59" s="182">
        <v>1666</v>
      </c>
      <c r="L59" s="182">
        <v>1667</v>
      </c>
      <c r="M59" s="183">
        <v>-3251</v>
      </c>
      <c r="N59" s="116">
        <v>0.02</v>
      </c>
      <c r="O59" s="186">
        <v>6.3</v>
      </c>
      <c r="P59" s="432">
        <v>0.09</v>
      </c>
      <c r="Q59" s="426"/>
      <c r="R59" s="62"/>
      <c r="S59" s="62"/>
      <c r="T59" s="112"/>
      <c r="V59" s="71"/>
      <c r="W59" s="71"/>
      <c r="X59" s="71"/>
      <c r="Y59" s="71"/>
      <c r="Z59" s="71"/>
      <c r="AA59" s="189"/>
      <c r="AB59" s="147"/>
      <c r="AC59" s="364">
        <f t="shared" si="51"/>
        <v>19.999999999999574</v>
      </c>
      <c r="AD59" s="188">
        <f t="shared" si="52"/>
        <v>0.03</v>
      </c>
      <c r="AE59" s="188">
        <f t="shared" si="53"/>
        <v>1.999999999999999E-2</v>
      </c>
      <c r="AF59" s="192"/>
      <c r="AG59" s="105" t="s">
        <v>72</v>
      </c>
      <c r="AH59" s="192"/>
      <c r="AT59" s="430">
        <v>0.75</v>
      </c>
      <c r="AU59" s="6">
        <v>0</v>
      </c>
      <c r="AV59" s="79">
        <f>$A$56*0.75</f>
        <v>5.6999999999999993</v>
      </c>
      <c r="AW59" s="1">
        <v>0</v>
      </c>
      <c r="AX59" s="1">
        <v>0</v>
      </c>
      <c r="AY59" s="1">
        <v>0</v>
      </c>
      <c r="AZ59" s="135">
        <v>0</v>
      </c>
      <c r="BA59" s="182">
        <v>1667</v>
      </c>
      <c r="BB59" s="182">
        <v>1667</v>
      </c>
      <c r="BC59" s="182">
        <v>-3250</v>
      </c>
      <c r="BD59" s="182">
        <v>1666</v>
      </c>
      <c r="BE59" s="182">
        <v>1667</v>
      </c>
      <c r="BF59" s="183">
        <v>-3251</v>
      </c>
      <c r="BG59" s="116">
        <v>0.02</v>
      </c>
      <c r="BH59" s="186">
        <v>6.3</v>
      </c>
      <c r="BI59" s="432">
        <v>0.09</v>
      </c>
      <c r="BJ59" s="364">
        <v>19.999999999999574</v>
      </c>
    </row>
    <row r="60" spans="1:62">
      <c r="A60" s="430">
        <v>1</v>
      </c>
      <c r="B60" s="6">
        <v>0</v>
      </c>
      <c r="C60" s="79">
        <f>$A$56*1</f>
        <v>7.6</v>
      </c>
      <c r="D60" s="1">
        <v>0</v>
      </c>
      <c r="E60" s="1">
        <v>0</v>
      </c>
      <c r="F60" s="1">
        <v>0</v>
      </c>
      <c r="G60" s="1">
        <v>0</v>
      </c>
      <c r="H60" s="181">
        <v>2237</v>
      </c>
      <c r="I60" s="182">
        <v>2237</v>
      </c>
      <c r="J60" s="182">
        <v>-4324</v>
      </c>
      <c r="K60" s="182">
        <v>2235</v>
      </c>
      <c r="L60" s="182">
        <v>2235</v>
      </c>
      <c r="M60" s="183">
        <v>-4324</v>
      </c>
      <c r="N60" s="116">
        <v>0.04</v>
      </c>
      <c r="O60" s="186">
        <v>8.19</v>
      </c>
      <c r="P60" s="432">
        <v>0.1</v>
      </c>
      <c r="Q60" s="426"/>
      <c r="R60" s="62"/>
      <c r="S60" s="62"/>
      <c r="T60" s="112"/>
      <c r="U60" s="105"/>
      <c r="V60" s="250"/>
      <c r="W60" s="251"/>
      <c r="X60" s="251"/>
      <c r="Y60" s="251"/>
      <c r="Z60" s="251"/>
      <c r="AA60" s="252"/>
      <c r="AB60" s="253"/>
      <c r="AC60" s="364">
        <f t="shared" si="51"/>
        <v>30.000000000000249</v>
      </c>
      <c r="AD60" s="188">
        <f t="shared" si="52"/>
        <v>0.05</v>
      </c>
      <c r="AE60" s="188">
        <f t="shared" si="53"/>
        <v>0.03</v>
      </c>
      <c r="AF60" s="192"/>
      <c r="AG60" s="179"/>
      <c r="AH60" s="192"/>
      <c r="AT60" s="430">
        <v>1</v>
      </c>
      <c r="AU60" s="6">
        <v>0</v>
      </c>
      <c r="AV60" s="79">
        <f>$A$56*1</f>
        <v>7.6</v>
      </c>
      <c r="AW60" s="1">
        <v>0</v>
      </c>
      <c r="AX60" s="1">
        <v>0</v>
      </c>
      <c r="AY60" s="1">
        <v>0</v>
      </c>
      <c r="AZ60" s="135">
        <v>0</v>
      </c>
      <c r="BA60" s="182">
        <v>2237</v>
      </c>
      <c r="BB60" s="182">
        <v>2237</v>
      </c>
      <c r="BC60" s="182">
        <v>-4324</v>
      </c>
      <c r="BD60" s="182">
        <v>2235</v>
      </c>
      <c r="BE60" s="182">
        <v>2235</v>
      </c>
      <c r="BF60" s="183">
        <v>-4324</v>
      </c>
      <c r="BG60" s="116">
        <v>0.04</v>
      </c>
      <c r="BH60" s="186">
        <v>8.19</v>
      </c>
      <c r="BI60" s="432">
        <v>0.1</v>
      </c>
      <c r="BJ60" s="364">
        <v>30.000000000000249</v>
      </c>
    </row>
    <row r="61" spans="1:62">
      <c r="A61" s="430">
        <v>-0.25</v>
      </c>
      <c r="B61" s="6">
        <v>0</v>
      </c>
      <c r="C61" s="79">
        <f>+-$A$56*0.25</f>
        <v>-1.9</v>
      </c>
      <c r="D61" s="1">
        <v>0</v>
      </c>
      <c r="E61" s="1">
        <v>0</v>
      </c>
      <c r="F61" s="1">
        <v>0</v>
      </c>
      <c r="G61" s="1">
        <v>0</v>
      </c>
      <c r="H61" s="181">
        <v>-543</v>
      </c>
      <c r="I61" s="182">
        <v>-542</v>
      </c>
      <c r="J61" s="182">
        <v>1093</v>
      </c>
      <c r="K61" s="182">
        <v>-542</v>
      </c>
      <c r="L61" s="182">
        <v>-542</v>
      </c>
      <c r="M61" s="183">
        <v>1094</v>
      </c>
      <c r="N61" s="116">
        <v>0.34</v>
      </c>
      <c r="O61" s="186">
        <v>-1.36</v>
      </c>
      <c r="P61" s="432">
        <v>0.1</v>
      </c>
      <c r="Q61" s="426"/>
      <c r="R61" s="62"/>
      <c r="S61" s="62"/>
      <c r="T61" s="112"/>
      <c r="U61" s="105"/>
      <c r="V61" s="250"/>
      <c r="W61" s="251"/>
      <c r="X61" s="251"/>
      <c r="Y61" s="251"/>
      <c r="Z61" s="251"/>
      <c r="AA61" s="189"/>
      <c r="AB61" s="147"/>
      <c r="AC61" s="364">
        <f t="shared" si="51"/>
        <v>80.000000000000071</v>
      </c>
      <c r="AD61" s="188">
        <f t="shared" si="52"/>
        <v>0.35000000000000003</v>
      </c>
      <c r="AE61" s="192">
        <f t="shared" si="53"/>
        <v>0.03</v>
      </c>
      <c r="AF61" s="192"/>
      <c r="AG61" s="179"/>
      <c r="AH61" s="192"/>
      <c r="AT61" s="430">
        <v>-0.25</v>
      </c>
      <c r="AU61" s="6">
        <v>0</v>
      </c>
      <c r="AV61" s="79">
        <f>+-$A$56*0.25</f>
        <v>-1.9</v>
      </c>
      <c r="AW61" s="1">
        <v>0</v>
      </c>
      <c r="AX61" s="1">
        <v>0</v>
      </c>
      <c r="AY61" s="1">
        <v>0</v>
      </c>
      <c r="AZ61" s="135">
        <v>0</v>
      </c>
      <c r="BA61" s="182">
        <v>-543</v>
      </c>
      <c r="BB61" s="182">
        <v>-542</v>
      </c>
      <c r="BC61" s="182">
        <v>1093</v>
      </c>
      <c r="BD61" s="182">
        <v>-542</v>
      </c>
      <c r="BE61" s="182">
        <v>-542</v>
      </c>
      <c r="BF61" s="183">
        <v>1094</v>
      </c>
      <c r="BG61" s="116">
        <v>0.34</v>
      </c>
      <c r="BH61" s="186">
        <v>-1.36</v>
      </c>
      <c r="BI61" s="432">
        <v>0.1</v>
      </c>
      <c r="BJ61" s="364">
        <v>80.000000000000071</v>
      </c>
    </row>
    <row r="62" spans="1:62">
      <c r="A62" s="430">
        <v>-0.5</v>
      </c>
      <c r="B62" s="6">
        <v>0</v>
      </c>
      <c r="C62" s="79">
        <f>+-$A$56*0.5</f>
        <v>-3.8</v>
      </c>
      <c r="D62" s="1">
        <v>0</v>
      </c>
      <c r="E62" s="1">
        <v>0</v>
      </c>
      <c r="F62" s="1">
        <v>0</v>
      </c>
      <c r="G62" s="1">
        <v>0</v>
      </c>
      <c r="H62" s="181">
        <v>-1078</v>
      </c>
      <c r="I62" s="182">
        <v>-1078</v>
      </c>
      <c r="J62" s="182">
        <v>2192</v>
      </c>
      <c r="K62" s="182">
        <v>-1078</v>
      </c>
      <c r="L62" s="182">
        <v>-1077</v>
      </c>
      <c r="M62" s="183">
        <v>2192</v>
      </c>
      <c r="N62" s="116">
        <v>0.31</v>
      </c>
      <c r="O62" s="186">
        <v>-3.25</v>
      </c>
      <c r="P62" s="432">
        <v>0.09</v>
      </c>
      <c r="Q62" s="426"/>
      <c r="R62" s="62"/>
      <c r="S62" s="62"/>
      <c r="T62" s="112"/>
      <c r="U62" s="105"/>
      <c r="V62" s="147"/>
      <c r="W62" s="147"/>
      <c r="X62" s="147"/>
      <c r="Y62" s="147"/>
      <c r="Z62" s="147"/>
      <c r="AA62" s="189"/>
      <c r="AB62" s="147"/>
      <c r="AC62" s="364">
        <f t="shared" si="51"/>
        <v>70.000000000000284</v>
      </c>
      <c r="AD62" s="192">
        <f t="shared" si="52"/>
        <v>0.32</v>
      </c>
      <c r="AE62" s="192">
        <f t="shared" si="53"/>
        <v>1.999999999999999E-2</v>
      </c>
      <c r="AF62" s="192"/>
      <c r="AG62" s="179"/>
      <c r="AH62" s="192"/>
      <c r="AT62" s="430">
        <v>-0.5</v>
      </c>
      <c r="AU62" s="6">
        <v>0</v>
      </c>
      <c r="AV62" s="79">
        <f>+-$A$56*0.5</f>
        <v>-3.8</v>
      </c>
      <c r="AW62" s="1">
        <v>0</v>
      </c>
      <c r="AX62" s="1">
        <v>0</v>
      </c>
      <c r="AY62" s="1">
        <v>0</v>
      </c>
      <c r="AZ62" s="135">
        <v>0</v>
      </c>
      <c r="BA62" s="182">
        <v>-1078</v>
      </c>
      <c r="BB62" s="182">
        <v>-1078</v>
      </c>
      <c r="BC62" s="182">
        <v>2192</v>
      </c>
      <c r="BD62" s="182">
        <v>-1078</v>
      </c>
      <c r="BE62" s="182">
        <v>-1077</v>
      </c>
      <c r="BF62" s="183">
        <v>2192</v>
      </c>
      <c r="BG62" s="116">
        <v>0.31</v>
      </c>
      <c r="BH62" s="186">
        <v>-3.25</v>
      </c>
      <c r="BI62" s="432">
        <v>0.09</v>
      </c>
      <c r="BJ62" s="364">
        <v>70.000000000000284</v>
      </c>
    </row>
    <row r="63" spans="1:62">
      <c r="A63" s="430">
        <v>-0.75</v>
      </c>
      <c r="B63" s="6">
        <v>0</v>
      </c>
      <c r="C63" s="79">
        <f>+-$A$56*0.75</f>
        <v>-5.6999999999999993</v>
      </c>
      <c r="D63" s="1">
        <v>0</v>
      </c>
      <c r="E63" s="1">
        <v>0</v>
      </c>
      <c r="F63" s="1">
        <v>0</v>
      </c>
      <c r="G63" s="1">
        <v>0</v>
      </c>
      <c r="H63" s="181">
        <v>-1607</v>
      </c>
      <c r="I63" s="182">
        <v>-1607</v>
      </c>
      <c r="J63" s="182">
        <v>3294</v>
      </c>
      <c r="K63" s="182">
        <v>-1606</v>
      </c>
      <c r="L63" s="182">
        <v>-1606</v>
      </c>
      <c r="M63" s="183">
        <v>3295</v>
      </c>
      <c r="N63" s="116">
        <v>-0.25</v>
      </c>
      <c r="O63" s="186">
        <v>-4.97</v>
      </c>
      <c r="P63" s="432">
        <v>0.01</v>
      </c>
      <c r="Q63" s="426"/>
      <c r="R63" s="62"/>
      <c r="S63" s="62"/>
      <c r="T63" s="112"/>
      <c r="U63" s="105"/>
      <c r="V63" s="147"/>
      <c r="W63" s="147"/>
      <c r="X63" s="147"/>
      <c r="Y63" s="147"/>
      <c r="Z63" s="147"/>
      <c r="AA63" s="189"/>
      <c r="AB63" s="147"/>
      <c r="AC63" s="364">
        <f t="shared" si="51"/>
        <v>109.99999999999943</v>
      </c>
      <c r="AD63" s="192">
        <f t="shared" si="52"/>
        <v>-0.24</v>
      </c>
      <c r="AE63" s="192">
        <f t="shared" si="53"/>
        <v>-6.0000000000000005E-2</v>
      </c>
      <c r="AF63" s="192"/>
      <c r="AG63" s="179"/>
      <c r="AH63" s="192"/>
      <c r="AT63" s="430">
        <v>-0.75</v>
      </c>
      <c r="AU63" s="6">
        <v>0</v>
      </c>
      <c r="AV63" s="79">
        <f>+-$A$56*0.75</f>
        <v>-5.6999999999999993</v>
      </c>
      <c r="AW63" s="1">
        <v>0</v>
      </c>
      <c r="AX63" s="1">
        <v>0</v>
      </c>
      <c r="AY63" s="1">
        <v>0</v>
      </c>
      <c r="AZ63" s="135">
        <v>0</v>
      </c>
      <c r="BA63" s="182">
        <v>-1607</v>
      </c>
      <c r="BB63" s="182">
        <v>-1607</v>
      </c>
      <c r="BC63" s="182">
        <v>3294</v>
      </c>
      <c r="BD63" s="182">
        <v>-1606</v>
      </c>
      <c r="BE63" s="182">
        <v>-1606</v>
      </c>
      <c r="BF63" s="183">
        <v>3295</v>
      </c>
      <c r="BG63" s="116">
        <v>-0.25</v>
      </c>
      <c r="BH63" s="186">
        <v>-4.97</v>
      </c>
      <c r="BI63" s="432">
        <v>0.01</v>
      </c>
      <c r="BJ63" s="364">
        <v>109.99999999999943</v>
      </c>
    </row>
    <row r="64" spans="1:62">
      <c r="A64" s="430">
        <v>-1</v>
      </c>
      <c r="B64" s="6">
        <v>0</v>
      </c>
      <c r="C64" s="79">
        <f>+-$A$56*1</f>
        <v>-7.6</v>
      </c>
      <c r="D64" s="1">
        <v>0</v>
      </c>
      <c r="E64" s="1">
        <v>0</v>
      </c>
      <c r="F64" s="1">
        <v>0</v>
      </c>
      <c r="G64" s="1">
        <v>0</v>
      </c>
      <c r="H64" s="181">
        <v>-2129</v>
      </c>
      <c r="I64" s="182">
        <v>-2129</v>
      </c>
      <c r="J64" s="182">
        <v>4402</v>
      </c>
      <c r="K64" s="182">
        <v>-2128</v>
      </c>
      <c r="L64" s="182">
        <v>-2128</v>
      </c>
      <c r="M64" s="183">
        <v>4402</v>
      </c>
      <c r="N64" s="116">
        <v>-0.28999999999999998</v>
      </c>
      <c r="O64" s="186">
        <v>-6.86</v>
      </c>
      <c r="P64" s="432">
        <v>0.01</v>
      </c>
      <c r="Q64" s="426"/>
      <c r="R64" s="62"/>
      <c r="S64" s="62"/>
      <c r="T64" s="112"/>
      <c r="U64" s="105"/>
      <c r="V64" s="147"/>
      <c r="W64" s="147"/>
      <c r="X64" s="147"/>
      <c r="Y64" s="147"/>
      <c r="Z64" s="147"/>
      <c r="AA64" s="189"/>
      <c r="AB64" s="147"/>
      <c r="AC64" s="364">
        <f t="shared" si="51"/>
        <v>119.99999999999922</v>
      </c>
      <c r="AD64" s="188">
        <f t="shared" si="52"/>
        <v>-0.27999999999999997</v>
      </c>
      <c r="AE64" s="188">
        <f t="shared" si="53"/>
        <v>-6.0000000000000005E-2</v>
      </c>
      <c r="AF64" s="192"/>
      <c r="AG64" s="179"/>
      <c r="AH64" s="192"/>
      <c r="AT64" s="430">
        <v>-1</v>
      </c>
      <c r="AU64" s="6">
        <v>0</v>
      </c>
      <c r="AV64" s="79">
        <f>+-$A$56*1</f>
        <v>-7.6</v>
      </c>
      <c r="AW64" s="1">
        <v>0</v>
      </c>
      <c r="AX64" s="1">
        <v>0</v>
      </c>
      <c r="AY64" s="1">
        <v>0</v>
      </c>
      <c r="AZ64" s="135">
        <v>0</v>
      </c>
      <c r="BA64" s="182">
        <v>-2129</v>
      </c>
      <c r="BB64" s="182">
        <v>-2129</v>
      </c>
      <c r="BC64" s="182">
        <v>4402</v>
      </c>
      <c r="BD64" s="182">
        <v>-2128</v>
      </c>
      <c r="BE64" s="182">
        <v>-2128</v>
      </c>
      <c r="BF64" s="183">
        <v>4402</v>
      </c>
      <c r="BG64" s="116">
        <v>-0.28999999999999998</v>
      </c>
      <c r="BH64" s="186">
        <v>-6.86</v>
      </c>
      <c r="BI64" s="432">
        <v>0.01</v>
      </c>
      <c r="BJ64" s="364">
        <v>119.99999999999922</v>
      </c>
    </row>
    <row r="65" spans="1:67">
      <c r="A65" s="421" t="s">
        <v>71</v>
      </c>
      <c r="B65" s="43" t="s">
        <v>75</v>
      </c>
      <c r="C65" s="3"/>
      <c r="D65" s="3"/>
      <c r="E65" s="3"/>
      <c r="F65" s="3"/>
      <c r="G65" s="3"/>
      <c r="H65" s="42" t="s">
        <v>70</v>
      </c>
      <c r="I65" s="24"/>
      <c r="J65" s="24"/>
      <c r="K65" s="34"/>
      <c r="L65" s="35"/>
      <c r="M65" s="36"/>
      <c r="N65" s="24"/>
      <c r="O65" s="73"/>
      <c r="P65" s="74"/>
      <c r="Q65" s="301"/>
      <c r="R65" s="73"/>
      <c r="S65" s="194"/>
      <c r="T65" s="74"/>
      <c r="U65" s="108"/>
      <c r="V65" s="152"/>
      <c r="W65" s="152"/>
      <c r="X65" s="152"/>
      <c r="Y65" s="152"/>
      <c r="Z65" s="152"/>
      <c r="AA65" s="197"/>
      <c r="AB65" s="152"/>
      <c r="AC65" s="403" t="s">
        <v>0</v>
      </c>
      <c r="AD65" s="5"/>
      <c r="AE65" s="5"/>
      <c r="AF65" s="197"/>
      <c r="AG65" s="179"/>
      <c r="AH65" s="192"/>
      <c r="AT65" s="421" t="s">
        <v>292</v>
      </c>
      <c r="AU65" s="289" t="s">
        <v>75</v>
      </c>
      <c r="AV65" s="290"/>
      <c r="AW65" s="290"/>
      <c r="AX65" s="290"/>
      <c r="AY65" s="290"/>
      <c r="AZ65" s="448"/>
      <c r="BA65" s="24" t="s">
        <v>70</v>
      </c>
      <c r="BB65" s="24"/>
      <c r="BC65" s="24"/>
      <c r="BD65" s="35"/>
      <c r="BE65" s="35"/>
      <c r="BF65" s="36"/>
      <c r="BG65" s="24"/>
      <c r="BH65" s="73"/>
      <c r="BI65" s="74"/>
      <c r="BJ65" s="403" t="s">
        <v>0</v>
      </c>
    </row>
    <row r="66" spans="1:67">
      <c r="A66" s="422">
        <v>7.6</v>
      </c>
      <c r="B66" s="341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241">
        <v>0</v>
      </c>
      <c r="I66" s="242">
        <v>0</v>
      </c>
      <c r="J66" s="242">
        <v>0</v>
      </c>
      <c r="K66" s="242">
        <v>0</v>
      </c>
      <c r="L66" s="242">
        <v>0</v>
      </c>
      <c r="M66" s="243">
        <v>0</v>
      </c>
      <c r="N66" s="244">
        <v>-0.27</v>
      </c>
      <c r="O66" s="305">
        <v>0.68</v>
      </c>
      <c r="P66" s="261">
        <v>0.04</v>
      </c>
      <c r="Q66" s="301"/>
      <c r="R66" s="73"/>
      <c r="S66" s="73"/>
      <c r="T66" s="74"/>
      <c r="U66" s="108"/>
      <c r="V66" s="152"/>
      <c r="W66" s="152"/>
      <c r="X66" s="152"/>
      <c r="Y66" s="152"/>
      <c r="Z66" s="152"/>
      <c r="AA66" s="197"/>
      <c r="AB66" s="152"/>
      <c r="AC66" s="363" t="s">
        <v>245</v>
      </c>
      <c r="AD66" s="5"/>
      <c r="AE66" s="5"/>
      <c r="AF66" s="197"/>
      <c r="AG66" s="179"/>
      <c r="AH66" s="192"/>
      <c r="AT66" s="422" t="s">
        <v>250</v>
      </c>
      <c r="AU66" s="341">
        <v>0</v>
      </c>
      <c r="AV66" s="3">
        <v>0</v>
      </c>
      <c r="AW66" s="3">
        <v>0</v>
      </c>
      <c r="AX66" s="3">
        <v>0</v>
      </c>
      <c r="AY66" s="3">
        <v>0</v>
      </c>
      <c r="AZ66" s="4">
        <v>0</v>
      </c>
      <c r="BA66" s="242">
        <v>0</v>
      </c>
      <c r="BB66" s="242">
        <v>0</v>
      </c>
      <c r="BC66" s="242">
        <v>0</v>
      </c>
      <c r="BD66" s="242">
        <v>0</v>
      </c>
      <c r="BE66" s="242">
        <v>0</v>
      </c>
      <c r="BF66" s="243">
        <v>0</v>
      </c>
      <c r="BG66" s="244">
        <v>-0.27</v>
      </c>
      <c r="BH66" s="305">
        <v>0.68</v>
      </c>
      <c r="BI66" s="261">
        <v>0.04</v>
      </c>
      <c r="BJ66" s="363" t="s">
        <v>245</v>
      </c>
    </row>
    <row r="67" spans="1:67">
      <c r="A67" s="430">
        <v>0.25</v>
      </c>
      <c r="B67" s="342">
        <f>$A$66*0.25</f>
        <v>1.9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81">
        <v>-942</v>
      </c>
      <c r="I67" s="182">
        <v>948</v>
      </c>
      <c r="J67" s="182">
        <v>3</v>
      </c>
      <c r="K67" s="182">
        <v>-942</v>
      </c>
      <c r="L67" s="182">
        <v>947</v>
      </c>
      <c r="M67" s="183">
        <v>3</v>
      </c>
      <c r="N67" s="186">
        <v>1.61</v>
      </c>
      <c r="O67" s="187">
        <v>0.66</v>
      </c>
      <c r="P67" s="432">
        <v>0.04</v>
      </c>
      <c r="Q67" s="426"/>
      <c r="R67" s="62"/>
      <c r="S67" s="62"/>
      <c r="T67" s="112"/>
      <c r="U67" s="105"/>
      <c r="V67" s="190"/>
      <c r="W67" s="190"/>
      <c r="X67" s="190"/>
      <c r="Y67" s="190"/>
      <c r="Z67" s="190"/>
      <c r="AA67" s="189"/>
      <c r="AB67" s="190"/>
      <c r="AC67" s="364">
        <f t="shared" ref="AC67:AC74" si="54">ABS(((N67-errX03)-B67)*1000)</f>
        <v>19.999999999999794</v>
      </c>
      <c r="AD67" s="192"/>
      <c r="AE67" s="192"/>
      <c r="AF67" s="192"/>
      <c r="AG67" s="179"/>
      <c r="AH67" s="192"/>
      <c r="AT67" s="430">
        <v>0.25</v>
      </c>
      <c r="AU67" s="342">
        <f>$A$66*0.25</f>
        <v>1.9</v>
      </c>
      <c r="AV67" s="1">
        <v>0</v>
      </c>
      <c r="AW67" s="1">
        <v>0</v>
      </c>
      <c r="AX67" s="1">
        <v>0</v>
      </c>
      <c r="AY67" s="1">
        <v>0</v>
      </c>
      <c r="AZ67" s="135">
        <v>0</v>
      </c>
      <c r="BA67" s="182">
        <v>-942</v>
      </c>
      <c r="BB67" s="182">
        <v>948</v>
      </c>
      <c r="BC67" s="182">
        <v>3</v>
      </c>
      <c r="BD67" s="182">
        <v>-942</v>
      </c>
      <c r="BE67" s="182">
        <v>947</v>
      </c>
      <c r="BF67" s="183">
        <v>3</v>
      </c>
      <c r="BG67" s="186">
        <v>1.61</v>
      </c>
      <c r="BH67" s="187">
        <v>0.66</v>
      </c>
      <c r="BI67" s="432">
        <v>0.04</v>
      </c>
      <c r="BJ67" s="364">
        <v>19.999999999999794</v>
      </c>
    </row>
    <row r="68" spans="1:67">
      <c r="A68" s="430">
        <v>0.5</v>
      </c>
      <c r="B68" s="342">
        <f>$A$66*0.5</f>
        <v>3.8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81">
        <v>-1879</v>
      </c>
      <c r="I68" s="182">
        <v>1901</v>
      </c>
      <c r="J68" s="182">
        <v>14</v>
      </c>
      <c r="K68" s="182">
        <v>-1879</v>
      </c>
      <c r="L68" s="182">
        <v>1901</v>
      </c>
      <c r="M68" s="183">
        <v>14</v>
      </c>
      <c r="N68" s="186">
        <v>3.51</v>
      </c>
      <c r="O68" s="187">
        <v>0.65</v>
      </c>
      <c r="P68" s="432">
        <v>0.04</v>
      </c>
      <c r="Q68" s="426"/>
      <c r="R68" s="62"/>
      <c r="S68" s="62"/>
      <c r="T68" s="112"/>
      <c r="U68" s="105"/>
      <c r="V68" s="190"/>
      <c r="W68" s="190"/>
      <c r="X68" s="190"/>
      <c r="Y68" s="190"/>
      <c r="Z68" s="190"/>
      <c r="AA68" s="189"/>
      <c r="AB68" s="190"/>
      <c r="AC68" s="364">
        <f t="shared" si="54"/>
        <v>20.000000000000018</v>
      </c>
      <c r="AD68" s="192"/>
      <c r="AE68" s="192"/>
      <c r="AF68" s="192"/>
      <c r="AG68" s="338" t="s">
        <v>107</v>
      </c>
      <c r="AH68" s="339">
        <v>0.125</v>
      </c>
      <c r="AT68" s="430">
        <v>0.5</v>
      </c>
      <c r="AU68" s="342">
        <f>$A$66*0.5</f>
        <v>3.8</v>
      </c>
      <c r="AV68" s="1">
        <v>0</v>
      </c>
      <c r="AW68" s="1">
        <v>0</v>
      </c>
      <c r="AX68" s="1">
        <v>0</v>
      </c>
      <c r="AY68" s="1">
        <v>0</v>
      </c>
      <c r="AZ68" s="135">
        <v>0</v>
      </c>
      <c r="BA68" s="182">
        <v>-1879</v>
      </c>
      <c r="BB68" s="182">
        <v>1901</v>
      </c>
      <c r="BC68" s="182">
        <v>14</v>
      </c>
      <c r="BD68" s="182">
        <v>-1879</v>
      </c>
      <c r="BE68" s="182">
        <v>1901</v>
      </c>
      <c r="BF68" s="183">
        <v>14</v>
      </c>
      <c r="BG68" s="186">
        <v>3.51</v>
      </c>
      <c r="BH68" s="187">
        <v>0.65</v>
      </c>
      <c r="BI68" s="432">
        <v>0.04</v>
      </c>
      <c r="BJ68" s="364">
        <v>20.000000000000018</v>
      </c>
    </row>
    <row r="69" spans="1:67">
      <c r="A69" s="430">
        <v>0.75</v>
      </c>
      <c r="B69" s="342">
        <f>$A$66*0.75</f>
        <v>5.6999999999999993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81">
        <v>-2810</v>
      </c>
      <c r="I69" s="182">
        <v>2860</v>
      </c>
      <c r="J69" s="182">
        <v>33</v>
      </c>
      <c r="K69" s="182">
        <v>-2810</v>
      </c>
      <c r="L69" s="182">
        <v>2859</v>
      </c>
      <c r="M69" s="183">
        <v>33</v>
      </c>
      <c r="N69" s="186">
        <v>5.41</v>
      </c>
      <c r="O69" s="187">
        <v>0.65</v>
      </c>
      <c r="P69" s="432">
        <v>0.04</v>
      </c>
      <c r="Q69" s="426"/>
      <c r="R69" s="62"/>
      <c r="S69" s="62"/>
      <c r="T69" s="112"/>
      <c r="U69" s="105"/>
      <c r="V69" s="190"/>
      <c r="W69" s="190"/>
      <c r="X69" s="190"/>
      <c r="Y69" s="190"/>
      <c r="Z69" s="190"/>
      <c r="AA69" s="189"/>
      <c r="AB69" s="190"/>
      <c r="AC69" s="364">
        <f t="shared" si="54"/>
        <v>19.999999999999574</v>
      </c>
      <c r="AD69" s="192"/>
      <c r="AE69" s="192"/>
      <c r="AF69" s="192"/>
      <c r="AG69" s="179"/>
      <c r="AH69" s="192"/>
      <c r="AT69" s="430">
        <v>0.75</v>
      </c>
      <c r="AU69" s="342">
        <f>$A$66*0.75</f>
        <v>5.6999999999999993</v>
      </c>
      <c r="AV69" s="1">
        <v>0</v>
      </c>
      <c r="AW69" s="1">
        <v>0</v>
      </c>
      <c r="AX69" s="1">
        <v>0</v>
      </c>
      <c r="AY69" s="1">
        <v>0</v>
      </c>
      <c r="AZ69" s="135">
        <v>0</v>
      </c>
      <c r="BA69" s="182">
        <v>-2810</v>
      </c>
      <c r="BB69" s="182">
        <v>2860</v>
      </c>
      <c r="BC69" s="182">
        <v>33</v>
      </c>
      <c r="BD69" s="182">
        <v>-2810</v>
      </c>
      <c r="BE69" s="182">
        <v>2859</v>
      </c>
      <c r="BF69" s="183">
        <v>33</v>
      </c>
      <c r="BG69" s="186">
        <v>5.41</v>
      </c>
      <c r="BH69" s="187">
        <v>0.65</v>
      </c>
      <c r="BI69" s="432">
        <v>0.04</v>
      </c>
      <c r="BJ69" s="364">
        <v>19.999999999999574</v>
      </c>
    </row>
    <row r="70" spans="1:67">
      <c r="A70" s="430">
        <v>1</v>
      </c>
      <c r="B70" s="342">
        <f>$A$66*1</f>
        <v>7.6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81">
        <v>-3736</v>
      </c>
      <c r="I70" s="182">
        <v>3824</v>
      </c>
      <c r="J70" s="182">
        <v>58</v>
      </c>
      <c r="K70" s="182">
        <v>-3735</v>
      </c>
      <c r="L70" s="182">
        <v>3823</v>
      </c>
      <c r="M70" s="183">
        <v>58</v>
      </c>
      <c r="N70" s="186">
        <v>7.3</v>
      </c>
      <c r="O70" s="187">
        <v>0.65</v>
      </c>
      <c r="P70" s="432">
        <v>0.04</v>
      </c>
      <c r="Q70" s="426"/>
      <c r="R70" s="62"/>
      <c r="S70" s="62"/>
      <c r="T70" s="112"/>
      <c r="U70" s="105"/>
      <c r="V70" s="190"/>
      <c r="W70" s="190"/>
      <c r="X70" s="190"/>
      <c r="Y70" s="190"/>
      <c r="Z70" s="190"/>
      <c r="AA70" s="189"/>
      <c r="AB70" s="190"/>
      <c r="AC70" s="364">
        <f t="shared" si="54"/>
        <v>29.999999999999361</v>
      </c>
      <c r="AD70" s="179"/>
      <c r="AE70" s="39"/>
      <c r="AF70" s="189"/>
      <c r="AG70" s="179"/>
      <c r="AH70" s="192"/>
      <c r="AT70" s="430">
        <v>1</v>
      </c>
      <c r="AU70" s="342">
        <f>$A$66*1</f>
        <v>7.6</v>
      </c>
      <c r="AV70" s="1">
        <v>0</v>
      </c>
      <c r="AW70" s="1">
        <v>0</v>
      </c>
      <c r="AX70" s="1">
        <v>0</v>
      </c>
      <c r="AY70" s="1">
        <v>0</v>
      </c>
      <c r="AZ70" s="135">
        <v>0</v>
      </c>
      <c r="BA70" s="182">
        <v>-3736</v>
      </c>
      <c r="BB70" s="182">
        <v>3824</v>
      </c>
      <c r="BC70" s="182">
        <v>58</v>
      </c>
      <c r="BD70" s="182">
        <v>-3735</v>
      </c>
      <c r="BE70" s="182">
        <v>3823</v>
      </c>
      <c r="BF70" s="183">
        <v>58</v>
      </c>
      <c r="BG70" s="186">
        <v>7.3</v>
      </c>
      <c r="BH70" s="187">
        <v>0.65</v>
      </c>
      <c r="BI70" s="432">
        <v>0.04</v>
      </c>
      <c r="BJ70" s="364">
        <v>29.999999999999361</v>
      </c>
    </row>
    <row r="71" spans="1:67">
      <c r="A71" s="430">
        <v>-0.25</v>
      </c>
      <c r="B71" s="342">
        <f>+-$A$66*0.25</f>
        <v>-1.9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81">
        <v>948</v>
      </c>
      <c r="I71" s="182">
        <v>-942</v>
      </c>
      <c r="J71" s="182">
        <v>4</v>
      </c>
      <c r="K71" s="182">
        <v>948</v>
      </c>
      <c r="L71" s="182">
        <v>-943</v>
      </c>
      <c r="M71" s="183">
        <v>4</v>
      </c>
      <c r="N71" s="186">
        <v>-2.16</v>
      </c>
      <c r="O71" s="187">
        <v>0.68</v>
      </c>
      <c r="P71" s="432">
        <v>0.03</v>
      </c>
      <c r="Q71" s="426"/>
      <c r="R71" s="62"/>
      <c r="S71" s="62"/>
      <c r="T71" s="112"/>
      <c r="U71" s="105"/>
      <c r="V71" s="190"/>
      <c r="W71" s="190"/>
      <c r="X71" s="190"/>
      <c r="Y71" s="190"/>
      <c r="Z71" s="190"/>
      <c r="AA71" s="189"/>
      <c r="AB71" s="190"/>
      <c r="AC71" s="364">
        <f t="shared" si="54"/>
        <v>9.9999999999997868</v>
      </c>
      <c r="AD71" s="162"/>
      <c r="AE71" s="39"/>
      <c r="AF71" s="189"/>
      <c r="AG71" s="179"/>
      <c r="AH71" s="192"/>
      <c r="AI71">
        <f>4.97+0.51</f>
        <v>5.4799999999999995</v>
      </c>
      <c r="AJ71">
        <f>AI71-5.7</f>
        <v>-0.22000000000000064</v>
      </c>
      <c r="AT71" s="430">
        <v>-0.25</v>
      </c>
      <c r="AU71" s="342">
        <f>+-$A$66*0.25</f>
        <v>-1.9</v>
      </c>
      <c r="AV71" s="1">
        <v>0</v>
      </c>
      <c r="AW71" s="1">
        <v>0</v>
      </c>
      <c r="AX71" s="1">
        <v>0</v>
      </c>
      <c r="AY71" s="1">
        <v>0</v>
      </c>
      <c r="AZ71" s="135">
        <v>0</v>
      </c>
      <c r="BA71" s="182">
        <v>948</v>
      </c>
      <c r="BB71" s="182">
        <v>-942</v>
      </c>
      <c r="BC71" s="182">
        <v>4</v>
      </c>
      <c r="BD71" s="182">
        <v>948</v>
      </c>
      <c r="BE71" s="182">
        <v>-943</v>
      </c>
      <c r="BF71" s="183">
        <v>4</v>
      </c>
      <c r="BG71" s="186">
        <v>-2.16</v>
      </c>
      <c r="BH71" s="187">
        <v>0.68</v>
      </c>
      <c r="BI71" s="432">
        <v>0.03</v>
      </c>
      <c r="BJ71" s="364">
        <v>9.9999999999997868</v>
      </c>
    </row>
    <row r="72" spans="1:67">
      <c r="A72" s="430">
        <v>-0.5</v>
      </c>
      <c r="B72" s="342">
        <f>+-$A$66*0.5</f>
        <v>-3.8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81">
        <v>1901</v>
      </c>
      <c r="I72" s="182">
        <v>-1879</v>
      </c>
      <c r="J72" s="182">
        <v>14</v>
      </c>
      <c r="K72" s="182">
        <v>1900</v>
      </c>
      <c r="L72" s="182">
        <v>-1879</v>
      </c>
      <c r="M72" s="183">
        <v>14</v>
      </c>
      <c r="N72" s="186">
        <v>-4.04</v>
      </c>
      <c r="O72" s="187">
        <v>0.69</v>
      </c>
      <c r="P72" s="432">
        <v>0.03</v>
      </c>
      <c r="Q72" s="426"/>
      <c r="R72" s="62"/>
      <c r="S72" s="62"/>
      <c r="T72" s="112"/>
      <c r="U72" s="105"/>
      <c r="V72" s="190"/>
      <c r="W72" s="190"/>
      <c r="X72" s="190"/>
      <c r="Y72" s="190"/>
      <c r="Z72" s="190"/>
      <c r="AA72" s="189"/>
      <c r="AB72" s="190"/>
      <c r="AC72" s="364">
        <f t="shared" si="54"/>
        <v>29.999999999999805</v>
      </c>
      <c r="AD72" s="147"/>
      <c r="AE72" s="39"/>
      <c r="AF72" s="39"/>
      <c r="AG72" s="179"/>
      <c r="AH72" s="192"/>
      <c r="AT72" s="430">
        <v>-0.5</v>
      </c>
      <c r="AU72" s="342">
        <f>+-$A$66*0.5</f>
        <v>-3.8</v>
      </c>
      <c r="AV72" s="1">
        <v>0</v>
      </c>
      <c r="AW72" s="1">
        <v>0</v>
      </c>
      <c r="AX72" s="1">
        <v>0</v>
      </c>
      <c r="AY72" s="1">
        <v>0</v>
      </c>
      <c r="AZ72" s="135">
        <v>0</v>
      </c>
      <c r="BA72" s="182">
        <v>1901</v>
      </c>
      <c r="BB72" s="182">
        <v>-1879</v>
      </c>
      <c r="BC72" s="182">
        <v>14</v>
      </c>
      <c r="BD72" s="182">
        <v>1900</v>
      </c>
      <c r="BE72" s="182">
        <v>-1879</v>
      </c>
      <c r="BF72" s="183">
        <v>14</v>
      </c>
      <c r="BG72" s="186">
        <v>-4.04</v>
      </c>
      <c r="BH72" s="187">
        <v>0.69</v>
      </c>
      <c r="BI72" s="432">
        <v>0.03</v>
      </c>
      <c r="BJ72" s="364">
        <v>29.999999999999805</v>
      </c>
    </row>
    <row r="73" spans="1:67">
      <c r="A73" s="430">
        <v>-0.75</v>
      </c>
      <c r="B73" s="342">
        <f>+-$A$66*0.75</f>
        <v>-5.6999999999999993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81">
        <v>2860</v>
      </c>
      <c r="I73" s="182">
        <v>-2810</v>
      </c>
      <c r="J73" s="182">
        <v>32</v>
      </c>
      <c r="K73" s="182">
        <v>2859</v>
      </c>
      <c r="L73" s="182">
        <v>-2810</v>
      </c>
      <c r="M73" s="183">
        <v>33</v>
      </c>
      <c r="N73" s="186">
        <v>-5.94</v>
      </c>
      <c r="O73" s="187">
        <v>0.7</v>
      </c>
      <c r="P73" s="432">
        <v>0.03</v>
      </c>
      <c r="Q73" s="426"/>
      <c r="R73" s="62"/>
      <c r="S73" s="62"/>
      <c r="T73" s="112"/>
      <c r="U73" s="105"/>
      <c r="V73" s="190"/>
      <c r="W73" s="190"/>
      <c r="X73" s="190"/>
      <c r="Y73" s="190"/>
      <c r="Z73" s="190"/>
      <c r="AA73" s="189"/>
      <c r="AB73" s="190"/>
      <c r="AC73" s="364">
        <f t="shared" si="54"/>
        <v>29.999999999999361</v>
      </c>
      <c r="AD73" s="147"/>
      <c r="AE73" s="39"/>
      <c r="AF73" s="39"/>
      <c r="AG73" s="179"/>
      <c r="AH73" s="192"/>
      <c r="AT73" s="430">
        <v>-0.75</v>
      </c>
      <c r="AU73" s="342">
        <f>+-$A$66*0.75</f>
        <v>-5.6999999999999993</v>
      </c>
      <c r="AV73" s="1">
        <v>0</v>
      </c>
      <c r="AW73" s="1">
        <v>0</v>
      </c>
      <c r="AX73" s="1">
        <v>0</v>
      </c>
      <c r="AY73" s="1">
        <v>0</v>
      </c>
      <c r="AZ73" s="135">
        <v>0</v>
      </c>
      <c r="BA73" s="182">
        <v>2860</v>
      </c>
      <c r="BB73" s="182">
        <v>-2810</v>
      </c>
      <c r="BC73" s="182">
        <v>32</v>
      </c>
      <c r="BD73" s="182">
        <v>2859</v>
      </c>
      <c r="BE73" s="182">
        <v>-2810</v>
      </c>
      <c r="BF73" s="183">
        <v>33</v>
      </c>
      <c r="BG73" s="186">
        <v>-5.94</v>
      </c>
      <c r="BH73" s="187">
        <v>0.7</v>
      </c>
      <c r="BI73" s="432">
        <v>0.03</v>
      </c>
      <c r="BJ73" s="364">
        <v>29.999999999999361</v>
      </c>
    </row>
    <row r="74" spans="1:67">
      <c r="A74" s="430">
        <v>-1</v>
      </c>
      <c r="B74" s="343">
        <f>+-$A$66*1</f>
        <v>-7.6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81">
        <v>3824</v>
      </c>
      <c r="I74" s="182">
        <v>-3735</v>
      </c>
      <c r="J74" s="182">
        <v>58</v>
      </c>
      <c r="K74" s="182">
        <v>3823</v>
      </c>
      <c r="L74" s="182">
        <v>-3735</v>
      </c>
      <c r="M74" s="183">
        <v>58</v>
      </c>
      <c r="N74" s="186">
        <v>-7.82</v>
      </c>
      <c r="O74" s="187">
        <v>0.7</v>
      </c>
      <c r="P74" s="432">
        <v>0.03</v>
      </c>
      <c r="Q74" s="426"/>
      <c r="R74" s="62"/>
      <c r="S74" s="62"/>
      <c r="T74" s="112"/>
      <c r="U74" s="105"/>
      <c r="V74" s="190"/>
      <c r="W74" s="190"/>
      <c r="X74" s="190"/>
      <c r="Y74" s="190"/>
      <c r="Z74" s="190"/>
      <c r="AA74" s="189"/>
      <c r="AB74" s="190"/>
      <c r="AC74" s="364">
        <f t="shared" si="54"/>
        <v>49.999999999998934</v>
      </c>
      <c r="AD74" s="147"/>
      <c r="AE74" s="39"/>
      <c r="AF74" s="39"/>
      <c r="AG74" s="179"/>
      <c r="AH74" s="192"/>
      <c r="AT74" s="430">
        <v>-1</v>
      </c>
      <c r="AU74" s="343">
        <f>+-$A$66*1</f>
        <v>-7.6</v>
      </c>
      <c r="AV74" s="1">
        <v>0</v>
      </c>
      <c r="AW74" s="1">
        <v>0</v>
      </c>
      <c r="AX74" s="1">
        <v>0</v>
      </c>
      <c r="AY74" s="1">
        <v>0</v>
      </c>
      <c r="AZ74" s="135">
        <v>0</v>
      </c>
      <c r="BA74" s="182">
        <v>3824</v>
      </c>
      <c r="BB74" s="182">
        <v>-3735</v>
      </c>
      <c r="BC74" s="182">
        <v>58</v>
      </c>
      <c r="BD74" s="182">
        <v>3823</v>
      </c>
      <c r="BE74" s="182">
        <v>-3735</v>
      </c>
      <c r="BF74" s="183">
        <v>58</v>
      </c>
      <c r="BG74" s="186">
        <v>-7.82</v>
      </c>
      <c r="BH74" s="187">
        <v>0.7</v>
      </c>
      <c r="BI74" s="432">
        <v>0.03</v>
      </c>
      <c r="BJ74" s="364">
        <v>49.999999999998934</v>
      </c>
    </row>
    <row r="75" spans="1:67">
      <c r="A75" s="2" t="s">
        <v>24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241">
        <v>0</v>
      </c>
      <c r="I75" s="242">
        <v>0</v>
      </c>
      <c r="J75" s="242">
        <v>1</v>
      </c>
      <c r="K75" s="242">
        <v>0</v>
      </c>
      <c r="L75" s="242">
        <v>0</v>
      </c>
      <c r="M75" s="243">
        <v>0</v>
      </c>
      <c r="N75" s="244">
        <v>-0.27</v>
      </c>
      <c r="O75" s="305">
        <v>0.68</v>
      </c>
      <c r="P75" s="261">
        <v>0.04</v>
      </c>
      <c r="Q75" s="73"/>
      <c r="R75" s="260"/>
      <c r="S75" s="73"/>
      <c r="T75" s="74"/>
      <c r="U75" s="108"/>
      <c r="V75" s="152"/>
      <c r="W75" s="152"/>
      <c r="X75" s="152"/>
      <c r="Y75" s="152"/>
      <c r="Z75" s="152"/>
      <c r="AA75" s="197"/>
      <c r="AB75" s="152"/>
      <c r="AC75" s="267"/>
      <c r="AD75" s="152"/>
      <c r="AE75" s="5"/>
      <c r="AF75" s="197"/>
      <c r="AG75" s="179"/>
      <c r="AH75" s="192"/>
      <c r="AT75" s="2" t="s">
        <v>24</v>
      </c>
      <c r="AU75" s="2">
        <v>0</v>
      </c>
      <c r="AV75" s="3">
        <v>0</v>
      </c>
      <c r="AW75" s="3">
        <v>0</v>
      </c>
      <c r="AX75" s="3">
        <v>0</v>
      </c>
      <c r="AY75" s="3">
        <v>0</v>
      </c>
      <c r="AZ75" s="4">
        <v>0</v>
      </c>
      <c r="BA75" s="242">
        <v>0</v>
      </c>
      <c r="BB75" s="242">
        <v>0</v>
      </c>
      <c r="BC75" s="242">
        <v>1</v>
      </c>
      <c r="BD75" s="242">
        <v>0</v>
      </c>
      <c r="BE75" s="242">
        <v>0</v>
      </c>
      <c r="BF75" s="243">
        <v>0</v>
      </c>
      <c r="BG75" s="244">
        <v>-0.27</v>
      </c>
      <c r="BH75" s="305">
        <v>0.68</v>
      </c>
      <c r="BI75" s="261">
        <v>0.04</v>
      </c>
      <c r="BJ75" s="267"/>
    </row>
    <row r="76" spans="1:67">
      <c r="A76" s="3"/>
      <c r="B76" s="3"/>
      <c r="C76" s="3"/>
      <c r="D76" s="3"/>
      <c r="E76" s="3"/>
      <c r="F76" s="3"/>
      <c r="G76" s="3"/>
      <c r="H76" s="242"/>
      <c r="I76" s="242"/>
      <c r="J76" s="242"/>
      <c r="K76" s="242"/>
      <c r="L76" s="242"/>
      <c r="M76" s="242"/>
      <c r="N76" s="244"/>
      <c r="O76" s="305"/>
      <c r="P76" s="305"/>
      <c r="Q76" s="73"/>
      <c r="R76" s="73"/>
      <c r="S76" s="73"/>
      <c r="T76" s="73"/>
      <c r="U76" s="5"/>
      <c r="V76" s="152"/>
      <c r="W76" s="152"/>
      <c r="X76" s="152"/>
      <c r="Y76" s="152"/>
      <c r="Z76" s="152"/>
      <c r="AA76" s="5"/>
      <c r="AB76" s="152"/>
      <c r="AC76" s="152"/>
      <c r="AD76" s="152"/>
      <c r="AE76" s="5"/>
      <c r="AF76" s="5"/>
      <c r="AG76" s="39"/>
      <c r="AH76" s="192"/>
      <c r="AT76" s="1"/>
      <c r="AU76" s="1"/>
      <c r="AV76" s="1"/>
      <c r="AW76" s="1"/>
      <c r="AX76" s="1"/>
      <c r="AY76" s="1"/>
      <c r="AZ76" s="1"/>
      <c r="BA76" s="182"/>
      <c r="BB76" s="182"/>
      <c r="BC76" s="182"/>
      <c r="BD76" s="182"/>
      <c r="BE76" s="182"/>
      <c r="BF76" s="182"/>
      <c r="BG76" s="116"/>
      <c r="BH76" s="187"/>
      <c r="BI76" s="187"/>
      <c r="BJ76" s="147"/>
    </row>
    <row r="77" spans="1:67">
      <c r="A77" s="306" t="s">
        <v>258</v>
      </c>
      <c r="B77" s="13"/>
      <c r="C77" s="13"/>
      <c r="D77" s="13"/>
      <c r="E77" s="13"/>
      <c r="F77" s="13"/>
      <c r="G77" s="13"/>
      <c r="H77" s="433"/>
      <c r="I77" s="433"/>
      <c r="J77" s="433"/>
      <c r="K77" s="433"/>
      <c r="L77" s="433"/>
      <c r="M77" s="433"/>
      <c r="N77" s="467"/>
      <c r="O77" s="436"/>
      <c r="P77" s="437"/>
      <c r="Q77" s="62"/>
      <c r="R77" s="62"/>
      <c r="S77" s="62"/>
      <c r="T77" s="112"/>
      <c r="U77" s="110" t="s">
        <v>266</v>
      </c>
      <c r="V77" s="147"/>
      <c r="W77" s="147"/>
      <c r="X77" s="147"/>
      <c r="Y77" s="147"/>
      <c r="Z77" s="147"/>
      <c r="AA77" s="189"/>
      <c r="AB77" s="147" t="s">
        <v>134</v>
      </c>
      <c r="AC77" s="458" t="s">
        <v>259</v>
      </c>
      <c r="AD77" s="253"/>
      <c r="AE77" s="178" t="s">
        <v>273</v>
      </c>
      <c r="AF77" s="178"/>
      <c r="AG77" s="179"/>
      <c r="AT77" s="43" t="s">
        <v>258</v>
      </c>
      <c r="AU77" s="3"/>
      <c r="AV77" s="3"/>
      <c r="AW77" s="3"/>
      <c r="AX77" s="3"/>
      <c r="AY77" s="3"/>
      <c r="AZ77" s="3"/>
      <c r="BA77" s="242"/>
      <c r="BB77" s="242"/>
      <c r="BC77" s="242"/>
      <c r="BD77" s="242"/>
      <c r="BE77" s="242"/>
      <c r="BF77" s="242"/>
      <c r="BG77" s="244"/>
      <c r="BH77" s="305"/>
      <c r="BI77" s="261"/>
      <c r="BJ77" s="476" t="s">
        <v>266</v>
      </c>
      <c r="BK77" s="477" t="s">
        <v>134</v>
      </c>
      <c r="BL77" s="463" t="s">
        <v>259</v>
      </c>
      <c r="BM77" s="483"/>
      <c r="BN77" s="484" t="s">
        <v>273</v>
      </c>
      <c r="BO77" s="485"/>
    </row>
    <row r="78" spans="1:67" ht="15">
      <c r="A78" s="461">
        <v>44234</v>
      </c>
      <c r="B78" s="459" t="s">
        <v>8</v>
      </c>
      <c r="C78" s="460"/>
      <c r="D78" s="460"/>
      <c r="E78" s="460"/>
      <c r="F78" s="460"/>
      <c r="G78" s="86"/>
      <c r="H78" s="21"/>
      <c r="I78" s="21" t="s">
        <v>248</v>
      </c>
      <c r="J78" s="21"/>
      <c r="K78" s="238"/>
      <c r="L78" s="238"/>
      <c r="M78" s="238"/>
      <c r="N78" s="21" t="s">
        <v>265</v>
      </c>
      <c r="O78" s="21"/>
      <c r="P78" s="429"/>
      <c r="Q78" s="426"/>
      <c r="R78" s="62"/>
      <c r="S78" s="308"/>
      <c r="T78" s="112"/>
      <c r="U78" s="105" t="s">
        <v>111</v>
      </c>
      <c r="V78" s="190" t="s">
        <v>354</v>
      </c>
      <c r="W78" s="190"/>
      <c r="X78" s="190"/>
      <c r="Y78" s="190"/>
      <c r="Z78" s="190"/>
      <c r="AA78" s="189"/>
      <c r="AB78" s="190" t="s">
        <v>263</v>
      </c>
      <c r="AC78" s="470" t="s">
        <v>12</v>
      </c>
      <c r="AD78" s="147" t="s">
        <v>274</v>
      </c>
      <c r="AE78" s="39"/>
      <c r="AF78" s="39"/>
      <c r="AG78" s="179"/>
      <c r="AT78" s="461">
        <v>44234</v>
      </c>
      <c r="AU78" s="459" t="s">
        <v>8</v>
      </c>
      <c r="AV78" s="460"/>
      <c r="AW78" s="460"/>
      <c r="AX78" s="460"/>
      <c r="AY78" s="460"/>
      <c r="AZ78" s="86"/>
      <c r="BA78" s="21"/>
      <c r="BB78" s="21" t="s">
        <v>248</v>
      </c>
      <c r="BC78" s="21"/>
      <c r="BD78" s="238"/>
      <c r="BE78" s="238"/>
      <c r="BF78" s="238"/>
      <c r="BG78" s="21" t="s">
        <v>265</v>
      </c>
      <c r="BH78" s="21"/>
      <c r="BI78" s="429"/>
      <c r="BJ78" s="109" t="s">
        <v>111</v>
      </c>
      <c r="BK78" s="253" t="s">
        <v>263</v>
      </c>
      <c r="BL78" s="470" t="s">
        <v>12</v>
      </c>
      <c r="BM78" s="162" t="s">
        <v>274</v>
      </c>
      <c r="BN78" s="39"/>
      <c r="BO78" s="189"/>
    </row>
    <row r="79" spans="1:67">
      <c r="A79" s="455" t="s">
        <v>253</v>
      </c>
      <c r="B79" s="442" t="s">
        <v>0</v>
      </c>
      <c r="C79" s="443" t="s">
        <v>1</v>
      </c>
      <c r="D79" s="443" t="s">
        <v>2</v>
      </c>
      <c r="E79" s="443" t="s">
        <v>3</v>
      </c>
      <c r="F79" s="443" t="s">
        <v>4</v>
      </c>
      <c r="G79" s="444" t="s">
        <v>5</v>
      </c>
      <c r="H79" s="423">
        <v>1</v>
      </c>
      <c r="I79" s="424">
        <v>2</v>
      </c>
      <c r="J79" s="424">
        <v>3</v>
      </c>
      <c r="K79" s="424">
        <v>4</v>
      </c>
      <c r="L79" s="424">
        <v>5</v>
      </c>
      <c r="M79" s="425">
        <v>6</v>
      </c>
      <c r="N79" s="99" t="s">
        <v>0</v>
      </c>
      <c r="O79" s="99" t="s">
        <v>1</v>
      </c>
      <c r="P79" s="99" t="s">
        <v>2</v>
      </c>
      <c r="Q79" s="426"/>
      <c r="R79" s="62"/>
      <c r="S79" s="308"/>
      <c r="T79" s="112"/>
      <c r="U79" s="111" t="s">
        <v>7</v>
      </c>
      <c r="V79" s="190"/>
      <c r="W79" s="190"/>
      <c r="X79" s="190"/>
      <c r="Y79" s="190"/>
      <c r="Z79" s="190"/>
      <c r="AA79" s="189"/>
      <c r="AB79" s="190" t="s">
        <v>7</v>
      </c>
      <c r="AC79" s="458" t="s">
        <v>136</v>
      </c>
      <c r="AD79" s="99" t="s">
        <v>0</v>
      </c>
      <c r="AE79" s="99" t="s">
        <v>1</v>
      </c>
      <c r="AF79" s="99" t="s">
        <v>2</v>
      </c>
      <c r="AG79" s="179"/>
      <c r="AT79" s="455" t="s">
        <v>253</v>
      </c>
      <c r="AU79" s="442" t="s">
        <v>0</v>
      </c>
      <c r="AV79" s="443" t="s">
        <v>1</v>
      </c>
      <c r="AW79" s="443" t="s">
        <v>2</v>
      </c>
      <c r="AX79" s="443" t="s">
        <v>3</v>
      </c>
      <c r="AY79" s="443" t="s">
        <v>4</v>
      </c>
      <c r="AZ79" s="443" t="s">
        <v>5</v>
      </c>
      <c r="BA79" s="512">
        <v>1</v>
      </c>
      <c r="BB79" s="424">
        <v>2</v>
      </c>
      <c r="BC79" s="424">
        <v>3</v>
      </c>
      <c r="BD79" s="424">
        <v>4</v>
      </c>
      <c r="BE79" s="424">
        <v>5</v>
      </c>
      <c r="BF79" s="425">
        <v>6</v>
      </c>
      <c r="BG79" s="99" t="s">
        <v>0</v>
      </c>
      <c r="BH79" s="99" t="s">
        <v>1</v>
      </c>
      <c r="BI79" s="99" t="s">
        <v>2</v>
      </c>
      <c r="BJ79" s="478" t="s">
        <v>7</v>
      </c>
      <c r="BK79" s="253" t="s">
        <v>7</v>
      </c>
      <c r="BL79" s="458" t="s">
        <v>136</v>
      </c>
      <c r="BM79" s="462" t="s">
        <v>0</v>
      </c>
      <c r="BN79" s="99" t="s">
        <v>1</v>
      </c>
      <c r="BO79" s="101" t="s">
        <v>2</v>
      </c>
    </row>
    <row r="80" spans="1:67">
      <c r="A80" s="344" t="s">
        <v>254</v>
      </c>
      <c r="B80" s="289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241">
        <v>-1</v>
      </c>
      <c r="I80" s="242">
        <v>0</v>
      </c>
      <c r="J80" s="242">
        <v>0</v>
      </c>
      <c r="K80" s="242">
        <v>-1</v>
      </c>
      <c r="L80" s="242">
        <v>0</v>
      </c>
      <c r="M80" s="243">
        <v>0</v>
      </c>
      <c r="N80" s="310">
        <v>-0.26</v>
      </c>
      <c r="O80" s="305">
        <v>0.69</v>
      </c>
      <c r="P80" s="261">
        <v>0.03</v>
      </c>
      <c r="Q80" s="301"/>
      <c r="R80" s="73"/>
      <c r="S80" s="194"/>
      <c r="T80" s="74"/>
      <c r="U80" s="108"/>
      <c r="V80" s="152"/>
      <c r="W80" s="152"/>
      <c r="X80" s="152"/>
      <c r="Y80" s="152"/>
      <c r="Z80" s="152"/>
      <c r="AA80" s="197"/>
      <c r="AB80" s="152"/>
      <c r="AC80" s="418" t="s">
        <v>245</v>
      </c>
      <c r="AD80" s="152"/>
      <c r="AE80" s="5"/>
      <c r="AF80" s="197"/>
      <c r="AG80" s="179"/>
      <c r="AT80" s="344" t="s">
        <v>254</v>
      </c>
      <c r="AU80" s="289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472">
        <v>-1</v>
      </c>
      <c r="BB80" s="242">
        <v>0</v>
      </c>
      <c r="BC80" s="242">
        <v>0</v>
      </c>
      <c r="BD80" s="242">
        <v>-1</v>
      </c>
      <c r="BE80" s="242">
        <v>0</v>
      </c>
      <c r="BF80" s="243">
        <v>0</v>
      </c>
      <c r="BG80" s="310">
        <v>-0.26</v>
      </c>
      <c r="BH80" s="305">
        <v>0.69</v>
      </c>
      <c r="BI80" s="261">
        <v>0.03</v>
      </c>
      <c r="BJ80" s="108"/>
      <c r="BK80" s="152"/>
      <c r="BL80" s="418" t="s">
        <v>245</v>
      </c>
      <c r="BM80" s="198"/>
      <c r="BN80" s="5"/>
      <c r="BO80" s="197"/>
    </row>
    <row r="81" spans="1:68">
      <c r="A81" s="127">
        <v>1</v>
      </c>
      <c r="B81" s="78">
        <v>7.6</v>
      </c>
      <c r="C81" s="75">
        <v>0</v>
      </c>
      <c r="D81" s="1">
        <v>0</v>
      </c>
      <c r="E81" s="1">
        <v>0</v>
      </c>
      <c r="F81" s="1">
        <v>0</v>
      </c>
      <c r="G81" s="1">
        <v>0</v>
      </c>
      <c r="H81" s="181">
        <v>-3736</v>
      </c>
      <c r="I81" s="182">
        <v>3824</v>
      </c>
      <c r="J81" s="182">
        <v>58</v>
      </c>
      <c r="K81" s="182">
        <v>-3735</v>
      </c>
      <c r="L81" s="182">
        <v>3823</v>
      </c>
      <c r="M81" s="183">
        <v>58</v>
      </c>
      <c r="N81" s="254">
        <v>7.31</v>
      </c>
      <c r="O81" s="187">
        <v>0.67</v>
      </c>
      <c r="P81" s="432">
        <v>0.03</v>
      </c>
      <c r="Q81" s="426"/>
      <c r="R81" s="62"/>
      <c r="S81" s="62"/>
      <c r="T81" s="112"/>
      <c r="U81" s="249">
        <f t="shared" ref="U81:U88" si="55">(SQRT((N81-errX04)*(N81-errX04)+(O81-errY0.4)*(O81-errY0.4)))</f>
        <v>7.5700264200331553</v>
      </c>
      <c r="V81" s="147"/>
      <c r="W81" s="147"/>
      <c r="X81" s="147"/>
      <c r="Y81" s="147"/>
      <c r="Z81" s="147"/>
      <c r="AA81" s="189"/>
      <c r="AB81" s="71">
        <f>SQRT(B81*B81+C81*C81)</f>
        <v>7.6</v>
      </c>
      <c r="AC81" s="364">
        <f>1000*ABS(U81-AB81)</f>
        <v>29.973579966844355</v>
      </c>
      <c r="AD81" s="188">
        <f>N81-errX04</f>
        <v>7.5699999999999994</v>
      </c>
      <c r="AE81" s="177">
        <f>ABS(O81-errY0.4)</f>
        <v>1.9999999999999907E-2</v>
      </c>
      <c r="AF81" s="177">
        <f>ABS(P81-P80)</f>
        <v>0</v>
      </c>
      <c r="AG81" s="179"/>
      <c r="AT81" s="127">
        <v>1</v>
      </c>
      <c r="AU81" s="78">
        <v>7.6</v>
      </c>
      <c r="AV81" s="75">
        <v>0</v>
      </c>
      <c r="AW81" s="1">
        <v>0</v>
      </c>
      <c r="AX81" s="1">
        <v>0</v>
      </c>
      <c r="AY81" s="1">
        <v>0</v>
      </c>
      <c r="AZ81" s="1">
        <v>0</v>
      </c>
      <c r="BA81" s="473">
        <v>-3736</v>
      </c>
      <c r="BB81" s="182">
        <v>3824</v>
      </c>
      <c r="BC81" s="182">
        <v>58</v>
      </c>
      <c r="BD81" s="182">
        <v>-3735</v>
      </c>
      <c r="BE81" s="182">
        <v>3823</v>
      </c>
      <c r="BF81" s="183">
        <v>58</v>
      </c>
      <c r="BG81" s="254">
        <v>7.31</v>
      </c>
      <c r="BH81" s="187">
        <v>0.67</v>
      </c>
      <c r="BI81" s="432">
        <v>0.03</v>
      </c>
      <c r="BJ81" s="249">
        <v>7.5700264200331553</v>
      </c>
      <c r="BK81" s="71">
        <v>7.6</v>
      </c>
      <c r="BL81" s="364">
        <v>29.973579966844355</v>
      </c>
      <c r="BM81" s="209">
        <v>7.5699999999999994</v>
      </c>
      <c r="BN81" s="75">
        <v>1.9999999999999907E-2</v>
      </c>
      <c r="BO81" s="481">
        <v>0</v>
      </c>
    </row>
    <row r="82" spans="1:68">
      <c r="A82" s="127">
        <v>2</v>
      </c>
      <c r="B82" s="78">
        <v>5.3739999999999997</v>
      </c>
      <c r="C82" s="75">
        <v>5.3739999999999997</v>
      </c>
      <c r="D82" s="1">
        <v>0</v>
      </c>
      <c r="E82" s="1">
        <v>0</v>
      </c>
      <c r="F82" s="1">
        <v>0</v>
      </c>
      <c r="G82" s="1">
        <v>0</v>
      </c>
      <c r="H82" s="181">
        <v>-1072</v>
      </c>
      <c r="I82" s="182">
        <v>4256</v>
      </c>
      <c r="J82" s="182">
        <v>-3036</v>
      </c>
      <c r="K82" s="182">
        <v>-1072</v>
      </c>
      <c r="L82" s="182">
        <v>4255</v>
      </c>
      <c r="M82" s="183">
        <v>-3037</v>
      </c>
      <c r="N82" s="254">
        <v>5.0999999999999996</v>
      </c>
      <c r="O82" s="187">
        <v>6.02</v>
      </c>
      <c r="P82" s="432">
        <v>0.05</v>
      </c>
      <c r="Q82" s="426"/>
      <c r="R82" s="187">
        <f>O83-O80</f>
        <v>7.5600000000000005</v>
      </c>
      <c r="S82" s="62"/>
      <c r="T82" s="112"/>
      <c r="U82" s="249">
        <f t="shared" si="55"/>
        <v>7.5590012567798928</v>
      </c>
      <c r="V82" s="147"/>
      <c r="W82" s="147"/>
      <c r="X82" s="147"/>
      <c r="Y82" s="147"/>
      <c r="Z82" s="147"/>
      <c r="AA82" s="189"/>
      <c r="AB82" s="71">
        <f t="shared" ref="AB82:AB88" si="56">SQRT(B82*B82+C82*C82)</f>
        <v>7.5999836841930124</v>
      </c>
      <c r="AC82" s="364">
        <f t="shared" ref="AC82:AC88" si="57">1000*ABS(U82-AB82)</f>
        <v>40.982427413119638</v>
      </c>
      <c r="AD82" s="188">
        <f>N82-errX04</f>
        <v>5.3599999999999994</v>
      </c>
      <c r="AE82" s="188">
        <f>O82-errY0.4</f>
        <v>5.33</v>
      </c>
      <c r="AF82" s="177">
        <f t="shared" ref="AF82:AF88" si="58">ABS(P82-P81)</f>
        <v>2.0000000000000004E-2</v>
      </c>
      <c r="AG82" s="179"/>
      <c r="AT82" s="127">
        <v>2</v>
      </c>
      <c r="AU82" s="78">
        <v>5.3739999999999997</v>
      </c>
      <c r="AV82" s="75">
        <v>5.3739999999999997</v>
      </c>
      <c r="AW82" s="1">
        <v>0</v>
      </c>
      <c r="AX82" s="1">
        <v>0</v>
      </c>
      <c r="AY82" s="1">
        <v>0</v>
      </c>
      <c r="AZ82" s="1">
        <v>0</v>
      </c>
      <c r="BA82" s="473">
        <v>-1072</v>
      </c>
      <c r="BB82" s="182">
        <v>4256</v>
      </c>
      <c r="BC82" s="182">
        <v>-3036</v>
      </c>
      <c r="BD82" s="182">
        <v>-1072</v>
      </c>
      <c r="BE82" s="182">
        <v>4255</v>
      </c>
      <c r="BF82" s="183">
        <v>-3037</v>
      </c>
      <c r="BG82" s="254">
        <v>5.0999999999999996</v>
      </c>
      <c r="BH82" s="187">
        <v>6.02</v>
      </c>
      <c r="BI82" s="432">
        <v>0.05</v>
      </c>
      <c r="BJ82" s="249">
        <v>7.5590012567798928</v>
      </c>
      <c r="BK82" s="71">
        <v>7.5999836841930124</v>
      </c>
      <c r="BL82" s="364">
        <v>40.982427413119638</v>
      </c>
      <c r="BM82" s="209">
        <v>5.3599999999999994</v>
      </c>
      <c r="BN82" s="71">
        <v>5.33</v>
      </c>
      <c r="BO82" s="481">
        <v>2.0000000000000004E-2</v>
      </c>
    </row>
    <row r="83" spans="1:68">
      <c r="A83" s="127">
        <v>3</v>
      </c>
      <c r="B83" s="78">
        <v>0</v>
      </c>
      <c r="C83" s="75">
        <v>7.6</v>
      </c>
      <c r="D83" s="1" t="s">
        <v>463</v>
      </c>
      <c r="E83" s="1">
        <v>0</v>
      </c>
      <c r="F83" s="1">
        <v>0</v>
      </c>
      <c r="G83" s="1">
        <v>0</v>
      </c>
      <c r="H83" s="181">
        <v>2237</v>
      </c>
      <c r="I83" s="182">
        <v>2236</v>
      </c>
      <c r="J83" s="182">
        <v>-4323</v>
      </c>
      <c r="K83" s="182">
        <v>2235</v>
      </c>
      <c r="L83" s="182">
        <v>2235</v>
      </c>
      <c r="M83" s="183">
        <v>-4323</v>
      </c>
      <c r="N83" s="254">
        <v>-0.23</v>
      </c>
      <c r="O83" s="187">
        <v>8.25</v>
      </c>
      <c r="P83" s="432">
        <v>0.06</v>
      </c>
      <c r="Q83" s="426"/>
      <c r="R83" s="187"/>
      <c r="S83" s="62"/>
      <c r="T83" s="112"/>
      <c r="U83" s="249">
        <f t="shared" si="55"/>
        <v>7.5600595235751955</v>
      </c>
      <c r="V83" s="147"/>
      <c r="W83" s="147"/>
      <c r="X83" s="147"/>
      <c r="Y83" s="147"/>
      <c r="Z83" s="147"/>
      <c r="AA83" s="189"/>
      <c r="AB83" s="71">
        <f t="shared" si="56"/>
        <v>7.6</v>
      </c>
      <c r="AC83" s="364">
        <f t="shared" si="57"/>
        <v>39.940476424804139</v>
      </c>
      <c r="AD83" s="177">
        <f>ABS(N83-errX04)</f>
        <v>0.03</v>
      </c>
      <c r="AE83" s="188">
        <f>O83-errY0.4</f>
        <v>7.5600000000000005</v>
      </c>
      <c r="AF83" s="177">
        <f t="shared" si="58"/>
        <v>9.999999999999995E-3</v>
      </c>
      <c r="AG83" s="179"/>
      <c r="AT83" s="127">
        <v>3</v>
      </c>
      <c r="AU83" s="78">
        <v>0</v>
      </c>
      <c r="AV83" s="75">
        <v>7.6</v>
      </c>
      <c r="AW83" s="1">
        <v>0</v>
      </c>
      <c r="AX83" s="1">
        <v>0</v>
      </c>
      <c r="AY83" s="1">
        <v>0</v>
      </c>
      <c r="AZ83" s="1">
        <v>0</v>
      </c>
      <c r="BA83" s="473">
        <v>2237</v>
      </c>
      <c r="BB83" s="182">
        <v>2236</v>
      </c>
      <c r="BC83" s="182">
        <v>-4323</v>
      </c>
      <c r="BD83" s="182">
        <v>2235</v>
      </c>
      <c r="BE83" s="182">
        <v>2235</v>
      </c>
      <c r="BF83" s="183">
        <v>-4323</v>
      </c>
      <c r="BG83" s="254">
        <v>-0.23</v>
      </c>
      <c r="BH83" s="187">
        <v>8.25</v>
      </c>
      <c r="BI83" s="432">
        <v>0.06</v>
      </c>
      <c r="BJ83" s="249">
        <v>7.5600595235751955</v>
      </c>
      <c r="BK83" s="71">
        <v>7.6</v>
      </c>
      <c r="BL83" s="364">
        <v>39.940476424804139</v>
      </c>
      <c r="BM83" s="78">
        <v>0.03</v>
      </c>
      <c r="BN83" s="71">
        <v>7.5600000000000005</v>
      </c>
      <c r="BO83" s="481">
        <v>9.999999999999995E-3</v>
      </c>
    </row>
    <row r="84" spans="1:68">
      <c r="A84" s="127">
        <v>4</v>
      </c>
      <c r="B84" s="78">
        <v>-5.3739999999999997</v>
      </c>
      <c r="C84" s="75">
        <v>5.3739999999999997</v>
      </c>
      <c r="D84" s="1">
        <v>0</v>
      </c>
      <c r="E84" s="1">
        <v>0</v>
      </c>
      <c r="F84" s="1">
        <v>0</v>
      </c>
      <c r="G84" s="1">
        <v>0</v>
      </c>
      <c r="H84" s="181">
        <v>4256</v>
      </c>
      <c r="I84" s="182">
        <v>-1072</v>
      </c>
      <c r="J84" s="182">
        <v>-3036</v>
      </c>
      <c r="K84" s="182">
        <v>4255</v>
      </c>
      <c r="L84" s="182">
        <v>-1072</v>
      </c>
      <c r="M84" s="183">
        <v>-3036</v>
      </c>
      <c r="N84" s="254">
        <v>-5.61</v>
      </c>
      <c r="O84" s="187">
        <v>6.03</v>
      </c>
      <c r="P84" s="432">
        <v>0.05</v>
      </c>
      <c r="Q84" s="426"/>
      <c r="R84" s="187"/>
      <c r="S84" s="62"/>
      <c r="T84" s="112"/>
      <c r="U84" s="249">
        <f t="shared" si="55"/>
        <v>7.5589747982117261</v>
      </c>
      <c r="V84" s="147"/>
      <c r="W84" s="147"/>
      <c r="X84" s="147"/>
      <c r="Y84" s="147"/>
      <c r="Z84" s="147"/>
      <c r="AA84" s="189"/>
      <c r="AB84" s="71">
        <f t="shared" si="56"/>
        <v>7.5999836841930124</v>
      </c>
      <c r="AC84" s="364">
        <f t="shared" si="57"/>
        <v>41.008885981286269</v>
      </c>
      <c r="AD84" s="209">
        <f>N84-errX04</f>
        <v>-5.3500000000000005</v>
      </c>
      <c r="AE84" s="71">
        <f>O84-errY0.4</f>
        <v>5.34</v>
      </c>
      <c r="AF84" s="481">
        <f t="shared" si="58"/>
        <v>9.999999999999995E-3</v>
      </c>
      <c r="AG84" s="179"/>
      <c r="AT84" s="127">
        <v>4</v>
      </c>
      <c r="AU84" s="78">
        <v>-5.3739999999999997</v>
      </c>
      <c r="AV84" s="75">
        <v>5.3739999999999997</v>
      </c>
      <c r="AW84" s="1">
        <v>0</v>
      </c>
      <c r="AX84" s="1">
        <v>0</v>
      </c>
      <c r="AY84" s="1">
        <v>0</v>
      </c>
      <c r="AZ84" s="1">
        <v>0</v>
      </c>
      <c r="BA84" s="473">
        <v>4256</v>
      </c>
      <c r="BB84" s="182">
        <v>-1072</v>
      </c>
      <c r="BC84" s="182">
        <v>-3036</v>
      </c>
      <c r="BD84" s="182">
        <v>4255</v>
      </c>
      <c r="BE84" s="182">
        <v>-1072</v>
      </c>
      <c r="BF84" s="183">
        <v>-3036</v>
      </c>
      <c r="BG84" s="254">
        <v>-5.61</v>
      </c>
      <c r="BH84" s="187">
        <v>6.03</v>
      </c>
      <c r="BI84" s="432">
        <v>0.05</v>
      </c>
      <c r="BJ84" s="249">
        <v>7.5589747982117261</v>
      </c>
      <c r="BK84" s="71">
        <v>7.5999836841930124</v>
      </c>
      <c r="BL84" s="364">
        <v>41.008885981286269</v>
      </c>
      <c r="BM84" s="209">
        <v>-5.3500000000000005</v>
      </c>
      <c r="BN84" s="71">
        <v>5.34</v>
      </c>
      <c r="BO84" s="481">
        <v>9.999999999999995E-3</v>
      </c>
    </row>
    <row r="85" spans="1:68">
      <c r="A85" s="127">
        <v>5</v>
      </c>
      <c r="B85" s="78">
        <v>-7.6</v>
      </c>
      <c r="C85" s="75">
        <v>0</v>
      </c>
      <c r="D85" s="1">
        <v>0</v>
      </c>
      <c r="E85" s="1">
        <v>0</v>
      </c>
      <c r="F85" s="1">
        <v>0</v>
      </c>
      <c r="G85" s="1">
        <v>0</v>
      </c>
      <c r="H85" s="181">
        <v>3824</v>
      </c>
      <c r="I85" s="182">
        <v>-3736</v>
      </c>
      <c r="J85" s="182">
        <v>59</v>
      </c>
      <c r="K85" s="182">
        <v>3823</v>
      </c>
      <c r="L85" s="182">
        <v>-3735</v>
      </c>
      <c r="M85" s="183">
        <v>59</v>
      </c>
      <c r="N85" s="254">
        <v>-7.82</v>
      </c>
      <c r="O85" s="187">
        <v>0.73</v>
      </c>
      <c r="P85" s="432">
        <v>0.02</v>
      </c>
      <c r="Q85" s="426"/>
      <c r="R85" s="187"/>
      <c r="S85" s="62"/>
      <c r="T85" s="112"/>
      <c r="U85" s="249">
        <f t="shared" si="55"/>
        <v>7.5601058193652291</v>
      </c>
      <c r="V85" s="147"/>
      <c r="W85" s="147"/>
      <c r="X85" s="147"/>
      <c r="Y85" s="147"/>
      <c r="Z85" s="147"/>
      <c r="AA85" s="189"/>
      <c r="AB85" s="71">
        <f t="shared" si="56"/>
        <v>7.6</v>
      </c>
      <c r="AC85" s="364">
        <f t="shared" si="57"/>
        <v>39.894180634770571</v>
      </c>
      <c r="AD85" s="209">
        <f>N85-errX04</f>
        <v>-7.5600000000000005</v>
      </c>
      <c r="AE85" s="75">
        <f>ABS(O85-errY0.4)</f>
        <v>4.0000000000000036E-2</v>
      </c>
      <c r="AF85" s="481">
        <f t="shared" si="58"/>
        <v>3.0000000000000002E-2</v>
      </c>
      <c r="AG85" s="179"/>
      <c r="AT85" s="127">
        <v>5</v>
      </c>
      <c r="AU85" s="78">
        <v>-7.6</v>
      </c>
      <c r="AV85" s="75">
        <v>0</v>
      </c>
      <c r="AW85" s="1">
        <v>0</v>
      </c>
      <c r="AX85" s="1">
        <v>0</v>
      </c>
      <c r="AY85" s="1">
        <v>0</v>
      </c>
      <c r="AZ85" s="1">
        <v>0</v>
      </c>
      <c r="BA85" s="473">
        <v>3824</v>
      </c>
      <c r="BB85" s="182">
        <v>-3736</v>
      </c>
      <c r="BC85" s="182">
        <v>59</v>
      </c>
      <c r="BD85" s="182">
        <v>3823</v>
      </c>
      <c r="BE85" s="182">
        <v>-3735</v>
      </c>
      <c r="BF85" s="183">
        <v>59</v>
      </c>
      <c r="BG85" s="254">
        <v>-7.82</v>
      </c>
      <c r="BH85" s="187">
        <v>0.73</v>
      </c>
      <c r="BI85" s="432">
        <v>0.02</v>
      </c>
      <c r="BJ85" s="249">
        <v>7.5601058193652291</v>
      </c>
      <c r="BK85" s="71">
        <v>7.6</v>
      </c>
      <c r="BL85" s="364">
        <v>39.894180634770571</v>
      </c>
      <c r="BM85" s="209">
        <v>-7.5600000000000005</v>
      </c>
      <c r="BN85" s="75">
        <v>4.0000000000000036E-2</v>
      </c>
      <c r="BO85" s="481">
        <v>3.0000000000000002E-2</v>
      </c>
    </row>
    <row r="86" spans="1:68">
      <c r="A86" s="127">
        <v>6</v>
      </c>
      <c r="B86" s="78">
        <v>-5.3739999999999997</v>
      </c>
      <c r="C86" s="75">
        <v>-5.3739999999999997</v>
      </c>
      <c r="D86" s="1">
        <v>0</v>
      </c>
      <c r="E86" s="1">
        <v>0</v>
      </c>
      <c r="F86" s="1">
        <v>0</v>
      </c>
      <c r="G86" s="1">
        <v>0</v>
      </c>
      <c r="H86" s="181">
        <v>1186</v>
      </c>
      <c r="I86" s="182">
        <v>-4175</v>
      </c>
      <c r="J86" s="182">
        <v>3134</v>
      </c>
      <c r="K86" s="182">
        <v>1186</v>
      </c>
      <c r="L86" s="182">
        <v>-4173</v>
      </c>
      <c r="M86" s="183">
        <v>3134</v>
      </c>
      <c r="N86" s="254">
        <v>-5.63</v>
      </c>
      <c r="O86" s="187">
        <v>-4.66</v>
      </c>
      <c r="P86" s="432">
        <v>0.01</v>
      </c>
      <c r="Q86" s="426"/>
      <c r="R86" s="187"/>
      <c r="S86" s="62"/>
      <c r="T86" s="112"/>
      <c r="U86" s="249">
        <f t="shared" si="55"/>
        <v>7.5801978865990032</v>
      </c>
      <c r="V86" s="147"/>
      <c r="W86" s="147"/>
      <c r="X86" s="147"/>
      <c r="Y86" s="147"/>
      <c r="Z86" s="147"/>
      <c r="AA86" s="189"/>
      <c r="AB86" s="71">
        <f t="shared" si="56"/>
        <v>7.5999836841930124</v>
      </c>
      <c r="AC86" s="364">
        <f t="shared" si="57"/>
        <v>19.785797594009225</v>
      </c>
      <c r="AD86" s="71">
        <f>N86-errX04</f>
        <v>-5.37</v>
      </c>
      <c r="AE86" s="71">
        <f>O86-errY0.4</f>
        <v>-5.35</v>
      </c>
      <c r="AF86" s="481">
        <f t="shared" si="58"/>
        <v>0.01</v>
      </c>
      <c r="AG86" s="179"/>
      <c r="AT86" s="127">
        <v>6</v>
      </c>
      <c r="AU86" s="78">
        <v>-5.3739999999999997</v>
      </c>
      <c r="AV86" s="75">
        <v>-5.3739999999999997</v>
      </c>
      <c r="AW86" s="1">
        <v>0</v>
      </c>
      <c r="AX86" s="1">
        <v>0</v>
      </c>
      <c r="AY86" s="1">
        <v>0</v>
      </c>
      <c r="AZ86" s="1">
        <v>0</v>
      </c>
      <c r="BA86" s="473">
        <v>1186</v>
      </c>
      <c r="BB86" s="182">
        <v>-4175</v>
      </c>
      <c r="BC86" s="182">
        <v>3134</v>
      </c>
      <c r="BD86" s="182">
        <v>1186</v>
      </c>
      <c r="BE86" s="182">
        <v>-4173</v>
      </c>
      <c r="BF86" s="183">
        <v>3134</v>
      </c>
      <c r="BG86" s="254">
        <v>-5.63</v>
      </c>
      <c r="BH86" s="187">
        <v>-4.66</v>
      </c>
      <c r="BI86" s="432">
        <v>0.01</v>
      </c>
      <c r="BJ86" s="249">
        <v>7.5801978865990032</v>
      </c>
      <c r="BK86" s="71">
        <v>7.5999836841930124</v>
      </c>
      <c r="BL86" s="364">
        <v>19.785797594009225</v>
      </c>
      <c r="BM86" s="209">
        <v>-5.37</v>
      </c>
      <c r="BN86" s="71">
        <v>-5.35</v>
      </c>
      <c r="BO86" s="481">
        <v>0.01</v>
      </c>
    </row>
    <row r="87" spans="1:68">
      <c r="A87" s="127">
        <v>7</v>
      </c>
      <c r="B87" s="78">
        <v>0</v>
      </c>
      <c r="C87" s="75">
        <v>-7.6</v>
      </c>
      <c r="D87" s="1">
        <v>0</v>
      </c>
      <c r="E87" s="1">
        <v>0</v>
      </c>
      <c r="F87" s="1">
        <v>0</v>
      </c>
      <c r="G87" s="1">
        <v>0</v>
      </c>
      <c r="H87" s="181">
        <v>-2129</v>
      </c>
      <c r="I87" s="182">
        <v>-2129</v>
      </c>
      <c r="J87" s="182">
        <v>4402</v>
      </c>
      <c r="K87" s="182">
        <v>-2128</v>
      </c>
      <c r="L87" s="182">
        <v>-2127</v>
      </c>
      <c r="M87" s="183">
        <v>4402</v>
      </c>
      <c r="N87" s="254">
        <v>-0.28000000000000003</v>
      </c>
      <c r="O87" s="187">
        <v>-6.82</v>
      </c>
      <c r="P87" s="432">
        <v>0</v>
      </c>
      <c r="Q87" s="426"/>
      <c r="R87" s="187">
        <f>O87-O80</f>
        <v>-7.51</v>
      </c>
      <c r="S87" s="62"/>
      <c r="T87" s="112"/>
      <c r="U87" s="249">
        <f t="shared" si="55"/>
        <v>7.5100266311112369</v>
      </c>
      <c r="V87" s="190"/>
      <c r="W87" s="190"/>
      <c r="X87" s="190"/>
      <c r="Y87" s="190"/>
      <c r="Z87" s="190"/>
      <c r="AA87" s="189"/>
      <c r="AB87" s="188">
        <f t="shared" si="56"/>
        <v>7.6</v>
      </c>
      <c r="AC87" s="364">
        <f t="shared" si="57"/>
        <v>89.973368888762735</v>
      </c>
      <c r="AD87" s="75">
        <f>ABS(N87-errX04)</f>
        <v>2.0000000000000018E-2</v>
      </c>
      <c r="AE87" s="71">
        <f>O87-errY0.4</f>
        <v>-7.51</v>
      </c>
      <c r="AF87" s="75">
        <f t="shared" si="58"/>
        <v>0.01</v>
      </c>
      <c r="AG87" s="179"/>
      <c r="AT87" s="127">
        <v>7</v>
      </c>
      <c r="AU87" s="78">
        <v>0</v>
      </c>
      <c r="AV87" s="75">
        <v>-7.6</v>
      </c>
      <c r="AW87" s="1">
        <v>0</v>
      </c>
      <c r="AX87" s="1">
        <v>0</v>
      </c>
      <c r="AY87" s="1">
        <v>0</v>
      </c>
      <c r="AZ87" s="1">
        <v>0</v>
      </c>
      <c r="BA87" s="473">
        <v>-2129</v>
      </c>
      <c r="BB87" s="182">
        <v>-2129</v>
      </c>
      <c r="BC87" s="182">
        <v>4402</v>
      </c>
      <c r="BD87" s="182">
        <v>-2128</v>
      </c>
      <c r="BE87" s="182">
        <v>-2127</v>
      </c>
      <c r="BF87" s="183">
        <v>4402</v>
      </c>
      <c r="BG87" s="254">
        <v>-0.28000000000000003</v>
      </c>
      <c r="BH87" s="187">
        <v>-6.82</v>
      </c>
      <c r="BI87" s="432">
        <v>0</v>
      </c>
      <c r="BJ87" s="249">
        <v>7.5100266311112369</v>
      </c>
      <c r="BK87" s="71">
        <v>7.6</v>
      </c>
      <c r="BL87" s="364">
        <v>89.973368888762735</v>
      </c>
      <c r="BM87" s="78">
        <v>2.0000000000000018E-2</v>
      </c>
      <c r="BN87" s="71">
        <v>-7.51</v>
      </c>
      <c r="BO87" s="481">
        <v>0.01</v>
      </c>
    </row>
    <row r="88" spans="1:68">
      <c r="A88" s="127">
        <v>8</v>
      </c>
      <c r="B88" s="78">
        <v>5.3739999999999997</v>
      </c>
      <c r="C88" s="75">
        <v>-5.3739999999999997</v>
      </c>
      <c r="D88" s="1">
        <v>0</v>
      </c>
      <c r="E88" s="1">
        <v>0</v>
      </c>
      <c r="F88" s="1">
        <v>0</v>
      </c>
      <c r="G88" s="1">
        <v>0</v>
      </c>
      <c r="H88" s="181">
        <v>-4175</v>
      </c>
      <c r="I88" s="182">
        <v>1187</v>
      </c>
      <c r="J88" s="182">
        <v>3134</v>
      </c>
      <c r="K88" s="182">
        <v>-4174</v>
      </c>
      <c r="L88" s="182">
        <v>1187</v>
      </c>
      <c r="M88" s="183">
        <v>3134</v>
      </c>
      <c r="N88" s="312">
        <v>5.08</v>
      </c>
      <c r="O88" s="187">
        <v>-4.62</v>
      </c>
      <c r="P88" s="432">
        <v>0</v>
      </c>
      <c r="Q88" s="426"/>
      <c r="R88" s="62"/>
      <c r="S88" s="62"/>
      <c r="T88" s="112"/>
      <c r="U88" s="249">
        <f t="shared" si="55"/>
        <v>7.5307170973287798</v>
      </c>
      <c r="V88" s="190"/>
      <c r="W88" s="190"/>
      <c r="X88" s="190"/>
      <c r="Y88" s="190"/>
      <c r="Z88" s="190"/>
      <c r="AA88" s="189"/>
      <c r="AB88" s="188">
        <f t="shared" si="56"/>
        <v>7.5999836841930124</v>
      </c>
      <c r="AC88" s="364">
        <f t="shared" si="57"/>
        <v>69.266586864232593</v>
      </c>
      <c r="AD88" s="71">
        <f>N88-errX04</f>
        <v>5.34</v>
      </c>
      <c r="AE88" s="71">
        <f>O88-errY0.4</f>
        <v>-5.3100000000000005</v>
      </c>
      <c r="AF88" s="75">
        <f t="shared" si="58"/>
        <v>0</v>
      </c>
      <c r="AG88" s="179"/>
      <c r="AT88" s="126">
        <v>8</v>
      </c>
      <c r="AU88" s="80">
        <v>5.3739999999999997</v>
      </c>
      <c r="AV88" s="81">
        <v>-5.3739999999999997</v>
      </c>
      <c r="AW88" s="13">
        <v>0</v>
      </c>
      <c r="AX88" s="13">
        <v>0</v>
      </c>
      <c r="AY88" s="13">
        <v>0</v>
      </c>
      <c r="AZ88" s="13">
        <v>0</v>
      </c>
      <c r="BA88" s="474">
        <v>-4175</v>
      </c>
      <c r="BB88" s="433">
        <v>1187</v>
      </c>
      <c r="BC88" s="433">
        <v>3134</v>
      </c>
      <c r="BD88" s="433">
        <v>-4174</v>
      </c>
      <c r="BE88" s="433">
        <v>1187</v>
      </c>
      <c r="BF88" s="434">
        <v>3134</v>
      </c>
      <c r="BG88" s="435">
        <v>5.08</v>
      </c>
      <c r="BH88" s="436">
        <v>-4.62</v>
      </c>
      <c r="BI88" s="437">
        <v>0</v>
      </c>
      <c r="BJ88" s="475">
        <v>7.5307170973287798</v>
      </c>
      <c r="BK88" s="211">
        <v>7.5999836841930124</v>
      </c>
      <c r="BL88" s="384">
        <v>69.266586864232593</v>
      </c>
      <c r="BM88" s="210">
        <v>5.34</v>
      </c>
      <c r="BN88" s="211">
        <v>-5.3100000000000005</v>
      </c>
      <c r="BO88" s="482">
        <v>0</v>
      </c>
    </row>
    <row r="89" spans="1:68">
      <c r="A89" s="118"/>
      <c r="B89" s="216"/>
      <c r="C89" s="216"/>
      <c r="D89" s="3"/>
      <c r="E89" s="3"/>
      <c r="F89" s="3"/>
      <c r="G89" s="3"/>
      <c r="H89" s="242"/>
      <c r="I89" s="242"/>
      <c r="J89" s="242"/>
      <c r="K89" s="242"/>
      <c r="L89" s="242"/>
      <c r="M89" s="242"/>
      <c r="N89" s="305"/>
      <c r="O89" s="305"/>
      <c r="P89" s="305"/>
      <c r="Q89" s="73"/>
      <c r="R89" s="73"/>
      <c r="S89" s="73"/>
      <c r="T89" s="73"/>
      <c r="U89" s="216"/>
      <c r="V89" s="152"/>
      <c r="W89" s="152"/>
      <c r="X89" s="152"/>
      <c r="Y89" s="152"/>
      <c r="Z89" s="152"/>
      <c r="AA89" s="5"/>
      <c r="AB89" s="152"/>
      <c r="AC89" s="152"/>
      <c r="AD89" s="152"/>
      <c r="AE89" s="5"/>
      <c r="AF89" s="208"/>
      <c r="AG89" s="39"/>
      <c r="AH89" s="192"/>
      <c r="AT89" s="151"/>
      <c r="AU89" s="39"/>
      <c r="AV89" s="39"/>
      <c r="AW89" s="39"/>
      <c r="AX89" s="39"/>
      <c r="AY89" s="39"/>
      <c r="AZ89" s="39"/>
      <c r="BA89" s="219"/>
      <c r="BB89" s="219"/>
      <c r="BC89" s="219"/>
      <c r="BD89" s="219"/>
      <c r="BE89" s="219"/>
      <c r="BF89" s="219"/>
      <c r="BG89" s="187"/>
      <c r="BH89" s="187"/>
      <c r="BI89" s="187"/>
      <c r="BM89" s="9">
        <f>STDEV(BM83,BM87)</f>
        <v>7.0710678118654693E-3</v>
      </c>
      <c r="BN89" s="9">
        <f>STDEV(BN81,BN85)</f>
        <v>1.4142135623731046E-2</v>
      </c>
      <c r="BO89" s="9">
        <f>STDEV(BO81:BO88)</f>
        <v>9.9103120896511538E-3</v>
      </c>
    </row>
    <row r="90" spans="1:68">
      <c r="A90" s="471" t="s">
        <v>255</v>
      </c>
      <c r="B90" s="216"/>
      <c r="C90" s="216"/>
      <c r="D90" s="3"/>
      <c r="E90" s="3"/>
      <c r="F90" s="3"/>
      <c r="G90" s="3"/>
      <c r="H90" s="242"/>
      <c r="I90" s="242"/>
      <c r="J90" s="242"/>
      <c r="K90" s="242"/>
      <c r="L90" s="242"/>
      <c r="M90" s="242"/>
      <c r="N90" s="305"/>
      <c r="O90" s="305"/>
      <c r="P90" s="261"/>
      <c r="Q90" s="457" t="s">
        <v>9</v>
      </c>
      <c r="R90" s="62"/>
      <c r="S90" s="62"/>
      <c r="T90" s="112"/>
      <c r="U90" s="110" t="s">
        <v>110</v>
      </c>
      <c r="V90" s="190"/>
      <c r="W90" s="191" t="s">
        <v>134</v>
      </c>
      <c r="X90" s="458" t="s">
        <v>259</v>
      </c>
      <c r="Y90" s="10"/>
      <c r="Z90" s="477" t="s">
        <v>273</v>
      </c>
      <c r="AA90" s="508"/>
      <c r="AB90" s="147"/>
      <c r="AC90" s="39"/>
      <c r="AD90" s="39"/>
      <c r="AE90" s="213" t="s">
        <v>269</v>
      </c>
      <c r="AF90" s="6"/>
      <c r="AG90" s="1"/>
      <c r="AK90" s="192"/>
      <c r="AT90" s="471" t="s">
        <v>255</v>
      </c>
      <c r="AU90" s="216"/>
      <c r="AV90" s="216"/>
      <c r="AW90" s="3"/>
      <c r="AX90" s="3"/>
      <c r="AY90" s="3"/>
      <c r="AZ90" s="3"/>
      <c r="BA90" s="242"/>
      <c r="BB90" s="242"/>
      <c r="BC90" s="242"/>
      <c r="BD90" s="242"/>
      <c r="BE90" s="242"/>
      <c r="BF90" s="242"/>
      <c r="BG90" s="305"/>
      <c r="BH90" s="305"/>
      <c r="BI90" s="261"/>
      <c r="BJ90" s="641" t="s">
        <v>9</v>
      </c>
      <c r="BK90" s="110" t="s">
        <v>110</v>
      </c>
      <c r="BL90" s="477" t="s">
        <v>134</v>
      </c>
      <c r="BM90" s="463" t="s">
        <v>259</v>
      </c>
      <c r="BN90" s="370"/>
      <c r="BO90" s="707" t="s">
        <v>273</v>
      </c>
      <c r="BP90" s="708"/>
    </row>
    <row r="91" spans="1:68" ht="15">
      <c r="A91" s="486">
        <v>44234</v>
      </c>
      <c r="B91" s="459" t="s">
        <v>257</v>
      </c>
      <c r="C91" s="460"/>
      <c r="D91" s="460"/>
      <c r="E91" s="460"/>
      <c r="F91" s="11"/>
      <c r="G91" s="11"/>
      <c r="H91" s="21"/>
      <c r="I91" s="21" t="s">
        <v>248</v>
      </c>
      <c r="J91" s="21"/>
      <c r="K91" s="238"/>
      <c r="L91" s="238"/>
      <c r="M91" s="238"/>
      <c r="N91" s="21" t="s">
        <v>265</v>
      </c>
      <c r="O91" s="21"/>
      <c r="P91" s="21"/>
      <c r="Q91" s="458" t="s">
        <v>10</v>
      </c>
      <c r="R91" s="73"/>
      <c r="S91" s="194"/>
      <c r="T91" s="74"/>
      <c r="U91" s="105" t="s">
        <v>264</v>
      </c>
      <c r="V91" s="190" t="s">
        <v>355</v>
      </c>
      <c r="W91" s="191"/>
      <c r="X91" s="470" t="s">
        <v>12</v>
      </c>
      <c r="Y91" s="509" t="s">
        <v>274</v>
      </c>
      <c r="Z91" s="21"/>
      <c r="AA91" s="429"/>
      <c r="AB91" s="5"/>
      <c r="AC91" s="5" t="s">
        <v>112</v>
      </c>
      <c r="AD91" s="5"/>
      <c r="AE91" s="179" t="s">
        <v>270</v>
      </c>
      <c r="AF91" s="6"/>
      <c r="AG91" s="1"/>
      <c r="AK91" s="192"/>
      <c r="AT91" s="486">
        <v>44234</v>
      </c>
      <c r="AU91" s="459" t="s">
        <v>257</v>
      </c>
      <c r="AV91" s="460"/>
      <c r="AW91" s="460"/>
      <c r="AX91" s="460"/>
      <c r="AY91" s="11"/>
      <c r="AZ91" s="11"/>
      <c r="BA91" s="21"/>
      <c r="BB91" s="21" t="s">
        <v>248</v>
      </c>
      <c r="BC91" s="21"/>
      <c r="BD91" s="238"/>
      <c r="BE91" s="238"/>
      <c r="BF91" s="238"/>
      <c r="BG91" s="21" t="s">
        <v>265</v>
      </c>
      <c r="BH91" s="21"/>
      <c r="BI91" s="21"/>
      <c r="BJ91" s="642" t="s">
        <v>10</v>
      </c>
      <c r="BK91" s="105" t="s">
        <v>264</v>
      </c>
      <c r="BL91" s="253" t="s">
        <v>261</v>
      </c>
      <c r="BM91" s="470" t="s">
        <v>12</v>
      </c>
      <c r="BN91" s="560" t="s">
        <v>383</v>
      </c>
      <c r="BO91" s="22"/>
      <c r="BP91" s="23"/>
    </row>
    <row r="92" spans="1:68">
      <c r="A92" s="455" t="s">
        <v>253</v>
      </c>
      <c r="B92" s="442" t="s">
        <v>0</v>
      </c>
      <c r="C92" s="443" t="s">
        <v>1</v>
      </c>
      <c r="D92" s="443" t="s">
        <v>2</v>
      </c>
      <c r="E92" s="443" t="s">
        <v>3</v>
      </c>
      <c r="F92" s="443" t="s">
        <v>4</v>
      </c>
      <c r="G92" s="515" t="s">
        <v>5</v>
      </c>
      <c r="H92" s="423">
        <v>1</v>
      </c>
      <c r="I92" s="424">
        <v>2</v>
      </c>
      <c r="J92" s="424">
        <v>3</v>
      </c>
      <c r="K92" s="424">
        <v>4</v>
      </c>
      <c r="L92" s="424">
        <v>5</v>
      </c>
      <c r="M92" s="425">
        <v>6</v>
      </c>
      <c r="N92" s="99" t="s">
        <v>0</v>
      </c>
      <c r="O92" s="99" t="s">
        <v>1</v>
      </c>
      <c r="P92" s="99" t="s">
        <v>2</v>
      </c>
      <c r="Q92" s="458" t="s">
        <v>256</v>
      </c>
      <c r="R92" s="73"/>
      <c r="S92" s="194"/>
      <c r="T92" s="74"/>
      <c r="U92" s="111" t="s">
        <v>198</v>
      </c>
      <c r="V92" s="152"/>
      <c r="W92" s="196" t="s">
        <v>198</v>
      </c>
      <c r="X92" s="458" t="s">
        <v>198</v>
      </c>
      <c r="Y92" s="462" t="s">
        <v>0</v>
      </c>
      <c r="Z92" s="99" t="s">
        <v>1</v>
      </c>
      <c r="AA92" s="101" t="s">
        <v>2</v>
      </c>
      <c r="AB92" s="5"/>
      <c r="AC92" s="5"/>
      <c r="AD92" s="5"/>
      <c r="AE92" s="179" t="s">
        <v>267</v>
      </c>
      <c r="AF92" s="6"/>
      <c r="AG92" s="1"/>
      <c r="AK92" s="192"/>
      <c r="AT92" s="505" t="s">
        <v>253</v>
      </c>
      <c r="AU92" s="442" t="s">
        <v>0</v>
      </c>
      <c r="AV92" s="443" t="s">
        <v>1</v>
      </c>
      <c r="AW92" s="443" t="s">
        <v>2</v>
      </c>
      <c r="AX92" s="443" t="s">
        <v>3</v>
      </c>
      <c r="AY92" s="443" t="s">
        <v>4</v>
      </c>
      <c r="AZ92" s="443" t="s">
        <v>5</v>
      </c>
      <c r="BA92" s="512">
        <v>1</v>
      </c>
      <c r="BB92" s="513">
        <v>2</v>
      </c>
      <c r="BC92" s="513">
        <v>3</v>
      </c>
      <c r="BD92" s="513">
        <v>4</v>
      </c>
      <c r="BE92" s="513">
        <v>5</v>
      </c>
      <c r="BF92" s="514">
        <v>6</v>
      </c>
      <c r="BG92" s="479" t="s">
        <v>0</v>
      </c>
      <c r="BH92" s="479" t="s">
        <v>1</v>
      </c>
      <c r="BI92" s="479" t="s">
        <v>2</v>
      </c>
      <c r="BJ92" s="642" t="s">
        <v>256</v>
      </c>
      <c r="BK92" s="105" t="s">
        <v>198</v>
      </c>
      <c r="BL92" s="253" t="s">
        <v>198</v>
      </c>
      <c r="BM92" s="458" t="s">
        <v>198</v>
      </c>
      <c r="BN92" s="462" t="s">
        <v>0</v>
      </c>
      <c r="BO92" s="99" t="s">
        <v>1</v>
      </c>
      <c r="BP92" s="101" t="s">
        <v>2</v>
      </c>
    </row>
    <row r="93" spans="1:68">
      <c r="A93" s="299" t="s">
        <v>254</v>
      </c>
      <c r="B93" s="289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256">
        <v>0</v>
      </c>
      <c r="I93" s="257">
        <v>0</v>
      </c>
      <c r="J93" s="257">
        <v>0</v>
      </c>
      <c r="K93" s="257">
        <v>0</v>
      </c>
      <c r="L93" s="257">
        <v>0</v>
      </c>
      <c r="M93" s="259">
        <v>-1</v>
      </c>
      <c r="N93" s="73">
        <v>-0.27</v>
      </c>
      <c r="O93" s="73">
        <v>0.72</v>
      </c>
      <c r="P93" s="261">
        <v>0.02</v>
      </c>
      <c r="Q93" s="465">
        <v>0</v>
      </c>
      <c r="R93" s="73"/>
      <c r="S93" s="73"/>
      <c r="T93" s="74"/>
      <c r="U93" s="465"/>
      <c r="V93" s="152"/>
      <c r="W93" s="196"/>
      <c r="X93" s="464" t="s">
        <v>260</v>
      </c>
      <c r="Y93" s="510"/>
      <c r="Z93" s="480"/>
      <c r="AA93" s="511"/>
      <c r="AB93" s="83" t="s">
        <v>121</v>
      </c>
      <c r="AC93" s="83"/>
      <c r="AD93" s="83"/>
      <c r="AE93" s="217" t="s">
        <v>268</v>
      </c>
      <c r="AF93" s="6"/>
      <c r="AG93" s="1"/>
      <c r="AK93" s="192"/>
      <c r="AT93" s="130" t="s">
        <v>254</v>
      </c>
      <c r="AU93" s="289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01">
        <v>0</v>
      </c>
      <c r="BB93" s="257">
        <v>0</v>
      </c>
      <c r="BC93" s="257">
        <v>0</v>
      </c>
      <c r="BD93" s="257">
        <v>0</v>
      </c>
      <c r="BE93" s="257">
        <v>0</v>
      </c>
      <c r="BF93" s="259">
        <v>-1</v>
      </c>
      <c r="BG93" s="305">
        <v>-0.27</v>
      </c>
      <c r="BH93" s="305">
        <v>0.72</v>
      </c>
      <c r="BI93" s="261">
        <v>0.02</v>
      </c>
      <c r="BJ93" s="499">
        <v>0</v>
      </c>
      <c r="BK93" s="465"/>
      <c r="BL93" s="267"/>
      <c r="BM93" s="418" t="s">
        <v>260</v>
      </c>
      <c r="BN93" s="510"/>
      <c r="BO93" s="480"/>
      <c r="BP93" s="511"/>
    </row>
    <row r="94" spans="1:68">
      <c r="A94" s="127">
        <v>1</v>
      </c>
      <c r="B94" s="179">
        <v>0</v>
      </c>
      <c r="C94" s="39">
        <v>0</v>
      </c>
      <c r="D94" s="1">
        <v>0</v>
      </c>
      <c r="E94" s="454">
        <v>0.24</v>
      </c>
      <c r="F94" s="454">
        <v>0</v>
      </c>
      <c r="G94" s="1">
        <v>0</v>
      </c>
      <c r="H94" s="218">
        <v>-4842</v>
      </c>
      <c r="I94" s="219">
        <v>-4842</v>
      </c>
      <c r="J94" s="219">
        <v>5885</v>
      </c>
      <c r="K94" s="219">
        <v>-778</v>
      </c>
      <c r="L94" s="219">
        <v>-778</v>
      </c>
      <c r="M94" s="221">
        <v>5885</v>
      </c>
      <c r="N94" s="62">
        <v>-0.26</v>
      </c>
      <c r="O94" s="62">
        <v>-7.26</v>
      </c>
      <c r="P94" s="112">
        <v>-0.04</v>
      </c>
      <c r="Q94" s="466">
        <v>0.24279999999999999</v>
      </c>
      <c r="R94" s="187"/>
      <c r="S94" s="62"/>
      <c r="T94" s="112"/>
      <c r="U94" s="466">
        <f t="shared" ref="U94:U101" si="59">180*ATAN((SQRT((N94-avlaserX0)*(N94-avlaserX0)+(O94-avlaserY0)*(O94-avlaserY0)))/(1938-19.05))/3.1416</f>
        <v>0.23856271441419799</v>
      </c>
      <c r="V94" s="147"/>
      <c r="W94" s="71">
        <f t="shared" ref="W94:W101" si="60">SQRT(E94*E94+F94*F94)</f>
        <v>0.24</v>
      </c>
      <c r="X94" s="468">
        <f t="shared" ref="X94:X101" si="61">ABS(U94-W94)</f>
        <v>1.4372855858020006E-3</v>
      </c>
      <c r="Y94" s="516">
        <f t="shared" ref="Y94:Y101" si="62">N94-laserX0</f>
        <v>1.0000000000000009E-2</v>
      </c>
      <c r="Z94" s="251">
        <f t="shared" ref="Z94:Z101" si="63">O94-laserY0</f>
        <v>-7.9799999999999995</v>
      </c>
      <c r="AA94" s="517">
        <f t="shared" ref="AA94:AA101" si="64">P94-laserZ0</f>
        <v>-0.06</v>
      </c>
      <c r="AB94" t="s">
        <v>117</v>
      </c>
      <c r="AC94"/>
      <c r="AE94" s="155">
        <f t="shared" ref="AE94:AE101" si="65">W94-U94</f>
        <v>1.4372855858020006E-3</v>
      </c>
      <c r="AF94" s="6"/>
      <c r="AG94" s="1">
        <v>0.24</v>
      </c>
      <c r="AH94">
        <v>-7.9799999999999995</v>
      </c>
      <c r="AK94" s="192"/>
      <c r="AT94" s="127">
        <v>1</v>
      </c>
      <c r="AU94" s="179">
        <v>0</v>
      </c>
      <c r="AV94" s="39">
        <v>0</v>
      </c>
      <c r="AW94" s="1">
        <v>0</v>
      </c>
      <c r="AX94" s="454">
        <v>0.24</v>
      </c>
      <c r="AY94" s="454">
        <v>0</v>
      </c>
      <c r="AZ94" s="1">
        <v>0</v>
      </c>
      <c r="BA94" s="502">
        <v>-4842</v>
      </c>
      <c r="BB94" s="219">
        <v>-4842</v>
      </c>
      <c r="BC94" s="219">
        <v>5885</v>
      </c>
      <c r="BD94" s="219">
        <v>-778</v>
      </c>
      <c r="BE94" s="219">
        <v>-778</v>
      </c>
      <c r="BF94" s="221">
        <v>5885</v>
      </c>
      <c r="BG94" s="187">
        <v>-0.26</v>
      </c>
      <c r="BH94" s="187">
        <v>-7.26</v>
      </c>
      <c r="BI94" s="432">
        <v>-0.04</v>
      </c>
      <c r="BJ94" s="643">
        <v>0.24279999999999999</v>
      </c>
      <c r="BK94" s="466">
        <v>0.23856271441419799</v>
      </c>
      <c r="BL94" s="147">
        <v>0.24</v>
      </c>
      <c r="BM94" s="468">
        <v>1.4372855858020006E-3</v>
      </c>
      <c r="BN94" s="516">
        <v>1.0000000000000009E-2</v>
      </c>
      <c r="BO94" s="251">
        <v>-7.9799999999999995</v>
      </c>
      <c r="BP94" s="517">
        <v>-0.06</v>
      </c>
    </row>
    <row r="95" spans="1:68">
      <c r="A95" s="127">
        <v>2</v>
      </c>
      <c r="B95" s="6">
        <v>0</v>
      </c>
      <c r="C95" s="1">
        <v>0</v>
      </c>
      <c r="D95" s="1">
        <v>0</v>
      </c>
      <c r="E95" s="454">
        <v>0.17</v>
      </c>
      <c r="F95" s="454">
        <v>0.17</v>
      </c>
      <c r="G95" s="1">
        <v>0</v>
      </c>
      <c r="H95" s="218">
        <v>-6165</v>
      </c>
      <c r="I95" s="219">
        <v>-637</v>
      </c>
      <c r="J95" s="219">
        <v>2572</v>
      </c>
      <c r="K95" s="219">
        <v>-4944</v>
      </c>
      <c r="L95" s="219">
        <v>3864</v>
      </c>
      <c r="M95" s="221">
        <v>5845</v>
      </c>
      <c r="N95" s="62">
        <v>5.41</v>
      </c>
      <c r="O95" s="62">
        <v>-4.93</v>
      </c>
      <c r="P95" s="112">
        <v>-0.02</v>
      </c>
      <c r="Q95" s="466">
        <v>0.2402</v>
      </c>
      <c r="R95" s="187"/>
      <c r="S95" s="62"/>
      <c r="T95" s="112"/>
      <c r="U95" s="466">
        <f t="shared" si="59"/>
        <v>0.23941654670589116</v>
      </c>
      <c r="V95" s="147"/>
      <c r="W95" s="71">
        <f t="shared" si="60"/>
        <v>0.24041630560342619</v>
      </c>
      <c r="X95" s="468">
        <f t="shared" si="61"/>
        <v>9.9975889753503577E-4</v>
      </c>
      <c r="Y95" s="250">
        <f t="shared" si="62"/>
        <v>5.68</v>
      </c>
      <c r="Z95" s="251">
        <f t="shared" si="63"/>
        <v>-5.6499999999999995</v>
      </c>
      <c r="AA95" s="517">
        <f t="shared" si="64"/>
        <v>-0.04</v>
      </c>
      <c r="AB95" t="s">
        <v>115</v>
      </c>
      <c r="AC95"/>
      <c r="AE95" s="6">
        <f t="shared" si="65"/>
        <v>9.9975889753503577E-4</v>
      </c>
      <c r="AF95" s="6"/>
      <c r="AG95" s="1">
        <v>0.17</v>
      </c>
      <c r="AH95">
        <v>-5.6174999999999997</v>
      </c>
      <c r="AK95" s="192"/>
      <c r="AT95" s="127">
        <v>2</v>
      </c>
      <c r="AU95" s="6">
        <v>0</v>
      </c>
      <c r="AV95" s="1">
        <v>0</v>
      </c>
      <c r="AW95" s="1">
        <v>0</v>
      </c>
      <c r="AX95" s="454">
        <v>0.17</v>
      </c>
      <c r="AY95" s="454">
        <v>0.17</v>
      </c>
      <c r="AZ95" s="1">
        <v>0</v>
      </c>
      <c r="BA95" s="502">
        <v>-6165</v>
      </c>
      <c r="BB95" s="219">
        <v>-637</v>
      </c>
      <c r="BC95" s="219">
        <v>2572</v>
      </c>
      <c r="BD95" s="219">
        <v>-4944</v>
      </c>
      <c r="BE95" s="219">
        <v>3864</v>
      </c>
      <c r="BF95" s="221">
        <v>5845</v>
      </c>
      <c r="BG95" s="187">
        <v>5.41</v>
      </c>
      <c r="BH95" s="187">
        <v>-4.93</v>
      </c>
      <c r="BI95" s="432">
        <v>-0.02</v>
      </c>
      <c r="BJ95" s="643">
        <v>0.2402</v>
      </c>
      <c r="BK95" s="466">
        <v>0.23941654670589116</v>
      </c>
      <c r="BL95" s="147">
        <v>0.24041630560342619</v>
      </c>
      <c r="BM95" s="468">
        <v>9.9975889753503577E-4</v>
      </c>
      <c r="BN95" s="250">
        <v>5.68</v>
      </c>
      <c r="BO95" s="251">
        <v>-5.6499999999999995</v>
      </c>
      <c r="BP95" s="517">
        <v>-0.04</v>
      </c>
    </row>
    <row r="96" spans="1:68">
      <c r="A96" s="127">
        <v>3</v>
      </c>
      <c r="B96" s="6">
        <v>0</v>
      </c>
      <c r="C96" s="1">
        <v>0</v>
      </c>
      <c r="D96" s="1">
        <v>0</v>
      </c>
      <c r="E96" s="454">
        <v>0</v>
      </c>
      <c r="F96" s="454">
        <v>0.24</v>
      </c>
      <c r="G96" s="1">
        <v>0</v>
      </c>
      <c r="H96" s="218">
        <v>-3780</v>
      </c>
      <c r="I96" s="219">
        <v>3963</v>
      </c>
      <c r="J96" s="219">
        <v>-2224</v>
      </c>
      <c r="K96" s="219">
        <v>-6134</v>
      </c>
      <c r="L96" s="219">
        <v>6269</v>
      </c>
      <c r="M96" s="221">
        <v>2439</v>
      </c>
      <c r="N96" s="62">
        <v>7.73</v>
      </c>
      <c r="O96" s="62">
        <v>0.72</v>
      </c>
      <c r="P96" s="112">
        <v>0</v>
      </c>
      <c r="Q96" s="466">
        <v>0.23749999999999999</v>
      </c>
      <c r="R96" s="187"/>
      <c r="S96" s="62"/>
      <c r="T96" s="112"/>
      <c r="U96" s="466">
        <f t="shared" si="59"/>
        <v>0.2388612871032651</v>
      </c>
      <c r="V96" s="147"/>
      <c r="W96" s="71">
        <f t="shared" si="60"/>
        <v>0.24</v>
      </c>
      <c r="X96" s="468">
        <f t="shared" si="61"/>
        <v>1.1387128967348947E-3</v>
      </c>
      <c r="Y96" s="250">
        <f t="shared" si="62"/>
        <v>8</v>
      </c>
      <c r="Z96" s="518">
        <f t="shared" si="63"/>
        <v>0</v>
      </c>
      <c r="AA96" s="517">
        <f t="shared" si="64"/>
        <v>-0.02</v>
      </c>
      <c r="AB96" t="s">
        <v>116</v>
      </c>
      <c r="AC96"/>
      <c r="AE96" s="6">
        <f t="shared" si="65"/>
        <v>1.1387128967348947E-3</v>
      </c>
      <c r="AF96" s="6"/>
      <c r="AG96" s="1">
        <v>-0.17</v>
      </c>
      <c r="AH96">
        <v>5.6825000000000001</v>
      </c>
      <c r="AK96" s="192"/>
      <c r="AT96" s="127">
        <v>3</v>
      </c>
      <c r="AU96" s="6">
        <v>0</v>
      </c>
      <c r="AV96" s="1">
        <v>0</v>
      </c>
      <c r="AW96" s="1">
        <v>0</v>
      </c>
      <c r="AX96" s="454">
        <v>0</v>
      </c>
      <c r="AY96" s="454">
        <v>0.24</v>
      </c>
      <c r="AZ96" s="1">
        <v>0</v>
      </c>
      <c r="BA96" s="502">
        <v>-3780</v>
      </c>
      <c r="BB96" s="219">
        <v>3963</v>
      </c>
      <c r="BC96" s="219">
        <v>-2224</v>
      </c>
      <c r="BD96" s="219">
        <v>-6134</v>
      </c>
      <c r="BE96" s="219">
        <v>6269</v>
      </c>
      <c r="BF96" s="221">
        <v>2439</v>
      </c>
      <c r="BG96" s="187">
        <v>7.73</v>
      </c>
      <c r="BH96" s="187">
        <v>0.72</v>
      </c>
      <c r="BI96" s="432">
        <v>0</v>
      </c>
      <c r="BJ96" s="643">
        <v>0.23749999999999999</v>
      </c>
      <c r="BK96" s="466">
        <v>0.2388612871032651</v>
      </c>
      <c r="BL96" s="147">
        <v>0.24</v>
      </c>
      <c r="BM96" s="468">
        <v>1.1387128967348947E-3</v>
      </c>
      <c r="BN96" s="250">
        <v>8</v>
      </c>
      <c r="BO96" s="518">
        <v>0</v>
      </c>
      <c r="BP96" s="517">
        <v>-0.02</v>
      </c>
    </row>
    <row r="97" spans="1:68">
      <c r="A97" s="127">
        <v>4</v>
      </c>
      <c r="B97" s="6">
        <v>0</v>
      </c>
      <c r="C97" s="1">
        <v>0</v>
      </c>
      <c r="D97" s="1">
        <v>0</v>
      </c>
      <c r="E97" s="454">
        <v>-0.17</v>
      </c>
      <c r="F97" s="454">
        <v>0.17</v>
      </c>
      <c r="G97" s="1">
        <v>0</v>
      </c>
      <c r="H97" s="218">
        <v>859</v>
      </c>
      <c r="I97" s="219">
        <v>6301</v>
      </c>
      <c r="J97" s="219">
        <v>-5697</v>
      </c>
      <c r="K97" s="219">
        <v>-3664</v>
      </c>
      <c r="L97" s="219">
        <v>5101</v>
      </c>
      <c r="M97" s="221">
        <v>-2363</v>
      </c>
      <c r="N97" s="62">
        <v>5.42</v>
      </c>
      <c r="O97" s="62">
        <v>6.38</v>
      </c>
      <c r="P97" s="112">
        <v>0.03</v>
      </c>
      <c r="Q97" s="466">
        <v>0.2414</v>
      </c>
      <c r="R97" s="187"/>
      <c r="S97" s="62"/>
      <c r="T97" s="112"/>
      <c r="U97" s="466">
        <f t="shared" si="59"/>
        <v>0.23941766375401649</v>
      </c>
      <c r="V97" s="71"/>
      <c r="W97" s="176">
        <f t="shared" si="60"/>
        <v>0.24041630560342619</v>
      </c>
      <c r="X97" s="469">
        <f t="shared" si="61"/>
        <v>9.986418494097038E-4</v>
      </c>
      <c r="Y97" s="250">
        <f t="shared" si="62"/>
        <v>5.6899999999999995</v>
      </c>
      <c r="Z97" s="251">
        <f t="shared" si="63"/>
        <v>5.66</v>
      </c>
      <c r="AA97" s="517">
        <f t="shared" si="64"/>
        <v>9.9999999999999985E-3</v>
      </c>
      <c r="AB97" t="s">
        <v>118</v>
      </c>
      <c r="AC97"/>
      <c r="AE97" s="6">
        <f t="shared" si="65"/>
        <v>9.986418494097038E-4</v>
      </c>
      <c r="AF97" s="6"/>
      <c r="AG97" s="1"/>
      <c r="AK97" s="192"/>
      <c r="AT97" s="127">
        <v>4</v>
      </c>
      <c r="AU97" s="6">
        <v>0</v>
      </c>
      <c r="AV97" s="1">
        <v>0</v>
      </c>
      <c r="AW97" s="1">
        <v>0</v>
      </c>
      <c r="AX97" s="454">
        <v>-0.17</v>
      </c>
      <c r="AY97" s="454">
        <v>0.17</v>
      </c>
      <c r="AZ97" s="1">
        <v>0</v>
      </c>
      <c r="BA97" s="502">
        <v>859</v>
      </c>
      <c r="BB97" s="219">
        <v>6301</v>
      </c>
      <c r="BC97" s="219">
        <v>-5697</v>
      </c>
      <c r="BD97" s="219">
        <v>-3664</v>
      </c>
      <c r="BE97" s="219">
        <v>5101</v>
      </c>
      <c r="BF97" s="221">
        <v>-2363</v>
      </c>
      <c r="BG97" s="187">
        <v>5.42</v>
      </c>
      <c r="BH97" s="187">
        <v>6.38</v>
      </c>
      <c r="BI97" s="432">
        <v>0.03</v>
      </c>
      <c r="BJ97" s="643">
        <v>0.2414</v>
      </c>
      <c r="BK97" s="466">
        <v>0.23941766375401649</v>
      </c>
      <c r="BL97" s="191">
        <v>0.24041630560342619</v>
      </c>
      <c r="BM97" s="469">
        <v>9.986418494097038E-4</v>
      </c>
      <c r="BN97" s="250">
        <v>5.6899999999999995</v>
      </c>
      <c r="BO97" s="251">
        <v>5.66</v>
      </c>
      <c r="BP97" s="517">
        <v>9.9999999999999985E-3</v>
      </c>
    </row>
    <row r="98" spans="1:68">
      <c r="A98" s="127">
        <v>5</v>
      </c>
      <c r="B98" s="6">
        <v>0</v>
      </c>
      <c r="C98" s="1">
        <v>0</v>
      </c>
      <c r="D98" s="1">
        <v>0</v>
      </c>
      <c r="E98" s="454">
        <v>-0.24</v>
      </c>
      <c r="F98" s="454">
        <v>0</v>
      </c>
      <c r="G98" s="1">
        <v>0</v>
      </c>
      <c r="H98" s="218">
        <v>5014</v>
      </c>
      <c r="I98" s="219">
        <v>5014</v>
      </c>
      <c r="J98" s="219">
        <v>-5744</v>
      </c>
      <c r="K98" s="219">
        <v>998</v>
      </c>
      <c r="L98" s="219">
        <v>998</v>
      </c>
      <c r="M98" s="221">
        <v>-5745</v>
      </c>
      <c r="N98" s="62">
        <v>-0.27</v>
      </c>
      <c r="O98" s="62">
        <v>8.7100000000000009</v>
      </c>
      <c r="P98" s="112">
        <v>0.04</v>
      </c>
      <c r="Q98" s="466">
        <v>0.24429999999999999</v>
      </c>
      <c r="R98" s="187"/>
      <c r="S98" s="62"/>
      <c r="T98" s="112"/>
      <c r="U98" s="466">
        <f t="shared" si="59"/>
        <v>0.23826395463705477</v>
      </c>
      <c r="V98" s="71"/>
      <c r="W98" s="176">
        <f t="shared" si="60"/>
        <v>0.24</v>
      </c>
      <c r="X98" s="469">
        <f t="shared" si="61"/>
        <v>1.736045362945221E-3</v>
      </c>
      <c r="Y98" s="516">
        <f t="shared" si="62"/>
        <v>0</v>
      </c>
      <c r="Z98" s="251">
        <f t="shared" si="63"/>
        <v>7.9900000000000011</v>
      </c>
      <c r="AA98" s="517">
        <f t="shared" si="64"/>
        <v>0.02</v>
      </c>
      <c r="AB98" t="s">
        <v>119</v>
      </c>
      <c r="AC98"/>
      <c r="AE98" s="6">
        <f t="shared" si="65"/>
        <v>1.736045362945221E-3</v>
      </c>
      <c r="AF98" s="6"/>
      <c r="AG98" s="1">
        <v>-0.24</v>
      </c>
      <c r="AH98">
        <v>7.9900000000000011</v>
      </c>
      <c r="AK98" s="192"/>
      <c r="AT98" s="127">
        <v>5</v>
      </c>
      <c r="AU98" s="6">
        <v>0</v>
      </c>
      <c r="AV98" s="1">
        <v>0</v>
      </c>
      <c r="AW98" s="1">
        <v>0</v>
      </c>
      <c r="AX98" s="454">
        <v>-0.24</v>
      </c>
      <c r="AY98" s="454">
        <v>0</v>
      </c>
      <c r="AZ98" s="1">
        <v>0</v>
      </c>
      <c r="BA98" s="502">
        <v>5014</v>
      </c>
      <c r="BB98" s="219">
        <v>5014</v>
      </c>
      <c r="BC98" s="219">
        <v>-5744</v>
      </c>
      <c r="BD98" s="219">
        <v>998</v>
      </c>
      <c r="BE98" s="219">
        <v>998</v>
      </c>
      <c r="BF98" s="221">
        <v>-5745</v>
      </c>
      <c r="BG98" s="187">
        <v>-0.27</v>
      </c>
      <c r="BH98" s="187">
        <v>8.7100000000000009</v>
      </c>
      <c r="BI98" s="432">
        <v>0.04</v>
      </c>
      <c r="BJ98" s="643">
        <v>0.24429999999999999</v>
      </c>
      <c r="BK98" s="466">
        <v>0.23826395463705477</v>
      </c>
      <c r="BL98" s="191">
        <v>0.24</v>
      </c>
      <c r="BM98" s="469">
        <v>1.736045362945221E-3</v>
      </c>
      <c r="BN98" s="516">
        <v>0</v>
      </c>
      <c r="BO98" s="251">
        <v>7.9900000000000011</v>
      </c>
      <c r="BP98" s="517">
        <v>0.02</v>
      </c>
    </row>
    <row r="99" spans="1:68">
      <c r="A99" s="127">
        <v>6</v>
      </c>
      <c r="B99" s="6">
        <v>0</v>
      </c>
      <c r="C99" s="1">
        <v>0</v>
      </c>
      <c r="D99" s="1">
        <v>0</v>
      </c>
      <c r="E99" s="454">
        <v>-0.17</v>
      </c>
      <c r="F99" s="454">
        <v>-0.17</v>
      </c>
      <c r="G99" s="1">
        <v>0</v>
      </c>
      <c r="H99" s="218">
        <v>6301</v>
      </c>
      <c r="I99" s="219">
        <v>858</v>
      </c>
      <c r="J99" s="219">
        <v>-2362</v>
      </c>
      <c r="K99" s="219">
        <v>5101</v>
      </c>
      <c r="L99" s="219">
        <v>-3664</v>
      </c>
      <c r="M99" s="221">
        <v>-5698</v>
      </c>
      <c r="N99" s="62">
        <v>-5.93</v>
      </c>
      <c r="O99" s="62">
        <v>6.4</v>
      </c>
      <c r="P99" s="112">
        <v>0.04</v>
      </c>
      <c r="Q99" s="466">
        <v>0.2409</v>
      </c>
      <c r="R99" s="187"/>
      <c r="S99" s="62"/>
      <c r="T99" s="112"/>
      <c r="U99" s="466">
        <f t="shared" si="59"/>
        <v>0.23920514460534875</v>
      </c>
      <c r="W99" s="176">
        <f t="shared" si="60"/>
        <v>0.24041630560342619</v>
      </c>
      <c r="X99" s="469">
        <f t="shared" si="61"/>
        <v>1.2111609980774429E-3</v>
      </c>
      <c r="Y99" s="250">
        <f t="shared" si="62"/>
        <v>-5.66</v>
      </c>
      <c r="Z99" s="251">
        <f t="shared" si="63"/>
        <v>5.6800000000000006</v>
      </c>
      <c r="AA99" s="517">
        <f t="shared" si="64"/>
        <v>0.02</v>
      </c>
      <c r="AB99" t="s">
        <v>120</v>
      </c>
      <c r="AC99"/>
      <c r="AE99" s="6">
        <f t="shared" si="65"/>
        <v>1.2111609980774429E-3</v>
      </c>
      <c r="AF99" s="6"/>
      <c r="AG99" s="1"/>
      <c r="AK99" s="192"/>
      <c r="AT99" s="127">
        <v>6</v>
      </c>
      <c r="AU99" s="6">
        <v>0</v>
      </c>
      <c r="AV99" s="1">
        <v>0</v>
      </c>
      <c r="AW99" s="1">
        <v>0</v>
      </c>
      <c r="AX99" s="454">
        <v>-0.17</v>
      </c>
      <c r="AY99" s="454">
        <v>-0.17</v>
      </c>
      <c r="AZ99" s="1">
        <v>0</v>
      </c>
      <c r="BA99" s="502">
        <v>6301</v>
      </c>
      <c r="BB99" s="219">
        <v>858</v>
      </c>
      <c r="BC99" s="219">
        <v>-2362</v>
      </c>
      <c r="BD99" s="219">
        <v>5101</v>
      </c>
      <c r="BE99" s="219">
        <v>-3664</v>
      </c>
      <c r="BF99" s="221">
        <v>-5698</v>
      </c>
      <c r="BG99" s="187">
        <v>-5.93</v>
      </c>
      <c r="BH99" s="187">
        <v>6.4</v>
      </c>
      <c r="BI99" s="432">
        <v>0.04</v>
      </c>
      <c r="BJ99" s="643">
        <v>0.2409</v>
      </c>
      <c r="BK99" s="466">
        <v>0.23920514460534875</v>
      </c>
      <c r="BL99" s="191">
        <v>0.24041630560342619</v>
      </c>
      <c r="BM99" s="469">
        <v>1.2111609980774429E-3</v>
      </c>
      <c r="BN99" s="250">
        <v>-5.66</v>
      </c>
      <c r="BO99" s="251">
        <v>5.6800000000000006</v>
      </c>
      <c r="BP99" s="517">
        <v>0.02</v>
      </c>
    </row>
    <row r="100" spans="1:68">
      <c r="A100" s="127">
        <v>7</v>
      </c>
      <c r="B100" s="6">
        <v>0</v>
      </c>
      <c r="C100" s="1">
        <v>0</v>
      </c>
      <c r="D100" s="1">
        <v>0</v>
      </c>
      <c r="E100" s="454">
        <v>0</v>
      </c>
      <c r="F100" s="454">
        <v>-0.24</v>
      </c>
      <c r="G100" s="1">
        <v>0</v>
      </c>
      <c r="H100" s="218">
        <v>3963</v>
      </c>
      <c r="I100" s="219">
        <v>-3780</v>
      </c>
      <c r="J100" s="219">
        <v>2439</v>
      </c>
      <c r="K100" s="219">
        <v>6269</v>
      </c>
      <c r="L100" s="219">
        <v>-6135</v>
      </c>
      <c r="M100" s="221">
        <v>-2224</v>
      </c>
      <c r="N100" s="62">
        <v>-8.27</v>
      </c>
      <c r="O100" s="62">
        <v>0.77</v>
      </c>
      <c r="P100" s="112">
        <v>0</v>
      </c>
      <c r="Q100" s="466">
        <v>0.23949999999999999</v>
      </c>
      <c r="R100" s="187"/>
      <c r="S100" s="62"/>
      <c r="T100" s="112"/>
      <c r="U100" s="466">
        <f t="shared" si="59"/>
        <v>0.23886408620576563</v>
      </c>
      <c r="V100" s="71"/>
      <c r="W100" s="176">
        <f t="shared" si="60"/>
        <v>0.24</v>
      </c>
      <c r="X100" s="469">
        <f t="shared" si="61"/>
        <v>1.1359137942343611E-3</v>
      </c>
      <c r="Y100" s="250">
        <f t="shared" si="62"/>
        <v>-8</v>
      </c>
      <c r="Z100" s="518">
        <f t="shared" si="63"/>
        <v>5.0000000000000044E-2</v>
      </c>
      <c r="AA100" s="517">
        <f t="shared" si="64"/>
        <v>-0.02</v>
      </c>
      <c r="AB100" s="192"/>
      <c r="AC100" s="192"/>
      <c r="AD100" s="192"/>
      <c r="AE100" s="6">
        <f t="shared" si="65"/>
        <v>1.1359137942343611E-3</v>
      </c>
      <c r="AF100" s="6"/>
      <c r="AG100" s="1"/>
      <c r="AK100" s="71" t="s">
        <v>76</v>
      </c>
      <c r="AT100" s="127">
        <v>7</v>
      </c>
      <c r="AU100" s="6">
        <v>0</v>
      </c>
      <c r="AV100" s="1">
        <v>0</v>
      </c>
      <c r="AW100" s="1">
        <v>0</v>
      </c>
      <c r="AX100" s="454">
        <v>0</v>
      </c>
      <c r="AY100" s="454">
        <v>-0.24</v>
      </c>
      <c r="AZ100" s="1">
        <v>0</v>
      </c>
      <c r="BA100" s="502">
        <v>3963</v>
      </c>
      <c r="BB100" s="219">
        <v>-3780</v>
      </c>
      <c r="BC100" s="219">
        <v>2439</v>
      </c>
      <c r="BD100" s="219">
        <v>6269</v>
      </c>
      <c r="BE100" s="219">
        <v>-6135</v>
      </c>
      <c r="BF100" s="221">
        <v>-2224</v>
      </c>
      <c r="BG100" s="187">
        <v>-8.27</v>
      </c>
      <c r="BH100" s="187">
        <v>0.77</v>
      </c>
      <c r="BI100" s="432">
        <v>0</v>
      </c>
      <c r="BJ100" s="643">
        <v>0.23949999999999999</v>
      </c>
      <c r="BK100" s="466">
        <v>0.23886408620576563</v>
      </c>
      <c r="BL100" s="191">
        <v>0.24</v>
      </c>
      <c r="BM100" s="469">
        <v>1.1359137942343611E-3</v>
      </c>
      <c r="BN100" s="250">
        <v>-8</v>
      </c>
      <c r="BO100" s="518">
        <v>5.0000000000000044E-2</v>
      </c>
      <c r="BP100" s="517">
        <v>-0.02</v>
      </c>
    </row>
    <row r="101" spans="1:68">
      <c r="A101" s="127">
        <v>8</v>
      </c>
      <c r="B101" s="12">
        <v>0</v>
      </c>
      <c r="C101" s="1">
        <v>0</v>
      </c>
      <c r="D101" s="1">
        <v>0</v>
      </c>
      <c r="E101" s="454">
        <v>0.17</v>
      </c>
      <c r="F101" s="454">
        <v>-0.17</v>
      </c>
      <c r="G101" s="1">
        <v>0</v>
      </c>
      <c r="H101" s="218">
        <v>-638</v>
      </c>
      <c r="I101" s="219">
        <v>-6165</v>
      </c>
      <c r="J101" s="219">
        <v>5844</v>
      </c>
      <c r="K101" s="219">
        <v>3864</v>
      </c>
      <c r="L101" s="219">
        <v>-4944</v>
      </c>
      <c r="M101" s="221">
        <v>2572</v>
      </c>
      <c r="N101" s="62">
        <v>-5.95</v>
      </c>
      <c r="O101" s="62">
        <v>-4.88</v>
      </c>
      <c r="P101" s="112">
        <v>-0.03</v>
      </c>
      <c r="Q101" s="466">
        <v>0.24360000000000001</v>
      </c>
      <c r="R101" s="187"/>
      <c r="S101" s="62"/>
      <c r="T101" s="112"/>
      <c r="U101" s="466">
        <f t="shared" si="59"/>
        <v>0.23836514114602148</v>
      </c>
      <c r="V101" s="71"/>
      <c r="W101" s="176">
        <f t="shared" si="60"/>
        <v>0.24041630560342619</v>
      </c>
      <c r="X101" s="469">
        <f t="shared" si="61"/>
        <v>2.0511644574047194E-3</v>
      </c>
      <c r="Y101" s="504">
        <f t="shared" si="62"/>
        <v>-5.68</v>
      </c>
      <c r="Z101" s="408">
        <f t="shared" si="63"/>
        <v>-5.6</v>
      </c>
      <c r="AA101" s="519">
        <f t="shared" si="64"/>
        <v>-0.05</v>
      </c>
      <c r="AB101" s="192"/>
      <c r="AC101" s="192"/>
      <c r="AD101" s="192"/>
      <c r="AE101" s="12">
        <f t="shared" si="65"/>
        <v>2.0511644574047194E-3</v>
      </c>
      <c r="AF101" s="6"/>
      <c r="AG101" s="1"/>
      <c r="AK101" s="192"/>
      <c r="AT101" s="127">
        <v>8</v>
      </c>
      <c r="AU101" s="6">
        <v>0</v>
      </c>
      <c r="AV101" s="1">
        <v>0</v>
      </c>
      <c r="AW101" s="1">
        <v>0</v>
      </c>
      <c r="AX101" s="454">
        <v>0.17</v>
      </c>
      <c r="AY101" s="454">
        <v>-0.17</v>
      </c>
      <c r="AZ101" s="1">
        <v>0</v>
      </c>
      <c r="BA101" s="502">
        <v>-638</v>
      </c>
      <c r="BB101" s="219">
        <v>-6165</v>
      </c>
      <c r="BC101" s="219">
        <v>5844</v>
      </c>
      <c r="BD101" s="219">
        <v>3864</v>
      </c>
      <c r="BE101" s="219">
        <v>-4944</v>
      </c>
      <c r="BF101" s="221">
        <v>2572</v>
      </c>
      <c r="BG101" s="187">
        <v>-5.95</v>
      </c>
      <c r="BH101" s="187">
        <v>-4.88</v>
      </c>
      <c r="BI101" s="432">
        <v>-0.03</v>
      </c>
      <c r="BJ101" s="643">
        <v>0.24360000000000001</v>
      </c>
      <c r="BK101" s="466">
        <v>0.23836514114602148</v>
      </c>
      <c r="BL101" s="191">
        <v>0.24041630560342619</v>
      </c>
      <c r="BM101" s="469">
        <v>2.0511644574047194E-3</v>
      </c>
      <c r="BN101" s="504">
        <v>-5.68</v>
      </c>
      <c r="BO101" s="408">
        <v>-5.6</v>
      </c>
      <c r="BP101" s="519">
        <v>-0.05</v>
      </c>
    </row>
    <row r="102" spans="1:68">
      <c r="A102" s="230" t="s">
        <v>254</v>
      </c>
      <c r="B102" s="180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256">
        <v>0</v>
      </c>
      <c r="I102" s="257">
        <v>0</v>
      </c>
      <c r="J102" s="257">
        <v>0</v>
      </c>
      <c r="K102" s="257">
        <v>0</v>
      </c>
      <c r="L102" s="257">
        <v>0</v>
      </c>
      <c r="M102" s="259">
        <v>0</v>
      </c>
      <c r="N102" s="73">
        <v>-0.27</v>
      </c>
      <c r="O102" s="73">
        <v>0.74</v>
      </c>
      <c r="P102" s="74">
        <v>0.01</v>
      </c>
      <c r="Q102" s="465"/>
      <c r="R102" s="73"/>
      <c r="S102" s="73"/>
      <c r="T102" s="74"/>
      <c r="U102" s="108"/>
      <c r="V102" s="216"/>
      <c r="W102" s="207"/>
      <c r="X102" s="520"/>
      <c r="Y102" s="207">
        <f>STDEV(Y94,Y98)</f>
        <v>7.0710678118654814E-3</v>
      </c>
      <c r="Z102" s="207">
        <f>STDEV(Z96,Z100)</f>
        <v>3.5355339059327411E-2</v>
      </c>
      <c r="AA102" s="207">
        <f>STDEV(AA94:AA101)</f>
        <v>3.1509635714446829E-2</v>
      </c>
      <c r="AB102" s="208"/>
      <c r="AC102" s="208"/>
      <c r="AD102" s="202"/>
      <c r="AF102" s="6"/>
      <c r="AG102" s="1"/>
      <c r="AK102" s="192"/>
      <c r="AT102" s="130" t="s">
        <v>254</v>
      </c>
      <c r="AU102" s="180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01">
        <v>0</v>
      </c>
      <c r="BB102" s="257">
        <v>0</v>
      </c>
      <c r="BC102" s="257">
        <v>0</v>
      </c>
      <c r="BD102" s="257">
        <v>0</v>
      </c>
      <c r="BE102" s="257">
        <v>0</v>
      </c>
      <c r="BF102" s="259">
        <v>0</v>
      </c>
      <c r="BG102" s="305">
        <v>-0.27</v>
      </c>
      <c r="BH102" s="305">
        <v>0.74</v>
      </c>
      <c r="BI102" s="261">
        <v>0.01</v>
      </c>
      <c r="BJ102" s="499"/>
      <c r="BK102" s="10"/>
      <c r="BL102" s="11"/>
      <c r="BM102" s="86"/>
      <c r="BN102" s="207">
        <v>7.0710678118654814E-3</v>
      </c>
      <c r="BO102" s="207">
        <v>3.5355339059327411E-2</v>
      </c>
      <c r="BP102" s="568">
        <v>3.1509635714446829E-2</v>
      </c>
    </row>
    <row r="103" spans="1:68">
      <c r="A103" s="506"/>
      <c r="B103" s="212"/>
      <c r="C103" s="212"/>
      <c r="D103" s="212"/>
      <c r="E103" s="436">
        <f>SQRT(E95*E95+F95*F95)</f>
        <v>0.24041630560342619</v>
      </c>
      <c r="F103" s="204">
        <f>1938*TAN(E94*3.1416/180)</f>
        <v>8.1179418793145715</v>
      </c>
      <c r="G103" s="212"/>
      <c r="H103" s="227"/>
      <c r="I103" s="227"/>
      <c r="J103" s="227"/>
      <c r="K103" s="227"/>
      <c r="L103" s="227"/>
      <c r="M103" s="227"/>
      <c r="N103" s="499">
        <f>AVERAGE(laserX0,N102)</f>
        <v>-0.27</v>
      </c>
      <c r="O103" s="73">
        <f>AVERAGE(laserY0,O102)</f>
        <v>0.73</v>
      </c>
      <c r="P103" s="74">
        <f>AVERAGE(laserZ0,P102)</f>
        <v>1.4999999999999999E-2</v>
      </c>
      <c r="Q103" s="206"/>
      <c r="R103" s="62"/>
      <c r="S103" s="62"/>
      <c r="T103" s="62"/>
      <c r="U103" s="39"/>
      <c r="V103" s="71"/>
      <c r="W103" s="521" t="s">
        <v>272</v>
      </c>
      <c r="X103" s="207">
        <f>AVERAGE(X94:X101)</f>
        <v>1.3385854802679224E-3</v>
      </c>
      <c r="Y103" s="521">
        <f>AVERAGE(Y94,Y98)</f>
        <v>5.0000000000000044E-3</v>
      </c>
      <c r="Z103" s="207">
        <f>AVERAGE(Z96,Z100)</f>
        <v>2.5000000000000022E-2</v>
      </c>
      <c r="AA103" s="207">
        <f t="shared" ref="AA103" si="66">AVERAGE(AA94:AA101)</f>
        <v>-1.7500000000000002E-2</v>
      </c>
      <c r="AB103" s="208"/>
      <c r="AC103" s="208"/>
      <c r="AD103" s="208"/>
      <c r="AE103" s="16">
        <f>AVERAGE(AE94:AE101)</f>
        <v>1.3385854802679224E-3</v>
      </c>
      <c r="AF103" s="6"/>
      <c r="AG103" s="1"/>
      <c r="AK103" s="202" t="s">
        <v>271</v>
      </c>
      <c r="AT103" s="507"/>
      <c r="AU103" s="208"/>
      <c r="AV103" s="208"/>
      <c r="AW103" s="208"/>
      <c r="AX103" s="522">
        <v>0.24041630560342619</v>
      </c>
      <c r="AY103" s="522">
        <v>8.1179418793145715</v>
      </c>
      <c r="AZ103" s="208"/>
      <c r="BA103" s="223"/>
      <c r="BB103" s="223"/>
      <c r="BC103" s="223"/>
      <c r="BD103" s="223"/>
      <c r="BE103" s="223"/>
      <c r="BF103" s="223"/>
      <c r="BG103" s="438">
        <v>-0.27</v>
      </c>
      <c r="BH103" s="438">
        <v>0.73</v>
      </c>
      <c r="BI103" s="438">
        <v>1.4999999999999999E-2</v>
      </c>
      <c r="BJ103" s="499"/>
      <c r="BK103" s="644" t="s">
        <v>384</v>
      </c>
      <c r="BL103" s="83"/>
      <c r="BM103" s="645"/>
      <c r="BN103" s="156">
        <f>STDEV(BM83,BM87,BN94,BN98)</f>
        <v>1.290994448735806E-2</v>
      </c>
      <c r="BO103" s="156">
        <f>STDEV(BN81,BN85,BO96,BO100)</f>
        <v>2.2173557826083483E-2</v>
      </c>
      <c r="BP103" s="174">
        <f>STDEV(BO81:BO88,BP94:BP101)</f>
        <v>2.7010800309012196E-2</v>
      </c>
    </row>
    <row r="104" spans="1:68">
      <c r="A104" s="324"/>
      <c r="B104" s="39"/>
      <c r="C104" s="39"/>
      <c r="D104" s="39"/>
      <c r="E104" s="71">
        <f>SQRT(0.17*0.17*2)</f>
        <v>0.24041630560342619</v>
      </c>
      <c r="F104" s="62">
        <f>1938*TAN(E95*3.1416/180)</f>
        <v>5.7501920739190355</v>
      </c>
      <c r="G104" s="39"/>
      <c r="H104" s="219"/>
      <c r="I104" s="219"/>
      <c r="J104" s="219"/>
      <c r="K104" s="219"/>
      <c r="L104" s="219"/>
      <c r="M104" s="219"/>
      <c r="N104" s="62"/>
      <c r="P104" s="62"/>
      <c r="Q104" s="62"/>
      <c r="R104" s="62"/>
      <c r="S104" s="62"/>
      <c r="T104" s="62"/>
      <c r="U104" s="39"/>
      <c r="V104" s="71"/>
      <c r="W104" s="210" t="s">
        <v>262</v>
      </c>
      <c r="X104" s="211">
        <f>STDEV(X94:X101)</f>
        <v>3.7855210129886328E-4</v>
      </c>
      <c r="Y104" s="210">
        <f t="shared" ref="Y104:Z104" si="67">STDEV(Y94:Y101)</f>
        <v>6.05848165797339</v>
      </c>
      <c r="Z104" s="211">
        <f t="shared" si="67"/>
        <v>6.0368000925277343</v>
      </c>
      <c r="AA104" s="211">
        <f>STDEV(AA94:AA101)</f>
        <v>3.1509635714446829E-2</v>
      </c>
      <c r="AB104" s="212"/>
      <c r="AC104" s="212"/>
      <c r="AD104" s="212"/>
      <c r="AE104" s="13">
        <f>STDEV(AE94:AE101)</f>
        <v>3.7855210129886328E-4</v>
      </c>
      <c r="AF104" s="6"/>
      <c r="AG104" s="1"/>
      <c r="AK104" s="195" t="s">
        <v>271</v>
      </c>
      <c r="AL104" s="1"/>
      <c r="AM104" s="1"/>
      <c r="AN104" s="1"/>
      <c r="AO104" s="1"/>
      <c r="AP104" s="1"/>
      <c r="AQ104" s="1"/>
      <c r="AT104" s="12"/>
      <c r="AU104" s="13"/>
      <c r="AV104" s="13"/>
      <c r="AW104" s="13"/>
      <c r="AX104" s="13" t="s">
        <v>285</v>
      </c>
      <c r="AY104" s="13" t="s">
        <v>286</v>
      </c>
      <c r="AZ104" s="13"/>
      <c r="BA104" s="13"/>
      <c r="BB104" s="13"/>
      <c r="BC104" s="13"/>
      <c r="BD104" s="13"/>
      <c r="BE104" s="13"/>
      <c r="BF104" s="13"/>
      <c r="BG104" s="13" t="s">
        <v>287</v>
      </c>
      <c r="BH104" s="13"/>
      <c r="BI104" s="13"/>
      <c r="BJ104" s="13"/>
      <c r="BK104" s="13"/>
      <c r="BL104" s="13"/>
      <c r="BM104" s="87"/>
    </row>
    <row r="105" spans="1:68">
      <c r="A105" s="324"/>
      <c r="B105" s="39"/>
      <c r="C105" s="39"/>
      <c r="D105" s="39"/>
      <c r="E105" s="39"/>
      <c r="F105" s="39"/>
      <c r="G105" s="39"/>
      <c r="H105" s="219"/>
      <c r="I105" s="219"/>
      <c r="J105" s="219"/>
      <c r="K105" s="219"/>
      <c r="L105" s="219"/>
      <c r="M105" s="219"/>
      <c r="N105" s="187">
        <f t="shared" ref="N105:N112" si="68">N94-laserX0</f>
        <v>1.0000000000000009E-2</v>
      </c>
      <c r="O105" s="8">
        <f t="shared" ref="O105:O112" si="69">O94-laserY0</f>
        <v>-7.9799999999999995</v>
      </c>
      <c r="P105" s="187">
        <f t="shared" ref="P105:P112" si="70">P94-laserZ0</f>
        <v>-0.06</v>
      </c>
      <c r="Q105" s="62"/>
      <c r="R105" s="62"/>
      <c r="S105" s="62"/>
      <c r="T105" s="62"/>
      <c r="U105" s="39"/>
      <c r="V105" s="71"/>
      <c r="W105" s="71"/>
      <c r="X105" s="71"/>
      <c r="Y105" s="71"/>
      <c r="Z105" s="71"/>
      <c r="AA105" s="39"/>
      <c r="AB105" s="147"/>
      <c r="AC105" s="147"/>
      <c r="AD105" s="39"/>
      <c r="AE105" s="39"/>
      <c r="AF105" s="39"/>
      <c r="AG105" s="39"/>
      <c r="AH105" s="3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BK105" s="644" t="s">
        <v>384</v>
      </c>
      <c r="BL105" s="83"/>
      <c r="BM105" s="645"/>
      <c r="BN105" s="156">
        <v>1.290994448735806E-2</v>
      </c>
      <c r="BO105" s="156">
        <v>2.2173557826083483E-2</v>
      </c>
      <c r="BP105" s="174">
        <v>2.7010800309012196E-2</v>
      </c>
    </row>
    <row r="106" spans="1:68">
      <c r="A106" s="324"/>
      <c r="B106" s="39"/>
      <c r="C106" s="39"/>
      <c r="D106" s="39"/>
      <c r="E106" s="39"/>
      <c r="F106" s="39"/>
      <c r="G106" s="39"/>
      <c r="H106" s="219"/>
      <c r="I106" s="219"/>
      <c r="J106" s="219"/>
      <c r="L106" s="219"/>
      <c r="M106" s="219"/>
      <c r="N106" s="187">
        <f t="shared" si="68"/>
        <v>5.68</v>
      </c>
      <c r="O106" s="187">
        <f t="shared" si="69"/>
        <v>-5.6499999999999995</v>
      </c>
      <c r="P106" s="187">
        <f t="shared" si="70"/>
        <v>-0.04</v>
      </c>
      <c r="Q106" s="62"/>
      <c r="R106" s="62"/>
      <c r="S106" s="62"/>
      <c r="T106" s="62"/>
      <c r="U106" s="39"/>
      <c r="V106" s="71"/>
      <c r="W106" s="71"/>
      <c r="X106" s="71"/>
      <c r="Y106" s="71"/>
      <c r="Z106" s="71"/>
      <c r="AA106" s="39"/>
      <c r="AB106" s="147"/>
      <c r="AC106" s="147"/>
      <c r="AD106" s="39"/>
      <c r="AE106" s="39"/>
      <c r="AF106" s="39"/>
      <c r="AG106" s="39"/>
      <c r="AH106" s="39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68">
      <c r="A107" s="324"/>
      <c r="B107" s="39"/>
      <c r="C107" s="39"/>
      <c r="D107" s="39"/>
      <c r="E107" s="39"/>
      <c r="F107" s="39"/>
      <c r="G107" s="39"/>
      <c r="H107" s="219"/>
      <c r="I107" s="219"/>
      <c r="J107" s="219"/>
      <c r="K107" s="219"/>
      <c r="L107" s="219"/>
      <c r="M107" s="219"/>
      <c r="N107" s="187">
        <f t="shared" si="68"/>
        <v>8</v>
      </c>
      <c r="O107" s="187">
        <f t="shared" si="69"/>
        <v>0</v>
      </c>
      <c r="P107" s="187">
        <f t="shared" si="70"/>
        <v>-0.02</v>
      </c>
      <c r="Q107" s="62"/>
      <c r="R107" s="62"/>
      <c r="S107" s="62"/>
      <c r="T107" s="62"/>
      <c r="U107" s="39"/>
      <c r="V107" s="71"/>
      <c r="W107" s="71"/>
      <c r="X107" s="71"/>
      <c r="Y107" s="71"/>
      <c r="Z107" s="71"/>
      <c r="AA107" s="39"/>
      <c r="AB107" s="147"/>
      <c r="AC107" s="147"/>
      <c r="AD107" s="39"/>
      <c r="AE107" s="39"/>
      <c r="AF107" s="39"/>
      <c r="AG107" s="39"/>
      <c r="AH107" s="39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68">
      <c r="A108" s="324"/>
      <c r="B108" s="39"/>
      <c r="C108" s="39"/>
      <c r="D108" s="39"/>
      <c r="E108" s="39"/>
      <c r="F108" s="39"/>
      <c r="G108" s="39"/>
      <c r="H108" s="219"/>
      <c r="I108" s="219"/>
      <c r="J108" s="219"/>
      <c r="K108" s="219"/>
      <c r="L108" s="219"/>
      <c r="M108" s="219"/>
      <c r="N108" s="187">
        <f t="shared" si="68"/>
        <v>5.6899999999999995</v>
      </c>
      <c r="O108" s="187">
        <f t="shared" si="69"/>
        <v>5.66</v>
      </c>
      <c r="P108" s="187">
        <f t="shared" si="70"/>
        <v>9.9999999999999985E-3</v>
      </c>
      <c r="Q108" s="62"/>
      <c r="R108" s="62"/>
      <c r="S108" s="62"/>
      <c r="T108" s="62"/>
      <c r="U108" s="39"/>
      <c r="V108" s="71"/>
      <c r="W108" s="71"/>
      <c r="X108" s="71"/>
      <c r="Y108" s="71"/>
      <c r="Z108" s="71"/>
      <c r="AA108" s="39"/>
      <c r="AB108" s="147"/>
      <c r="AC108" s="147"/>
      <c r="AD108" s="39"/>
      <c r="AE108" s="39"/>
      <c r="AF108" s="39"/>
      <c r="AG108" s="39"/>
      <c r="AH108" s="39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68">
      <c r="A109" s="324"/>
      <c r="B109" s="39"/>
      <c r="C109" s="39"/>
      <c r="D109" s="39"/>
      <c r="E109" s="39"/>
      <c r="F109" s="39"/>
      <c r="G109" s="39"/>
      <c r="H109" s="219"/>
      <c r="I109" s="219"/>
      <c r="J109" s="219"/>
      <c r="K109" s="219"/>
      <c r="L109" s="219"/>
      <c r="M109" s="219"/>
      <c r="N109" s="187">
        <f t="shared" si="68"/>
        <v>0</v>
      </c>
      <c r="O109" s="187">
        <f t="shared" si="69"/>
        <v>7.9900000000000011</v>
      </c>
      <c r="P109" s="187">
        <f t="shared" si="70"/>
        <v>0.02</v>
      </c>
      <c r="Q109" s="62"/>
      <c r="R109" s="62"/>
      <c r="S109" s="62"/>
      <c r="T109" s="62"/>
      <c r="U109" s="39"/>
      <c r="V109" s="71"/>
      <c r="W109" s="71"/>
      <c r="X109" s="71"/>
      <c r="Y109" s="71"/>
      <c r="Z109" s="71"/>
      <c r="AA109" s="39"/>
      <c r="AB109" s="147"/>
      <c r="AC109" s="147"/>
      <c r="AD109" s="39"/>
      <c r="AE109" s="39"/>
      <c r="AF109" s="39"/>
      <c r="AG109" s="39"/>
      <c r="AH109" s="39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68">
      <c r="A110" s="324"/>
      <c r="B110" s="39"/>
      <c r="C110" s="39"/>
      <c r="D110" s="39"/>
      <c r="E110" s="39"/>
      <c r="F110" s="39"/>
      <c r="G110" s="39"/>
      <c r="H110" s="219"/>
      <c r="I110" s="219"/>
      <c r="J110" s="219"/>
      <c r="K110" s="219"/>
      <c r="L110" s="219"/>
      <c r="M110" s="219"/>
      <c r="N110" s="187">
        <f t="shared" si="68"/>
        <v>-5.66</v>
      </c>
      <c r="O110" s="187">
        <f t="shared" si="69"/>
        <v>5.6800000000000006</v>
      </c>
      <c r="P110" s="187">
        <f t="shared" si="70"/>
        <v>0.02</v>
      </c>
      <c r="Q110" s="62"/>
      <c r="R110" s="62"/>
      <c r="S110" s="62"/>
      <c r="T110" s="62"/>
      <c r="U110" s="39"/>
      <c r="V110" s="71"/>
      <c r="W110" s="71"/>
      <c r="X110" s="71"/>
      <c r="Y110" s="71"/>
      <c r="Z110" s="71"/>
      <c r="AA110" s="39"/>
      <c r="AB110" s="147"/>
      <c r="AC110" s="147"/>
      <c r="AD110" s="39"/>
      <c r="AE110" s="39"/>
      <c r="AF110" s="39"/>
      <c r="AG110" s="39"/>
      <c r="AH110" s="39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68">
      <c r="A111" s="324"/>
      <c r="B111" s="39"/>
      <c r="C111" s="39"/>
      <c r="D111" s="39"/>
      <c r="E111" s="39"/>
      <c r="F111" s="39"/>
      <c r="G111" s="39"/>
      <c r="H111" s="219"/>
      <c r="I111" s="219"/>
      <c r="J111" s="219"/>
      <c r="K111" s="219"/>
      <c r="L111" s="219"/>
      <c r="M111" s="219"/>
      <c r="N111" s="187">
        <f t="shared" si="68"/>
        <v>-8</v>
      </c>
      <c r="O111" s="187">
        <f t="shared" si="69"/>
        <v>5.0000000000000044E-2</v>
      </c>
      <c r="P111" s="187">
        <f t="shared" si="70"/>
        <v>-0.02</v>
      </c>
      <c r="Q111" s="62"/>
      <c r="R111" s="62"/>
      <c r="S111" s="62"/>
      <c r="T111" s="62"/>
      <c r="U111" s="39"/>
      <c r="V111" s="71"/>
      <c r="W111" s="71"/>
      <c r="X111" s="71"/>
      <c r="Y111" s="71"/>
      <c r="Z111" s="71"/>
      <c r="AA111" s="39"/>
      <c r="AB111" s="147"/>
      <c r="AC111" s="147"/>
      <c r="AD111" s="39"/>
      <c r="AE111" s="39"/>
      <c r="AF111" s="39"/>
      <c r="AG111" s="39"/>
      <c r="AH111" s="39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68">
      <c r="A112" s="324"/>
      <c r="B112" s="39"/>
      <c r="C112" s="39"/>
      <c r="D112" s="39"/>
      <c r="E112" s="39"/>
      <c r="F112" s="39"/>
      <c r="G112" s="39"/>
      <c r="H112" s="219"/>
      <c r="I112" s="219"/>
      <c r="J112" s="219"/>
      <c r="K112" s="219"/>
      <c r="L112" s="219"/>
      <c r="M112" s="219"/>
      <c r="N112" s="187">
        <f t="shared" si="68"/>
        <v>-5.68</v>
      </c>
      <c r="O112" s="187">
        <f t="shared" si="69"/>
        <v>-5.6</v>
      </c>
      <c r="P112" s="187">
        <f t="shared" si="70"/>
        <v>-0.05</v>
      </c>
      <c r="Q112" s="62"/>
      <c r="R112" s="62"/>
      <c r="S112" s="62"/>
      <c r="T112" s="62"/>
      <c r="U112" s="39"/>
      <c r="V112" s="71"/>
      <c r="W112" s="71"/>
      <c r="X112" s="71"/>
      <c r="Y112" s="71"/>
      <c r="Z112" s="71"/>
      <c r="AA112" s="39"/>
      <c r="AB112" s="147"/>
      <c r="AC112" s="147"/>
      <c r="AD112" s="39"/>
      <c r="AE112" s="39"/>
      <c r="AF112" s="39"/>
      <c r="AG112" s="39"/>
      <c r="AH112" s="39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66">
      <c r="A113" s="440" t="s">
        <v>280</v>
      </c>
      <c r="B113" s="39"/>
      <c r="C113" s="39"/>
      <c r="D113" s="39"/>
      <c r="E113" s="39"/>
      <c r="F113" s="39"/>
      <c r="G113" s="39"/>
      <c r="H113" s="219"/>
      <c r="I113" s="219"/>
      <c r="J113" s="219"/>
      <c r="K113" s="219"/>
      <c r="L113" s="219"/>
      <c r="M113" s="219"/>
      <c r="N113" s="62"/>
      <c r="O113" s="62"/>
      <c r="P113" s="62"/>
      <c r="Q113" s="62"/>
      <c r="R113" s="62"/>
      <c r="S113" s="62"/>
      <c r="T113" s="62"/>
      <c r="U113" s="39"/>
      <c r="V113" s="71"/>
      <c r="W113" s="71"/>
      <c r="X113" s="71"/>
      <c r="Y113" s="71"/>
      <c r="Z113" s="71"/>
      <c r="AA113" s="39"/>
      <c r="AB113" s="147"/>
      <c r="AC113" s="147"/>
      <c r="AD113" s="39"/>
      <c r="AE113" s="39">
        <v>2.0500000000000002E-3</v>
      </c>
      <c r="AF113" s="39">
        <f>AE113*60</f>
        <v>0.12300000000000001</v>
      </c>
      <c r="AG113" s="39"/>
      <c r="AH113" s="39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66">
      <c r="A114" s="440" t="s">
        <v>281</v>
      </c>
      <c r="B114" s="39"/>
      <c r="C114" s="39"/>
      <c r="D114" s="39"/>
      <c r="E114" s="39"/>
      <c r="F114" s="39"/>
      <c r="G114" s="39"/>
      <c r="H114" s="219"/>
      <c r="I114" s="219"/>
      <c r="J114" s="219"/>
      <c r="K114" s="219"/>
      <c r="L114" s="219"/>
      <c r="M114" s="219"/>
      <c r="N114" s="62"/>
      <c r="O114" s="62"/>
      <c r="P114" s="62"/>
      <c r="Q114" s="62"/>
      <c r="R114" s="62"/>
      <c r="S114" s="62"/>
      <c r="T114" s="62"/>
      <c r="U114" s="39"/>
      <c r="V114" s="71"/>
      <c r="W114" s="71"/>
      <c r="X114" s="71"/>
      <c r="Y114" s="71"/>
      <c r="Z114" s="71"/>
      <c r="AA114" s="39"/>
      <c r="AB114" s="503" t="s">
        <v>134</v>
      </c>
      <c r="AC114" s="463" t="s">
        <v>259</v>
      </c>
      <c r="AD114" s="39"/>
      <c r="AE114" s="39"/>
      <c r="AF114" s="39"/>
      <c r="AG114" s="39"/>
      <c r="AH114" s="3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505" t="s">
        <v>282</v>
      </c>
      <c r="AU114" s="208"/>
      <c r="AV114" s="208"/>
      <c r="AW114" s="208"/>
      <c r="AX114" s="208"/>
      <c r="AY114" s="208"/>
      <c r="AZ114" s="208"/>
      <c r="BA114" s="223"/>
      <c r="BB114" s="223"/>
      <c r="BC114" s="223"/>
      <c r="BD114" s="223"/>
      <c r="BE114" s="223"/>
      <c r="BF114" s="223"/>
      <c r="BG114" s="199"/>
      <c r="BH114" s="199"/>
      <c r="BI114" s="199"/>
      <c r="BJ114" s="199"/>
      <c r="BK114" s="199"/>
      <c r="BL114" s="503" t="s">
        <v>134</v>
      </c>
      <c r="BM114" s="463" t="s">
        <v>259</v>
      </c>
      <c r="BN114" s="39"/>
    </row>
    <row r="115" spans="1:66">
      <c r="A115" s="471" t="s">
        <v>275</v>
      </c>
      <c r="B115" s="216"/>
      <c r="C115" s="216"/>
      <c r="D115" s="3"/>
      <c r="E115" s="3"/>
      <c r="F115" s="3"/>
      <c r="G115" s="3"/>
      <c r="H115" s="242"/>
      <c r="I115" s="242"/>
      <c r="J115" s="242"/>
      <c r="K115" s="242"/>
      <c r="L115" s="242"/>
      <c r="M115" s="242"/>
      <c r="N115" s="305"/>
      <c r="O115" s="305"/>
      <c r="P115" s="261"/>
      <c r="Q115" s="457" t="s">
        <v>9</v>
      </c>
      <c r="R115" s="199"/>
      <c r="S115" s="199" t="s">
        <v>283</v>
      </c>
      <c r="T115" s="201"/>
      <c r="U115" s="476" t="s">
        <v>110</v>
      </c>
      <c r="V115" s="71"/>
      <c r="W115" s="71"/>
      <c r="X115" s="71"/>
      <c r="Y115" s="71"/>
      <c r="Z115" s="71"/>
      <c r="AA115" s="39"/>
      <c r="AB115" s="250" t="s">
        <v>263</v>
      </c>
      <c r="AC115" s="470" t="s">
        <v>12</v>
      </c>
      <c r="AD115" s="39"/>
      <c r="AE115" s="39"/>
      <c r="AF115" s="39"/>
      <c r="AG115" s="39"/>
      <c r="AH115" s="3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471" t="s">
        <v>275</v>
      </c>
      <c r="AU115" s="216"/>
      <c r="AV115" s="216"/>
      <c r="AW115" s="3"/>
      <c r="AX115" s="3"/>
      <c r="AY115" s="3"/>
      <c r="AZ115" s="3"/>
      <c r="BA115" s="242"/>
      <c r="BB115" s="242"/>
      <c r="BC115" s="242"/>
      <c r="BD115" s="242"/>
      <c r="BE115" s="242"/>
      <c r="BF115" s="242"/>
      <c r="BG115" s="305"/>
      <c r="BH115" s="305"/>
      <c r="BI115" s="261"/>
      <c r="BJ115" s="457" t="s">
        <v>9</v>
      </c>
      <c r="BK115" s="476" t="s">
        <v>110</v>
      </c>
      <c r="BL115" s="250" t="s">
        <v>263</v>
      </c>
      <c r="BM115" s="470" t="s">
        <v>12</v>
      </c>
    </row>
    <row r="116" spans="1:66">
      <c r="A116" s="486">
        <v>44234</v>
      </c>
      <c r="B116" s="459" t="s">
        <v>257</v>
      </c>
      <c r="C116" s="460"/>
      <c r="D116" s="460"/>
      <c r="E116" s="460"/>
      <c r="F116" s="11"/>
      <c r="G116" s="11"/>
      <c r="H116" s="21"/>
      <c r="I116" s="21" t="s">
        <v>248</v>
      </c>
      <c r="J116" s="21"/>
      <c r="K116" s="238"/>
      <c r="L116" s="238"/>
      <c r="M116" s="238"/>
      <c r="N116" s="21" t="s">
        <v>265</v>
      </c>
      <c r="O116" s="21"/>
      <c r="P116" s="21"/>
      <c r="Q116" s="458" t="s">
        <v>10</v>
      </c>
      <c r="R116" s="73"/>
      <c r="S116" s="73" t="s">
        <v>162</v>
      </c>
      <c r="T116" s="74"/>
      <c r="U116" s="109" t="s">
        <v>198</v>
      </c>
      <c r="V116" s="71"/>
      <c r="W116" s="71"/>
      <c r="X116" s="71"/>
      <c r="Y116" s="71"/>
      <c r="Z116" s="71"/>
      <c r="AA116" s="39"/>
      <c r="AB116" s="250" t="s">
        <v>7</v>
      </c>
      <c r="AC116" s="458" t="s">
        <v>198</v>
      </c>
      <c r="AD116" s="39"/>
      <c r="AE116" s="39"/>
      <c r="AF116" s="39"/>
      <c r="AG116" s="39"/>
      <c r="AH116" s="3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486">
        <v>44234</v>
      </c>
      <c r="AU116" s="459" t="s">
        <v>257</v>
      </c>
      <c r="AV116" s="460"/>
      <c r="AW116" s="460"/>
      <c r="AX116" s="460"/>
      <c r="AY116" s="11"/>
      <c r="AZ116" s="11"/>
      <c r="BA116" s="21"/>
      <c r="BB116" s="21" t="s">
        <v>248</v>
      </c>
      <c r="BC116" s="21"/>
      <c r="BD116" s="238"/>
      <c r="BE116" s="238"/>
      <c r="BF116" s="238"/>
      <c r="BG116" s="21" t="s">
        <v>265</v>
      </c>
      <c r="BH116" s="21"/>
      <c r="BI116" s="21"/>
      <c r="BJ116" s="458" t="s">
        <v>10</v>
      </c>
      <c r="BK116" s="109" t="s">
        <v>198</v>
      </c>
      <c r="BL116" s="250" t="s">
        <v>7</v>
      </c>
      <c r="BM116" s="458" t="s">
        <v>198</v>
      </c>
    </row>
    <row r="117" spans="1:66">
      <c r="A117" s="455" t="s">
        <v>253</v>
      </c>
      <c r="B117" s="442" t="s">
        <v>0</v>
      </c>
      <c r="C117" s="443" t="s">
        <v>1</v>
      </c>
      <c r="D117" s="443" t="s">
        <v>2</v>
      </c>
      <c r="E117" s="443" t="s">
        <v>3</v>
      </c>
      <c r="F117" s="443" t="s">
        <v>4</v>
      </c>
      <c r="G117" s="515" t="s">
        <v>5</v>
      </c>
      <c r="H117" s="423">
        <v>1</v>
      </c>
      <c r="I117" s="424">
        <v>2</v>
      </c>
      <c r="J117" s="424">
        <v>3</v>
      </c>
      <c r="K117" s="424">
        <v>4</v>
      </c>
      <c r="L117" s="424">
        <v>5</v>
      </c>
      <c r="M117" s="425">
        <v>6</v>
      </c>
      <c r="N117" s="99" t="s">
        <v>0</v>
      </c>
      <c r="O117" s="99" t="s">
        <v>1</v>
      </c>
      <c r="P117" s="99" t="s">
        <v>2</v>
      </c>
      <c r="Q117" s="456" t="s">
        <v>256</v>
      </c>
      <c r="R117" s="73"/>
      <c r="S117" s="73" t="s">
        <v>284</v>
      </c>
      <c r="T117" s="74"/>
      <c r="U117" s="478" t="s">
        <v>3</v>
      </c>
      <c r="V117" s="71"/>
      <c r="W117" s="71"/>
      <c r="X117" s="71"/>
      <c r="Y117" s="71"/>
      <c r="Z117" s="71"/>
      <c r="AA117" s="39"/>
      <c r="AB117" s="302"/>
      <c r="AC117" s="418" t="s">
        <v>260</v>
      </c>
      <c r="AD117" s="39"/>
      <c r="AE117" s="39"/>
      <c r="AF117" s="39"/>
      <c r="AG117" s="39"/>
      <c r="AH117" s="3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455" t="s">
        <v>253</v>
      </c>
      <c r="AU117" s="442" t="s">
        <v>0</v>
      </c>
      <c r="AV117" s="443" t="s">
        <v>1</v>
      </c>
      <c r="AW117" s="443" t="s">
        <v>2</v>
      </c>
      <c r="AX117" s="443" t="s">
        <v>3</v>
      </c>
      <c r="AY117" s="443" t="s">
        <v>4</v>
      </c>
      <c r="AZ117" s="443" t="s">
        <v>5</v>
      </c>
      <c r="BA117" s="512">
        <v>1</v>
      </c>
      <c r="BB117" s="513">
        <v>2</v>
      </c>
      <c r="BC117" s="513">
        <v>3</v>
      </c>
      <c r="BD117" s="513">
        <v>4</v>
      </c>
      <c r="BE117" s="513">
        <v>5</v>
      </c>
      <c r="BF117" s="514">
        <v>6</v>
      </c>
      <c r="BG117" s="99" t="s">
        <v>0</v>
      </c>
      <c r="BH117" s="99" t="s">
        <v>1</v>
      </c>
      <c r="BI117" s="99" t="s">
        <v>2</v>
      </c>
      <c r="BJ117" s="456" t="s">
        <v>256</v>
      </c>
      <c r="BK117" s="478" t="s">
        <v>3</v>
      </c>
      <c r="BL117" s="302"/>
      <c r="BM117" s="418" t="s">
        <v>260</v>
      </c>
    </row>
    <row r="118" spans="1:66">
      <c r="A118" s="127" t="s">
        <v>254</v>
      </c>
      <c r="B118" s="6">
        <v>0</v>
      </c>
      <c r="C118" s="1">
        <v>0</v>
      </c>
      <c r="D118" s="1">
        <v>0</v>
      </c>
      <c r="E118" s="454">
        <v>0</v>
      </c>
      <c r="F118" s="349">
        <v>0</v>
      </c>
      <c r="G118" s="1">
        <v>0</v>
      </c>
      <c r="H118" s="218">
        <v>0</v>
      </c>
      <c r="I118" s="219">
        <v>0</v>
      </c>
      <c r="J118" s="219">
        <v>0</v>
      </c>
      <c r="K118" s="219">
        <v>0</v>
      </c>
      <c r="L118" s="219">
        <v>0</v>
      </c>
      <c r="M118" s="221">
        <v>-1</v>
      </c>
      <c r="N118" s="62">
        <f>laserX0-avlaserX0</f>
        <v>0</v>
      </c>
      <c r="O118" s="62">
        <f>laserY0-avlaserY0</f>
        <v>-1.0000000000000009E-2</v>
      </c>
      <c r="P118" s="112">
        <f>laserZ0-avlaserZ0</f>
        <v>5.000000000000001E-3</v>
      </c>
      <c r="Q118" s="491">
        <v>0</v>
      </c>
      <c r="R118" s="488"/>
      <c r="S118" s="199"/>
      <c r="T118" s="201"/>
      <c r="U118" s="491">
        <f>-180*ATAN((O118)/(1938+19.05))/3.1416</f>
        <v>2.9276536384068388E-4</v>
      </c>
      <c r="V118" s="71">
        <f>ABS(U118)</f>
        <v>2.9276536384068388E-4</v>
      </c>
      <c r="W118" s="71"/>
      <c r="X118" s="71"/>
      <c r="Y118" s="71"/>
      <c r="Z118" s="71"/>
      <c r="AA118" s="39"/>
      <c r="AB118" s="250">
        <v>0</v>
      </c>
      <c r="AC118" s="494">
        <f>ABS(U118-AB118)</f>
        <v>2.9276536384068388E-4</v>
      </c>
      <c r="AD118" s="39"/>
      <c r="AE118" s="39"/>
      <c r="AF118" s="39"/>
      <c r="AG118" s="39"/>
      <c r="AH118" s="3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27" t="s">
        <v>254</v>
      </c>
      <c r="AU118" s="6">
        <v>0</v>
      </c>
      <c r="AV118" s="1">
        <v>0</v>
      </c>
      <c r="AW118" s="1">
        <v>0</v>
      </c>
      <c r="AX118" s="454">
        <v>0</v>
      </c>
      <c r="AY118" s="349">
        <v>0</v>
      </c>
      <c r="AZ118" s="1">
        <v>0</v>
      </c>
      <c r="BA118" s="502">
        <v>0</v>
      </c>
      <c r="BB118" s="219">
        <v>0</v>
      </c>
      <c r="BC118" s="219">
        <v>0</v>
      </c>
      <c r="BD118" s="219">
        <v>0</v>
      </c>
      <c r="BE118" s="219">
        <v>0</v>
      </c>
      <c r="BF118" s="221">
        <v>-1</v>
      </c>
      <c r="BG118" s="187">
        <v>0</v>
      </c>
      <c r="BH118" s="187">
        <v>-1.0000000000000009E-2</v>
      </c>
      <c r="BI118" s="432">
        <v>5.000000000000001E-3</v>
      </c>
      <c r="BJ118" s="491">
        <v>0</v>
      </c>
      <c r="BK118" s="491">
        <v>2.9276536384068388E-4</v>
      </c>
      <c r="BL118" s="250">
        <v>0</v>
      </c>
      <c r="BM118" s="494">
        <v>2.9276536384068388E-4</v>
      </c>
    </row>
    <row r="119" spans="1:66">
      <c r="A119" s="299">
        <v>1</v>
      </c>
      <c r="B119" s="289">
        <v>0</v>
      </c>
      <c r="C119" s="5">
        <v>0</v>
      </c>
      <c r="D119" s="5">
        <v>0</v>
      </c>
      <c r="E119" s="83">
        <v>0.24</v>
      </c>
      <c r="F119" s="5">
        <v>0</v>
      </c>
      <c r="G119" s="5">
        <v>0</v>
      </c>
      <c r="H119" s="256">
        <v>-4842</v>
      </c>
      <c r="I119" s="257">
        <v>-4842</v>
      </c>
      <c r="J119" s="257">
        <v>5885</v>
      </c>
      <c r="K119" s="257">
        <v>-778</v>
      </c>
      <c r="L119" s="257">
        <v>-778</v>
      </c>
      <c r="M119" s="259">
        <v>5885</v>
      </c>
      <c r="N119" s="73">
        <f>N94-avlaserX0</f>
        <v>1.0000000000000009E-2</v>
      </c>
      <c r="O119" s="73">
        <f>O94-avlaserY0</f>
        <v>-7.99</v>
      </c>
      <c r="P119" s="261">
        <f>P94-avlaserZ0</f>
        <v>-5.5E-2</v>
      </c>
      <c r="Q119" s="490">
        <v>0.24279999999999999</v>
      </c>
      <c r="R119" s="282"/>
      <c r="S119" s="62"/>
      <c r="T119" s="112"/>
      <c r="U119" s="490">
        <f>-180*ATAN((O119)/(1938-19.05))/3.1416</f>
        <v>0.23856252757263835</v>
      </c>
      <c r="V119" s="71">
        <f t="shared" ref="V119:V121" si="71">ABS(U119)</f>
        <v>0.23856252757263835</v>
      </c>
      <c r="W119" s="71"/>
      <c r="X119" s="71"/>
      <c r="Y119" s="71"/>
      <c r="Z119" s="71"/>
      <c r="AA119" s="39"/>
      <c r="AB119" s="250">
        <v>0.24</v>
      </c>
      <c r="AC119" s="468">
        <f t="shared" ref="AC119:AC121" si="72">ABS(U119-AB119)</f>
        <v>1.4374724273616413E-3</v>
      </c>
      <c r="AD119" s="39"/>
      <c r="AE119" s="39"/>
      <c r="AF119" s="39"/>
      <c r="AG119" t="s">
        <v>117</v>
      </c>
      <c r="AJ119" s="1"/>
      <c r="AK119" s="1"/>
      <c r="AL119" s="1"/>
      <c r="AM119" s="1"/>
      <c r="AN119" s="1"/>
      <c r="AO119" s="1"/>
      <c r="AP119" s="1"/>
      <c r="AQ119" s="1"/>
      <c r="AR119" s="1"/>
      <c r="AT119" s="299">
        <v>1</v>
      </c>
      <c r="AU119" s="289">
        <v>0</v>
      </c>
      <c r="AV119" s="5">
        <v>0</v>
      </c>
      <c r="AW119" s="5">
        <v>0</v>
      </c>
      <c r="AX119" s="83">
        <v>0.24</v>
      </c>
      <c r="AY119" s="5">
        <v>0</v>
      </c>
      <c r="AZ119" s="5">
        <v>0</v>
      </c>
      <c r="BA119" s="501">
        <v>-4842</v>
      </c>
      <c r="BB119" s="257">
        <v>-4842</v>
      </c>
      <c r="BC119" s="257">
        <v>5885</v>
      </c>
      <c r="BD119" s="257">
        <v>-778</v>
      </c>
      <c r="BE119" s="257">
        <v>-778</v>
      </c>
      <c r="BF119" s="259">
        <v>5885</v>
      </c>
      <c r="BG119" s="305">
        <v>1.0000000000000009E-2</v>
      </c>
      <c r="BH119" s="305">
        <v>-7.99</v>
      </c>
      <c r="BI119" s="261">
        <v>-5.5E-2</v>
      </c>
      <c r="BJ119" s="490">
        <v>0.24279999999999999</v>
      </c>
      <c r="BK119" s="490">
        <v>0.23856252757263835</v>
      </c>
      <c r="BL119" s="250">
        <v>0.24</v>
      </c>
      <c r="BM119" s="468">
        <v>1.4374724273616413E-3</v>
      </c>
    </row>
    <row r="120" spans="1:66">
      <c r="A120" s="127" t="s">
        <v>254</v>
      </c>
      <c r="B120" s="179">
        <v>0</v>
      </c>
      <c r="C120" s="39">
        <v>0</v>
      </c>
      <c r="D120" s="1">
        <v>0</v>
      </c>
      <c r="E120" s="454">
        <v>0</v>
      </c>
      <c r="F120" s="349">
        <v>0</v>
      </c>
      <c r="G120" s="1">
        <v>0</v>
      </c>
      <c r="H120" s="218">
        <v>0</v>
      </c>
      <c r="I120" s="219">
        <v>0</v>
      </c>
      <c r="J120" s="219">
        <v>0</v>
      </c>
      <c r="K120" s="219">
        <v>0</v>
      </c>
      <c r="L120" s="219">
        <v>0</v>
      </c>
      <c r="M120" s="221">
        <v>0</v>
      </c>
      <c r="N120" s="62">
        <f>N102-avlaserX0</f>
        <v>0</v>
      </c>
      <c r="O120" s="62">
        <f>O102-avlaserY0</f>
        <v>1.0000000000000009E-2</v>
      </c>
      <c r="P120" s="112">
        <f>P102-avlaserZ0</f>
        <v>-4.9999999999999992E-3</v>
      </c>
      <c r="Q120" s="490">
        <v>2.9999999999999997E-4</v>
      </c>
      <c r="R120" s="282"/>
      <c r="S120" s="62"/>
      <c r="T120" s="112"/>
      <c r="U120" s="490">
        <f>-180*ATAN((O120)/(1938-19.05))/3.1416</f>
        <v>-2.9857810537231843E-4</v>
      </c>
      <c r="V120" s="71">
        <f t="shared" si="71"/>
        <v>2.9857810537231843E-4</v>
      </c>
      <c r="W120" s="71"/>
      <c r="X120" s="71"/>
      <c r="Y120" s="71"/>
      <c r="Z120" s="71"/>
      <c r="AA120" s="39"/>
      <c r="AB120" s="250">
        <v>0</v>
      </c>
      <c r="AC120" s="468">
        <f t="shared" si="72"/>
        <v>2.9857810537231843E-4</v>
      </c>
      <c r="AD120" s="39"/>
      <c r="AE120" s="39"/>
      <c r="AF120" s="39"/>
      <c r="AG120" t="s">
        <v>115</v>
      </c>
      <c r="AJ120" s="1"/>
      <c r="AK120" s="1"/>
      <c r="AL120" s="1"/>
      <c r="AM120" s="1"/>
      <c r="AN120" s="1"/>
      <c r="AO120" s="1"/>
      <c r="AP120" s="1"/>
      <c r="AQ120" s="1"/>
      <c r="AR120" s="1"/>
      <c r="AT120" s="127" t="s">
        <v>254</v>
      </c>
      <c r="AU120" s="179">
        <v>0</v>
      </c>
      <c r="AV120" s="39">
        <v>0</v>
      </c>
      <c r="AW120" s="1">
        <v>0</v>
      </c>
      <c r="AX120" s="454">
        <v>0</v>
      </c>
      <c r="AY120" s="349">
        <v>0</v>
      </c>
      <c r="AZ120" s="1">
        <v>0</v>
      </c>
      <c r="BA120" s="502">
        <v>0</v>
      </c>
      <c r="BB120" s="219">
        <v>0</v>
      </c>
      <c r="BC120" s="219">
        <v>0</v>
      </c>
      <c r="BD120" s="219">
        <v>0</v>
      </c>
      <c r="BE120" s="219">
        <v>0</v>
      </c>
      <c r="BF120" s="221">
        <v>0</v>
      </c>
      <c r="BG120" s="187">
        <v>0</v>
      </c>
      <c r="BH120" s="187">
        <v>1.0000000000000009E-2</v>
      </c>
      <c r="BI120" s="432">
        <v>-4.9999999999999992E-3</v>
      </c>
      <c r="BJ120" s="490">
        <v>2.9999999999999997E-4</v>
      </c>
      <c r="BK120" s="490">
        <v>-2.9857810537231843E-4</v>
      </c>
      <c r="BL120" s="250">
        <v>0</v>
      </c>
      <c r="BM120" s="468">
        <v>2.9857810537231843E-4</v>
      </c>
    </row>
    <row r="121" spans="1:66">
      <c r="A121" s="230">
        <v>5</v>
      </c>
      <c r="B121" s="180">
        <v>0</v>
      </c>
      <c r="C121" s="5">
        <v>0</v>
      </c>
      <c r="D121" s="5">
        <v>0</v>
      </c>
      <c r="E121" s="83">
        <v>-0.24</v>
      </c>
      <c r="F121" s="5">
        <v>0</v>
      </c>
      <c r="G121" s="5">
        <v>0</v>
      </c>
      <c r="H121" s="256">
        <v>5014</v>
      </c>
      <c r="I121" s="257">
        <v>5014</v>
      </c>
      <c r="J121" s="257">
        <v>-5744</v>
      </c>
      <c r="K121" s="257">
        <v>998</v>
      </c>
      <c r="L121" s="257">
        <v>998</v>
      </c>
      <c r="M121" s="259">
        <v>-5745</v>
      </c>
      <c r="N121" s="73">
        <f>N98-avlaserX0</f>
        <v>0</v>
      </c>
      <c r="O121" s="73">
        <f>O98-avlaserY0</f>
        <v>7.98</v>
      </c>
      <c r="P121" s="74">
        <f>P98-avlaserZ0</f>
        <v>2.5000000000000001E-2</v>
      </c>
      <c r="Q121" s="497">
        <v>0.24429999999999999</v>
      </c>
      <c r="R121" s="489"/>
      <c r="S121" s="204"/>
      <c r="T121" s="206"/>
      <c r="U121" s="492">
        <f>-180*ATAN((O121)/(1938-19.05))/3.1416</f>
        <v>-0.23826395463705477</v>
      </c>
      <c r="V121" s="71">
        <f t="shared" si="71"/>
        <v>0.23826395463705477</v>
      </c>
      <c r="W121" s="71"/>
      <c r="X121" s="71"/>
      <c r="Y121" s="71"/>
      <c r="Z121" s="71"/>
      <c r="AA121" s="39"/>
      <c r="AB121" s="250">
        <v>-0.24</v>
      </c>
      <c r="AC121" s="468">
        <f t="shared" si="72"/>
        <v>1.736045362945221E-3</v>
      </c>
      <c r="AD121" s="39"/>
      <c r="AE121" s="39"/>
      <c r="AF121" s="39"/>
      <c r="AG121" t="s">
        <v>116</v>
      </c>
      <c r="AJ121" s="1"/>
      <c r="AK121" s="1"/>
      <c r="AL121" s="1"/>
      <c r="AM121" s="1"/>
      <c r="AN121" s="1"/>
      <c r="AO121" s="1"/>
      <c r="AP121" s="1"/>
      <c r="AQ121" s="1"/>
      <c r="AR121" s="1"/>
      <c r="AT121" s="315">
        <v>5</v>
      </c>
      <c r="AU121" s="213">
        <v>0</v>
      </c>
      <c r="AV121" s="208">
        <v>0</v>
      </c>
      <c r="AW121" s="208">
        <v>0</v>
      </c>
      <c r="AX121" s="77">
        <v>-0.24</v>
      </c>
      <c r="AY121" s="208">
        <v>0</v>
      </c>
      <c r="AZ121" s="208">
        <v>0</v>
      </c>
      <c r="BA121" s="500">
        <v>5014</v>
      </c>
      <c r="BB121" s="223">
        <v>5014</v>
      </c>
      <c r="BC121" s="223">
        <v>-5744</v>
      </c>
      <c r="BD121" s="223">
        <v>998</v>
      </c>
      <c r="BE121" s="223">
        <v>998</v>
      </c>
      <c r="BF121" s="225">
        <v>-5745</v>
      </c>
      <c r="BG121" s="438">
        <v>0</v>
      </c>
      <c r="BH121" s="438">
        <v>7.98</v>
      </c>
      <c r="BI121" s="439">
        <v>2.5000000000000001E-2</v>
      </c>
      <c r="BJ121" s="490">
        <v>0.24429999999999999</v>
      </c>
      <c r="BK121" s="248">
        <v>-0.23826395463705477</v>
      </c>
      <c r="BL121" s="250">
        <v>-0.24</v>
      </c>
      <c r="BM121" s="468">
        <v>1.736045362945221E-3</v>
      </c>
    </row>
    <row r="122" spans="1:66">
      <c r="A122" s="471" t="s">
        <v>276</v>
      </c>
      <c r="B122" s="216"/>
      <c r="C122" s="216"/>
      <c r="D122" s="3"/>
      <c r="E122" s="3"/>
      <c r="F122" s="3"/>
      <c r="G122" s="3"/>
      <c r="H122" s="242"/>
      <c r="I122" s="242"/>
      <c r="J122" s="242"/>
      <c r="K122" s="242"/>
      <c r="L122" s="242"/>
      <c r="M122" s="242"/>
      <c r="N122" s="305"/>
      <c r="O122" s="305"/>
      <c r="P122" s="305"/>
      <c r="Q122" s="498"/>
      <c r="R122" s="73"/>
      <c r="S122" s="73"/>
      <c r="T122" s="73"/>
      <c r="U122" s="493" t="s">
        <v>4</v>
      </c>
      <c r="V122" s="71"/>
      <c r="W122" s="71"/>
      <c r="X122" s="71"/>
      <c r="Y122" s="71"/>
      <c r="Z122" s="71"/>
      <c r="AA122" s="39"/>
      <c r="AB122" s="250"/>
      <c r="AC122" s="495"/>
      <c r="AD122" s="39"/>
      <c r="AE122" s="39"/>
      <c r="AF122" s="39"/>
      <c r="AG122" s="39"/>
      <c r="AH122" s="3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471" t="s">
        <v>276</v>
      </c>
      <c r="AU122" s="216"/>
      <c r="AV122" s="216"/>
      <c r="AW122" s="3"/>
      <c r="AX122" s="3"/>
      <c r="AY122" s="3"/>
      <c r="AZ122" s="3"/>
      <c r="BA122" s="242"/>
      <c r="BB122" s="242"/>
      <c r="BC122" s="242"/>
      <c r="BD122" s="242"/>
      <c r="BE122" s="242"/>
      <c r="BF122" s="242"/>
      <c r="BG122" s="305"/>
      <c r="BH122" s="305"/>
      <c r="BI122" s="305"/>
      <c r="BJ122" s="487"/>
      <c r="BK122" s="304" t="s">
        <v>4</v>
      </c>
      <c r="BL122" s="303"/>
      <c r="BM122" s="493"/>
    </row>
    <row r="123" spans="1:66">
      <c r="A123" s="127" t="s">
        <v>254</v>
      </c>
      <c r="B123" s="6">
        <v>0</v>
      </c>
      <c r="C123" s="1">
        <v>0</v>
      </c>
      <c r="D123" s="1">
        <v>0</v>
      </c>
      <c r="E123" s="349">
        <v>0</v>
      </c>
      <c r="F123" s="454">
        <v>0</v>
      </c>
      <c r="G123" s="1">
        <v>0</v>
      </c>
      <c r="H123" s="218">
        <v>0</v>
      </c>
      <c r="I123" s="219">
        <v>0</v>
      </c>
      <c r="J123" s="219">
        <v>0</v>
      </c>
      <c r="K123" s="219">
        <v>0</v>
      </c>
      <c r="L123" s="219">
        <v>0</v>
      </c>
      <c r="M123" s="221">
        <v>-1</v>
      </c>
      <c r="N123" s="62">
        <f>laserX0-avlaserX0</f>
        <v>0</v>
      </c>
      <c r="O123" s="62">
        <f>laserY0-avlaserY0</f>
        <v>-1.0000000000000009E-2</v>
      </c>
      <c r="P123" s="112">
        <f>laserZ0-avlaserZ0</f>
        <v>5.000000000000001E-3</v>
      </c>
      <c r="Q123" s="491">
        <v>0</v>
      </c>
      <c r="R123" s="488"/>
      <c r="S123" s="199"/>
      <c r="T123" s="201"/>
      <c r="U123" s="491">
        <f>180*ATAN((N123)/(1938-10.05))/3.1416</f>
        <v>0</v>
      </c>
      <c r="V123" s="71">
        <f t="shared" ref="V123:V126" si="73">ABS(U123)</f>
        <v>0</v>
      </c>
      <c r="W123" s="71"/>
      <c r="X123" s="71"/>
      <c r="Y123" s="71"/>
      <c r="Z123" s="71"/>
      <c r="AA123" s="39"/>
      <c r="AB123" s="250">
        <v>0</v>
      </c>
      <c r="AC123" s="468">
        <f t="shared" ref="AC123:AC126" si="74">ABS(U123-AB123)</f>
        <v>0</v>
      </c>
      <c r="AD123" s="39"/>
      <c r="AE123" s="39"/>
      <c r="AF123" s="39"/>
      <c r="AG123" s="39"/>
      <c r="AH123" s="3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27" t="s">
        <v>254</v>
      </c>
      <c r="AU123" s="6">
        <v>0</v>
      </c>
      <c r="AV123" s="1">
        <v>0</v>
      </c>
      <c r="AW123" s="1">
        <v>0</v>
      </c>
      <c r="AX123" s="349">
        <v>0</v>
      </c>
      <c r="AY123" s="454">
        <v>0</v>
      </c>
      <c r="AZ123" s="1">
        <v>0</v>
      </c>
      <c r="BA123" s="502">
        <v>0</v>
      </c>
      <c r="BB123" s="219">
        <v>0</v>
      </c>
      <c r="BC123" s="219">
        <v>0</v>
      </c>
      <c r="BD123" s="219">
        <v>0</v>
      </c>
      <c r="BE123" s="219">
        <v>0</v>
      </c>
      <c r="BF123" s="221">
        <v>-1</v>
      </c>
      <c r="BG123" s="187">
        <v>0</v>
      </c>
      <c r="BH123" s="187">
        <v>-1.0000000000000009E-2</v>
      </c>
      <c r="BI123" s="432">
        <v>5.000000000000001E-3</v>
      </c>
      <c r="BJ123" s="490">
        <v>0</v>
      </c>
      <c r="BK123" s="490">
        <v>0</v>
      </c>
      <c r="BL123" s="250">
        <v>0</v>
      </c>
      <c r="BM123" s="468">
        <v>0</v>
      </c>
    </row>
    <row r="124" spans="1:66">
      <c r="A124" s="299">
        <v>3</v>
      </c>
      <c r="B124" s="289">
        <v>0</v>
      </c>
      <c r="C124" s="5">
        <v>0</v>
      </c>
      <c r="D124" s="5">
        <v>0</v>
      </c>
      <c r="E124" s="5">
        <v>0</v>
      </c>
      <c r="F124" s="83">
        <v>0.24</v>
      </c>
      <c r="G124" s="5">
        <v>0</v>
      </c>
      <c r="H124" s="256">
        <v>-3780</v>
      </c>
      <c r="I124" s="257">
        <v>3963</v>
      </c>
      <c r="J124" s="257">
        <v>-2224</v>
      </c>
      <c r="K124" s="257">
        <v>-6134</v>
      </c>
      <c r="L124" s="257">
        <v>6269</v>
      </c>
      <c r="M124" s="259">
        <v>2439</v>
      </c>
      <c r="N124" s="73">
        <f>N96-avlaserX0</f>
        <v>8</v>
      </c>
      <c r="O124" s="73">
        <f>O96-avlaserY0</f>
        <v>-1.0000000000000009E-2</v>
      </c>
      <c r="P124" s="261">
        <f>P96-avlaserZ0</f>
        <v>-1.4999999999999999E-2</v>
      </c>
      <c r="Q124" s="490">
        <v>0.23749999999999999</v>
      </c>
      <c r="R124" s="282"/>
      <c r="S124" s="62"/>
      <c r="T124" s="112"/>
      <c r="U124" s="490">
        <f>180*ATAN((N124)/(1938-10.05))/3.1416</f>
        <v>0.23774606889674277</v>
      </c>
      <c r="V124" s="71">
        <f t="shared" si="73"/>
        <v>0.23774606889674277</v>
      </c>
      <c r="W124" s="71"/>
      <c r="X124" s="71"/>
      <c r="Y124" s="71"/>
      <c r="Z124" s="71"/>
      <c r="AA124" s="39"/>
      <c r="AB124" s="250">
        <v>0.24</v>
      </c>
      <c r="AC124" s="468">
        <f t="shared" si="74"/>
        <v>2.2539311032572229E-3</v>
      </c>
      <c r="AD124" s="39"/>
      <c r="AE124" s="39"/>
      <c r="AF124" s="39"/>
      <c r="AG124" s="39"/>
      <c r="AH124" s="3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299">
        <v>3</v>
      </c>
      <c r="AU124" s="289">
        <v>0</v>
      </c>
      <c r="AV124" s="5">
        <v>0</v>
      </c>
      <c r="AW124" s="5">
        <v>0</v>
      </c>
      <c r="AX124" s="5">
        <v>0</v>
      </c>
      <c r="AY124" s="83">
        <v>0.24</v>
      </c>
      <c r="AZ124" s="5">
        <v>0</v>
      </c>
      <c r="BA124" s="501">
        <v>-3780</v>
      </c>
      <c r="BB124" s="257">
        <v>3963</v>
      </c>
      <c r="BC124" s="257">
        <v>-2224</v>
      </c>
      <c r="BD124" s="257">
        <v>-6134</v>
      </c>
      <c r="BE124" s="257">
        <v>6269</v>
      </c>
      <c r="BF124" s="259">
        <v>2439</v>
      </c>
      <c r="BG124" s="305">
        <v>8</v>
      </c>
      <c r="BH124" s="305">
        <v>-1.0000000000000009E-2</v>
      </c>
      <c r="BI124" s="261">
        <v>-1.4999999999999999E-2</v>
      </c>
      <c r="BJ124" s="490">
        <v>0.23749999999999999</v>
      </c>
      <c r="BK124" s="490">
        <v>0.23774606889674277</v>
      </c>
      <c r="BL124" s="250">
        <v>0.24</v>
      </c>
      <c r="BM124" s="468">
        <v>2.2539311032572229E-3</v>
      </c>
    </row>
    <row r="125" spans="1:66">
      <c r="A125" s="127" t="s">
        <v>254</v>
      </c>
      <c r="B125" s="6">
        <v>0</v>
      </c>
      <c r="C125" s="1">
        <v>0</v>
      </c>
      <c r="D125" s="1">
        <v>0</v>
      </c>
      <c r="E125" s="349">
        <v>0</v>
      </c>
      <c r="F125" s="454">
        <v>0</v>
      </c>
      <c r="G125" s="1">
        <v>0</v>
      </c>
      <c r="H125" s="218">
        <v>0</v>
      </c>
      <c r="I125" s="219">
        <v>0</v>
      </c>
      <c r="J125" s="219">
        <v>0</v>
      </c>
      <c r="K125" s="219">
        <v>0</v>
      </c>
      <c r="L125" s="219">
        <v>0</v>
      </c>
      <c r="M125" s="221">
        <v>0</v>
      </c>
      <c r="N125" s="62">
        <f>N102-avlaserX0</f>
        <v>0</v>
      </c>
      <c r="O125" s="62">
        <f>O102-avlaserY0</f>
        <v>1.0000000000000009E-2</v>
      </c>
      <c r="P125" s="112">
        <f>P102-avlaserZ0</f>
        <v>-4.9999999999999992E-3</v>
      </c>
      <c r="Q125" s="490">
        <v>2.9999999999999997E-4</v>
      </c>
      <c r="R125" s="282"/>
      <c r="S125" s="62"/>
      <c r="T125" s="112"/>
      <c r="U125" s="490">
        <f>180*ATAN((N125)/(1938-10.05))/3.1416</f>
        <v>0</v>
      </c>
      <c r="V125" s="71">
        <f t="shared" si="73"/>
        <v>0</v>
      </c>
      <c r="W125" s="71"/>
      <c r="X125" s="71"/>
      <c r="Y125" s="71"/>
      <c r="Z125" s="71"/>
      <c r="AA125" s="39"/>
      <c r="AB125" s="250">
        <v>0</v>
      </c>
      <c r="AC125" s="468">
        <f t="shared" si="74"/>
        <v>0</v>
      </c>
      <c r="AD125" s="39"/>
      <c r="AE125" s="39"/>
      <c r="AF125" s="39"/>
      <c r="AG125" s="39"/>
      <c r="AH125" s="3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27" t="s">
        <v>254</v>
      </c>
      <c r="AU125" s="6">
        <v>0</v>
      </c>
      <c r="AV125" s="1">
        <v>0</v>
      </c>
      <c r="AW125" s="1">
        <v>0</v>
      </c>
      <c r="AX125" s="349">
        <v>0</v>
      </c>
      <c r="AY125" s="454">
        <v>0</v>
      </c>
      <c r="AZ125" s="1">
        <v>0</v>
      </c>
      <c r="BA125" s="502">
        <v>0</v>
      </c>
      <c r="BB125" s="219">
        <v>0</v>
      </c>
      <c r="BC125" s="219">
        <v>0</v>
      </c>
      <c r="BD125" s="219">
        <v>0</v>
      </c>
      <c r="BE125" s="219">
        <v>0</v>
      </c>
      <c r="BF125" s="221">
        <v>0</v>
      </c>
      <c r="BG125" s="187">
        <v>0</v>
      </c>
      <c r="BH125" s="187">
        <v>1.0000000000000009E-2</v>
      </c>
      <c r="BI125" s="432">
        <v>-4.9999999999999992E-3</v>
      </c>
      <c r="BJ125" s="490">
        <v>2.9999999999999997E-4</v>
      </c>
      <c r="BK125" s="490">
        <v>0</v>
      </c>
      <c r="BL125" s="250">
        <v>0</v>
      </c>
      <c r="BM125" s="468">
        <v>0</v>
      </c>
    </row>
    <row r="126" spans="1:66">
      <c r="A126" s="230">
        <v>7</v>
      </c>
      <c r="B126" s="180">
        <v>0</v>
      </c>
      <c r="C126" s="5">
        <v>0</v>
      </c>
      <c r="D126" s="5">
        <v>0</v>
      </c>
      <c r="E126" s="5">
        <v>0</v>
      </c>
      <c r="F126" s="83">
        <v>-0.24</v>
      </c>
      <c r="G126" s="5">
        <v>0</v>
      </c>
      <c r="H126" s="256">
        <v>3963</v>
      </c>
      <c r="I126" s="257">
        <v>-3780</v>
      </c>
      <c r="J126" s="257">
        <v>2439</v>
      </c>
      <c r="K126" s="257">
        <v>6269</v>
      </c>
      <c r="L126" s="257">
        <v>-6135</v>
      </c>
      <c r="M126" s="259">
        <v>-2224</v>
      </c>
      <c r="N126" s="73">
        <f>N100-avlaserX0</f>
        <v>-8</v>
      </c>
      <c r="O126" s="73">
        <f>O100-avlaserY0</f>
        <v>4.0000000000000036E-2</v>
      </c>
      <c r="P126" s="74">
        <f>P100-avlaserZ0</f>
        <v>-1.4999999999999999E-2</v>
      </c>
      <c r="Q126" s="497">
        <v>0.23949999999999999</v>
      </c>
      <c r="R126" s="489"/>
      <c r="S126" s="204"/>
      <c r="T126" s="206"/>
      <c r="U126" s="492">
        <f>180*ATAN((N126)/(1938-10.05))/3.1416</f>
        <v>-0.23774606889674277</v>
      </c>
      <c r="V126" s="71">
        <f t="shared" si="73"/>
        <v>0.23774606889674277</v>
      </c>
      <c r="W126" s="71"/>
      <c r="X126" s="71"/>
      <c r="Y126" s="71"/>
      <c r="Z126" s="71"/>
      <c r="AA126" s="39"/>
      <c r="AB126" s="504">
        <v>-0.24</v>
      </c>
      <c r="AC126" s="496">
        <f t="shared" si="74"/>
        <v>2.2539311032572229E-3</v>
      </c>
      <c r="AD126" s="39"/>
      <c r="AE126" s="39"/>
      <c r="AF126" s="39"/>
      <c r="AG126" s="39"/>
      <c r="AH126" s="3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230">
        <v>7</v>
      </c>
      <c r="AU126" s="180">
        <v>0</v>
      </c>
      <c r="AV126" s="5">
        <v>0</v>
      </c>
      <c r="AW126" s="5">
        <v>0</v>
      </c>
      <c r="AX126" s="5">
        <v>0</v>
      </c>
      <c r="AY126" s="83">
        <v>-0.24</v>
      </c>
      <c r="AZ126" s="5">
        <v>0</v>
      </c>
      <c r="BA126" s="501">
        <v>3963</v>
      </c>
      <c r="BB126" s="257">
        <v>-3780</v>
      </c>
      <c r="BC126" s="257">
        <v>2439</v>
      </c>
      <c r="BD126" s="257">
        <v>6269</v>
      </c>
      <c r="BE126" s="257">
        <v>-6135</v>
      </c>
      <c r="BF126" s="259">
        <v>-2224</v>
      </c>
      <c r="BG126" s="305">
        <v>-8</v>
      </c>
      <c r="BH126" s="305">
        <v>4.0000000000000036E-2</v>
      </c>
      <c r="BI126" s="261">
        <v>-1.4999999999999999E-2</v>
      </c>
      <c r="BJ126" s="497">
        <v>0.23949999999999999</v>
      </c>
      <c r="BK126" s="492">
        <v>-0.23774606889674277</v>
      </c>
      <c r="BL126" s="504">
        <v>-0.24</v>
      </c>
      <c r="BM126" s="496">
        <v>2.2539311032572229E-3</v>
      </c>
    </row>
    <row r="127" spans="1:66">
      <c r="A127" s="324"/>
      <c r="B127" s="39"/>
      <c r="C127" s="39"/>
      <c r="D127" s="39"/>
      <c r="E127" s="39"/>
      <c r="F127" s="39"/>
      <c r="G127" s="39"/>
      <c r="H127" s="219"/>
      <c r="I127" s="219"/>
      <c r="J127" s="219"/>
      <c r="K127" s="219"/>
      <c r="L127" s="219"/>
      <c r="M127" s="219"/>
      <c r="N127" s="62"/>
      <c r="O127" s="62"/>
      <c r="P127" s="62"/>
      <c r="Q127" s="62"/>
      <c r="R127" s="62"/>
      <c r="S127" s="62"/>
      <c r="T127" s="62"/>
      <c r="U127" s="39"/>
      <c r="V127" s="71"/>
      <c r="W127" s="71"/>
      <c r="X127" s="71"/>
      <c r="Y127" s="71"/>
      <c r="Z127" s="71"/>
      <c r="AA127" s="39"/>
      <c r="AB127" s="147"/>
      <c r="AC127" s="147"/>
      <c r="AD127" s="39"/>
      <c r="AE127" s="39"/>
      <c r="AF127" s="39"/>
      <c r="AG127" s="39"/>
      <c r="AH127" s="39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66">
      <c r="A128" s="324"/>
      <c r="B128" s="39"/>
      <c r="C128" s="39"/>
      <c r="D128" s="39"/>
      <c r="E128" s="39"/>
      <c r="F128" s="39"/>
      <c r="G128" s="39"/>
      <c r="H128" s="219"/>
      <c r="I128" s="219"/>
      <c r="J128" s="219"/>
      <c r="K128" s="219"/>
      <c r="L128" s="219"/>
      <c r="M128" s="219"/>
      <c r="N128" s="62"/>
      <c r="O128" s="62"/>
      <c r="P128" s="62"/>
      <c r="Q128" s="62">
        <f>AVERAGE((Q119-0.24),(Q121-0.24),(Q124-0.24),(Q126-0.24))</f>
        <v>1.0249999999999981E-3</v>
      </c>
      <c r="R128" s="62"/>
      <c r="S128" s="62"/>
      <c r="T128" s="62"/>
      <c r="U128" s="147">
        <f>AVERAGE((U119-0.24),(U121-0.24),(U124-0.24),(U126-0.24))</f>
        <v>-0.2399253567661041</v>
      </c>
      <c r="V128" s="71">
        <f>AVERAGE((V119-0.24),(V121-0.24),(V124-0.24),(V126-0.24))</f>
        <v>-1.920344999205327E-3</v>
      </c>
      <c r="W128" s="71"/>
      <c r="X128" s="71"/>
      <c r="Y128" s="71"/>
      <c r="Z128" s="71"/>
      <c r="AA128" s="39"/>
      <c r="AB128" s="147"/>
      <c r="AC128" s="147"/>
      <c r="AD128" s="39"/>
      <c r="AE128" s="39"/>
      <c r="AF128" s="39"/>
      <c r="AG128" s="39"/>
      <c r="AH128" s="39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>
      <c r="A129" s="324"/>
      <c r="B129" s="39"/>
      <c r="C129" s="39"/>
      <c r="D129" s="39"/>
      <c r="E129" s="39"/>
      <c r="F129" s="39"/>
      <c r="G129" s="39"/>
      <c r="H129" s="219"/>
      <c r="I129" s="219"/>
      <c r="J129" s="219"/>
      <c r="K129" s="219"/>
      <c r="L129" s="219"/>
      <c r="M129" s="219"/>
      <c r="N129" s="62"/>
      <c r="O129" s="62"/>
      <c r="P129" s="62"/>
      <c r="Q129" s="62"/>
      <c r="R129" s="62"/>
      <c r="S129" s="62"/>
      <c r="T129" s="62"/>
      <c r="U129" s="39"/>
      <c r="V129" s="71"/>
      <c r="W129" s="71"/>
      <c r="X129" s="71"/>
      <c r="Y129" s="71"/>
      <c r="Z129" s="71"/>
      <c r="AA129" s="39"/>
      <c r="AB129" s="147"/>
      <c r="AC129" s="147"/>
      <c r="AD129" s="39"/>
      <c r="AE129" s="39"/>
      <c r="AF129" s="39"/>
      <c r="AG129" s="39"/>
      <c r="AH129" s="39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>
      <c r="A130" s="324"/>
      <c r="B130" s="39"/>
      <c r="C130" s="39"/>
      <c r="D130" s="39"/>
      <c r="E130" s="39"/>
      <c r="F130" s="39"/>
      <c r="G130" s="39"/>
      <c r="H130" s="219"/>
      <c r="I130" s="219"/>
      <c r="J130" s="219"/>
      <c r="K130" s="219"/>
      <c r="L130" s="219"/>
      <c r="M130" s="219"/>
      <c r="N130" s="62"/>
      <c r="O130" s="62"/>
      <c r="P130" s="62"/>
      <c r="Q130" s="62"/>
      <c r="R130" s="62"/>
      <c r="S130" s="62"/>
      <c r="T130" s="62"/>
      <c r="U130" s="39"/>
      <c r="V130" s="71"/>
      <c r="W130" s="71"/>
      <c r="X130" s="71"/>
      <c r="Y130" s="71"/>
      <c r="Z130" s="71"/>
      <c r="AA130" s="39"/>
      <c r="AB130" s="147"/>
      <c r="AC130" s="147"/>
      <c r="AD130" s="39"/>
      <c r="AE130" s="39"/>
      <c r="AF130" s="39"/>
      <c r="AG130" s="39"/>
      <c r="AH130" s="39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>
      <c r="A131" s="324"/>
      <c r="B131" s="39"/>
      <c r="C131" s="39"/>
      <c r="D131" s="39"/>
      <c r="E131" s="39"/>
      <c r="F131" s="39"/>
      <c r="G131" s="39"/>
      <c r="H131" s="219"/>
      <c r="I131" s="219"/>
      <c r="J131" s="219"/>
      <c r="K131" s="219"/>
      <c r="L131" s="219"/>
      <c r="M131" s="219"/>
      <c r="N131" s="62"/>
      <c r="O131" s="62"/>
      <c r="P131" s="62"/>
      <c r="Q131" s="62"/>
      <c r="R131" s="62"/>
      <c r="S131" s="62"/>
      <c r="T131" s="62"/>
      <c r="U131" s="39"/>
      <c r="V131" s="71"/>
      <c r="W131" s="71"/>
      <c r="X131" s="71"/>
      <c r="Y131" s="71"/>
      <c r="Z131" s="71"/>
      <c r="AA131" s="39"/>
      <c r="AB131" s="147"/>
      <c r="AC131" s="147"/>
      <c r="AD131" s="39"/>
      <c r="AE131" s="39"/>
      <c r="AF131" s="39"/>
      <c r="AG131" s="39"/>
      <c r="AH131" s="39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>
      <c r="A132" s="324"/>
      <c r="B132" s="39"/>
      <c r="C132" s="39"/>
      <c r="D132" s="39"/>
      <c r="E132" s="39"/>
      <c r="F132" s="39"/>
      <c r="G132" s="39"/>
      <c r="H132" s="219"/>
      <c r="I132" s="219"/>
      <c r="J132" s="219"/>
      <c r="K132" s="219"/>
      <c r="L132" s="219"/>
      <c r="M132" s="219"/>
      <c r="N132" s="62"/>
      <c r="O132" s="62"/>
      <c r="P132" s="62"/>
      <c r="Q132" s="62"/>
      <c r="R132" s="62"/>
      <c r="S132" s="62"/>
      <c r="T132" s="62"/>
      <c r="U132" s="39"/>
      <c r="V132" s="71"/>
      <c r="W132" s="71"/>
      <c r="X132" s="71"/>
      <c r="Y132" s="71"/>
      <c r="Z132" s="71"/>
      <c r="AA132" s="39"/>
      <c r="AB132" s="147"/>
      <c r="AC132" s="147"/>
      <c r="AD132" s="39"/>
      <c r="AE132" s="39"/>
      <c r="AF132" s="39"/>
      <c r="AG132" s="39"/>
      <c r="AH132" s="39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>
      <c r="A133" s="324"/>
      <c r="B133" s="39"/>
      <c r="C133" s="39"/>
      <c r="D133" s="39"/>
      <c r="E133" s="39"/>
      <c r="F133" s="39"/>
      <c r="G133" s="39"/>
      <c r="H133" s="219"/>
      <c r="I133" s="219"/>
      <c r="J133" s="219"/>
      <c r="K133" s="219"/>
      <c r="L133" s="219"/>
      <c r="M133" s="219"/>
      <c r="N133" s="62"/>
      <c r="O133" s="62"/>
      <c r="P133" s="62"/>
      <c r="Q133" s="62"/>
      <c r="R133" s="62"/>
      <c r="S133" s="62"/>
      <c r="T133" s="62"/>
      <c r="U133" s="39"/>
      <c r="V133" s="71"/>
      <c r="W133" s="71"/>
      <c r="X133" s="71"/>
      <c r="Y133" s="71"/>
      <c r="Z133" s="71"/>
      <c r="AA133" s="39"/>
      <c r="AB133" s="147"/>
      <c r="AC133" s="147"/>
      <c r="AD133" s="39"/>
      <c r="AE133" s="39"/>
      <c r="AF133" s="39"/>
      <c r="AG133" s="39"/>
      <c r="AH133" s="39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>
      <c r="A134" s="324"/>
      <c r="B134" s="39"/>
      <c r="C134" s="39"/>
      <c r="D134" s="39"/>
      <c r="E134" s="39"/>
      <c r="F134" s="39"/>
      <c r="G134" s="39"/>
      <c r="H134" s="219"/>
      <c r="I134" s="219"/>
      <c r="J134" s="219"/>
      <c r="K134" s="219"/>
      <c r="L134" s="219"/>
      <c r="M134" s="219"/>
      <c r="N134" s="62"/>
      <c r="O134" s="62"/>
      <c r="P134" s="62"/>
      <c r="Q134" s="62"/>
      <c r="R134" s="62"/>
      <c r="S134" s="62"/>
      <c r="T134" s="62"/>
      <c r="U134" s="39"/>
      <c r="V134" s="71"/>
      <c r="W134" s="71"/>
      <c r="X134" s="71"/>
      <c r="Y134" s="71"/>
      <c r="Z134" s="71"/>
      <c r="AA134" s="39"/>
      <c r="AB134" s="147"/>
      <c r="AC134" s="147"/>
      <c r="AD134" s="39"/>
      <c r="AE134" s="39"/>
      <c r="AF134" s="39"/>
      <c r="AG134" s="39"/>
      <c r="AH134" s="39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>
      <c r="A135" s="324"/>
      <c r="B135" s="39"/>
      <c r="C135" s="39"/>
      <c r="D135" s="39"/>
      <c r="E135" s="39"/>
      <c r="F135" s="39"/>
      <c r="G135" s="39"/>
      <c r="H135" s="219"/>
      <c r="I135" s="219"/>
      <c r="J135" s="219"/>
      <c r="K135" s="219"/>
      <c r="L135" s="219"/>
      <c r="M135" s="219"/>
      <c r="N135" s="62"/>
      <c r="O135" s="62"/>
      <c r="P135" s="62"/>
      <c r="Q135" s="62"/>
      <c r="R135" s="62"/>
      <c r="S135" s="62"/>
      <c r="T135" s="62"/>
      <c r="U135" s="39"/>
      <c r="V135" s="71"/>
      <c r="W135" s="71"/>
      <c r="X135" s="71"/>
      <c r="Y135" s="71"/>
      <c r="Z135" s="71"/>
      <c r="AA135" s="39"/>
      <c r="AB135" s="147"/>
      <c r="AC135" s="147"/>
      <c r="AD135" s="39"/>
      <c r="AE135" s="39"/>
      <c r="AF135" s="39"/>
      <c r="AG135" s="39"/>
      <c r="AH135" s="39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>
      <c r="A136" s="324"/>
      <c r="B136" s="39"/>
      <c r="C136" s="39"/>
      <c r="D136" s="39"/>
      <c r="E136" s="39"/>
      <c r="F136" s="39"/>
      <c r="G136" s="39"/>
      <c r="H136" s="219"/>
      <c r="I136" s="219"/>
      <c r="J136" s="219"/>
      <c r="K136" s="219"/>
      <c r="L136" s="219"/>
      <c r="M136" s="219"/>
      <c r="N136" s="62"/>
      <c r="O136" s="62"/>
      <c r="P136" s="62"/>
      <c r="Q136" s="62"/>
      <c r="R136" s="62"/>
      <c r="S136" s="62"/>
      <c r="T136" s="62"/>
      <c r="U136" s="39"/>
      <c r="V136" s="71"/>
      <c r="W136" s="71"/>
      <c r="X136" s="71"/>
      <c r="Y136" s="71"/>
      <c r="Z136" s="71"/>
      <c r="AA136" s="39"/>
      <c r="AB136" s="147"/>
      <c r="AC136" s="147"/>
      <c r="AD136" s="39"/>
      <c r="AE136" s="39"/>
      <c r="AF136" s="39"/>
      <c r="AG136" s="39"/>
      <c r="AH136" s="39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>
      <c r="A137" s="324"/>
      <c r="B137" s="39"/>
      <c r="C137" s="39"/>
      <c r="D137" s="39"/>
      <c r="E137" s="39"/>
      <c r="F137" s="39"/>
      <c r="G137" s="39"/>
      <c r="H137" s="219"/>
      <c r="I137" s="219"/>
      <c r="J137" s="219"/>
      <c r="K137" s="219"/>
      <c r="L137" s="219"/>
      <c r="M137" s="219"/>
      <c r="N137" s="62"/>
      <c r="O137" s="62"/>
      <c r="P137" s="62"/>
      <c r="Q137" s="62"/>
      <c r="R137" s="62"/>
      <c r="S137" s="62"/>
      <c r="T137" s="62"/>
      <c r="U137" s="39"/>
      <c r="V137" s="71"/>
      <c r="W137" s="71"/>
      <c r="X137" s="71"/>
      <c r="Y137" s="71"/>
      <c r="Z137" s="71"/>
      <c r="AA137" s="39"/>
      <c r="AB137" s="147"/>
      <c r="AC137" s="147"/>
      <c r="AD137" s="39"/>
      <c r="AE137" s="39"/>
      <c r="AF137" s="39"/>
      <c r="AG137" s="39"/>
      <c r="AH137" s="39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>
      <c r="A138" s="324"/>
      <c r="B138" s="39"/>
      <c r="C138" s="39"/>
      <c r="D138" s="39"/>
      <c r="E138" s="39"/>
      <c r="F138" s="39"/>
      <c r="G138" s="39"/>
      <c r="H138" s="219"/>
      <c r="I138" s="219"/>
      <c r="J138" s="219"/>
      <c r="K138" s="219"/>
      <c r="L138" s="219"/>
      <c r="M138" s="219"/>
      <c r="N138" s="62"/>
      <c r="O138" s="62"/>
      <c r="P138" s="62"/>
      <c r="Q138" s="62"/>
      <c r="R138" s="62"/>
      <c r="S138" s="62"/>
      <c r="T138" s="62"/>
      <c r="U138" s="39"/>
      <c r="V138" s="71"/>
      <c r="W138" s="71"/>
      <c r="X138" s="71"/>
      <c r="Y138" s="71"/>
      <c r="Z138" s="71"/>
      <c r="AA138" s="39"/>
      <c r="AB138" s="147"/>
      <c r="AC138" s="147"/>
      <c r="AD138" s="39"/>
      <c r="AE138" s="39"/>
      <c r="AF138" s="39"/>
      <c r="AG138" s="39"/>
      <c r="AH138" s="39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>
      <c r="A139" s="324"/>
      <c r="B139" s="39"/>
      <c r="C139" s="39"/>
      <c r="D139" s="39"/>
      <c r="E139" s="39"/>
      <c r="F139" s="39"/>
      <c r="G139" s="39"/>
      <c r="H139" s="219"/>
      <c r="I139" s="219"/>
      <c r="J139" s="219"/>
      <c r="K139" s="219"/>
      <c r="L139" s="219"/>
      <c r="M139" s="219"/>
      <c r="N139" s="62"/>
      <c r="O139" s="62"/>
      <c r="P139" s="62"/>
      <c r="Q139" s="62"/>
      <c r="R139" s="62"/>
      <c r="S139" s="62"/>
      <c r="T139" s="62"/>
      <c r="U139" s="39"/>
      <c r="V139" s="71"/>
      <c r="W139" s="71"/>
      <c r="X139" s="71"/>
      <c r="Y139" s="71"/>
      <c r="Z139" s="71"/>
      <c r="AA139" s="39"/>
      <c r="AB139" s="147"/>
      <c r="AC139" s="147"/>
      <c r="AD139" s="39"/>
      <c r="AE139" s="39"/>
      <c r="AF139" s="39"/>
      <c r="AG139" s="39"/>
      <c r="AH139" s="39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>
      <c r="A140" s="324"/>
      <c r="B140" s="39"/>
      <c r="C140" s="39"/>
      <c r="D140" s="39"/>
      <c r="E140" s="39"/>
      <c r="F140" s="39"/>
      <c r="G140" s="39"/>
      <c r="H140" s="219"/>
      <c r="I140" s="219"/>
      <c r="J140" s="219"/>
      <c r="K140" s="219"/>
      <c r="L140" s="219"/>
      <c r="M140" s="219"/>
      <c r="N140" s="62"/>
      <c r="O140" s="62"/>
      <c r="P140" s="62"/>
      <c r="Q140" s="62"/>
      <c r="R140" s="62"/>
      <c r="S140" s="62"/>
      <c r="T140" s="62"/>
      <c r="U140" s="39"/>
      <c r="V140" s="71"/>
      <c r="W140" s="71"/>
      <c r="X140" s="71"/>
      <c r="Y140" s="71"/>
      <c r="Z140" s="71"/>
      <c r="AA140" s="39"/>
      <c r="AB140" s="147"/>
      <c r="AC140" s="147"/>
      <c r="AD140" s="39"/>
      <c r="AE140" s="39"/>
      <c r="AF140" s="39"/>
      <c r="AG140" s="39"/>
      <c r="AH140" s="39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>
      <c r="A141" s="324"/>
      <c r="B141" s="39"/>
      <c r="C141" s="39"/>
      <c r="D141" s="39"/>
      <c r="E141" s="39"/>
      <c r="F141" s="39"/>
      <c r="G141" s="39"/>
      <c r="H141" s="219"/>
      <c r="I141" s="219"/>
      <c r="J141" s="219"/>
      <c r="K141" s="219"/>
      <c r="L141" s="219"/>
      <c r="M141" s="219"/>
      <c r="N141" s="62"/>
      <c r="O141" s="62"/>
      <c r="P141" s="62"/>
      <c r="Q141" s="62"/>
      <c r="R141" s="62"/>
      <c r="S141" s="62"/>
      <c r="T141" s="62"/>
      <c r="U141" s="39"/>
      <c r="V141" s="71"/>
      <c r="W141" s="71"/>
      <c r="X141" s="71"/>
      <c r="Y141" s="71"/>
      <c r="Z141" s="71"/>
      <c r="AA141" s="39"/>
      <c r="AB141" s="147"/>
      <c r="AC141" s="147"/>
      <c r="AD141" s="39"/>
      <c r="AE141" s="39"/>
      <c r="AF141" s="39"/>
      <c r="AG141" s="39"/>
      <c r="AH141" s="39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>
      <c r="A142" s="324"/>
      <c r="B142" s="39"/>
      <c r="C142" s="39"/>
      <c r="D142" s="39"/>
      <c r="E142" s="39"/>
      <c r="F142" s="39"/>
      <c r="G142" s="39"/>
      <c r="H142" s="219"/>
      <c r="I142" s="219"/>
      <c r="J142" s="219"/>
      <c r="K142" s="219"/>
      <c r="L142" s="219"/>
      <c r="M142" s="219"/>
      <c r="N142" s="62"/>
      <c r="O142" s="62"/>
      <c r="P142" s="62"/>
      <c r="Q142" s="62"/>
      <c r="R142" s="62"/>
      <c r="S142" s="62"/>
      <c r="T142" s="62"/>
      <c r="U142" s="39"/>
      <c r="V142" s="71"/>
      <c r="W142" s="71"/>
      <c r="X142" s="71"/>
      <c r="Y142" s="71"/>
      <c r="Z142" s="71"/>
      <c r="AA142" s="39"/>
      <c r="AB142" s="147"/>
      <c r="AC142" s="147"/>
      <c r="AD142" s="39"/>
      <c r="AE142" s="39"/>
      <c r="AF142" s="39"/>
      <c r="AG142" s="39"/>
      <c r="AH142" s="39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>
      <c r="A143" s="324"/>
      <c r="B143" s="39"/>
      <c r="C143" s="39"/>
      <c r="D143" s="39"/>
      <c r="E143" s="39"/>
      <c r="F143" s="39"/>
      <c r="G143" s="39"/>
      <c r="H143" s="219"/>
      <c r="I143" s="219"/>
      <c r="J143" s="219"/>
      <c r="K143" s="219"/>
      <c r="L143" s="219"/>
      <c r="M143" s="219"/>
      <c r="N143" s="62"/>
      <c r="O143" s="62"/>
      <c r="P143" s="62"/>
      <c r="Q143" s="62"/>
      <c r="R143" s="62"/>
      <c r="S143" s="62"/>
      <c r="T143" s="62"/>
      <c r="U143" s="39"/>
      <c r="V143" s="71"/>
      <c r="W143" s="71"/>
      <c r="X143" s="71"/>
      <c r="Y143" s="71"/>
      <c r="Z143" s="71"/>
      <c r="AA143" s="39"/>
      <c r="AB143" s="147"/>
      <c r="AC143" s="147"/>
      <c r="AD143" s="39"/>
      <c r="AE143" s="39"/>
      <c r="AF143" s="39"/>
      <c r="AG143" s="39"/>
      <c r="AH143" s="39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>
      <c r="A144" s="324"/>
      <c r="B144" s="39"/>
      <c r="C144" s="39"/>
      <c r="D144" s="39"/>
      <c r="E144" s="39"/>
      <c r="F144" s="39"/>
      <c r="G144" s="39"/>
      <c r="H144" s="219"/>
      <c r="I144" s="219"/>
      <c r="J144" s="219"/>
      <c r="K144" s="219"/>
      <c r="L144" s="219"/>
      <c r="M144" s="219"/>
      <c r="N144" s="62"/>
      <c r="O144" s="62"/>
      <c r="P144" s="62"/>
      <c r="Q144" s="62"/>
      <c r="R144" s="62"/>
      <c r="S144" s="62"/>
      <c r="T144" s="62"/>
      <c r="U144" s="39"/>
      <c r="V144" s="71"/>
      <c r="W144" s="71"/>
      <c r="X144" s="71"/>
      <c r="Y144" s="71"/>
      <c r="Z144" s="71"/>
      <c r="AA144" s="39"/>
      <c r="AB144" s="147"/>
      <c r="AC144" s="147"/>
      <c r="AD144" s="39"/>
      <c r="AE144" s="39"/>
      <c r="AF144" s="39"/>
      <c r="AG144" s="39"/>
      <c r="AH144" s="39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>
      <c r="A145" s="324"/>
      <c r="B145" s="39"/>
      <c r="C145" s="39"/>
      <c r="D145" s="39"/>
      <c r="E145" s="39"/>
      <c r="F145" s="39"/>
      <c r="G145" s="39"/>
      <c r="H145" s="219"/>
      <c r="I145" s="219"/>
      <c r="J145" s="219"/>
      <c r="K145" s="219"/>
      <c r="L145" s="219"/>
      <c r="M145" s="219"/>
      <c r="N145" s="62"/>
      <c r="O145" s="62"/>
      <c r="P145" s="62"/>
      <c r="Q145" s="62"/>
      <c r="R145" s="62"/>
      <c r="S145" s="62"/>
      <c r="T145" s="62"/>
      <c r="U145" s="39"/>
      <c r="V145" s="71"/>
      <c r="W145" s="71"/>
      <c r="X145" s="71"/>
      <c r="Y145" s="71"/>
      <c r="Z145" s="71"/>
      <c r="AA145" s="39"/>
      <c r="AB145" s="147"/>
      <c r="AC145" s="147"/>
      <c r="AD145" s="39"/>
      <c r="AE145" s="39"/>
      <c r="AF145" s="39"/>
      <c r="AG145" s="39"/>
      <c r="AH145" s="39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>
      <c r="A146" s="324"/>
      <c r="B146" s="39"/>
      <c r="C146" s="39"/>
      <c r="D146" s="39"/>
      <c r="E146" s="39"/>
      <c r="F146" s="39"/>
      <c r="G146" s="39"/>
      <c r="H146" s="219"/>
      <c r="I146" s="219"/>
      <c r="J146" s="219"/>
      <c r="K146" s="219"/>
      <c r="L146" s="219"/>
      <c r="M146" s="219"/>
      <c r="N146" s="62"/>
      <c r="O146" s="62"/>
      <c r="P146" s="62"/>
      <c r="Q146" s="62"/>
      <c r="R146" s="62"/>
      <c r="S146" s="62"/>
      <c r="T146" s="62"/>
      <c r="U146" s="39"/>
      <c r="V146" s="71"/>
      <c r="W146" s="71"/>
      <c r="X146" s="71"/>
      <c r="Y146" s="71"/>
      <c r="Z146" s="71"/>
      <c r="AA146" s="39"/>
      <c r="AB146" s="147"/>
      <c r="AC146" s="147"/>
      <c r="AD146" s="39"/>
      <c r="AE146" s="39"/>
      <c r="AF146" s="39"/>
      <c r="AG146" s="39"/>
      <c r="AH146" s="39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>
      <c r="A147" s="324"/>
      <c r="B147" s="39"/>
      <c r="C147" s="39"/>
      <c r="D147" s="39"/>
      <c r="E147" s="39"/>
      <c r="F147" s="39"/>
      <c r="G147" s="39"/>
      <c r="H147" s="219"/>
      <c r="I147" s="219"/>
      <c r="J147" s="219"/>
      <c r="K147" s="219"/>
      <c r="L147" s="219"/>
      <c r="M147" s="219"/>
      <c r="N147" s="62"/>
      <c r="O147" s="62"/>
      <c r="P147" s="62"/>
      <c r="Q147" s="62"/>
      <c r="R147" s="62"/>
      <c r="S147" s="62"/>
      <c r="T147" s="62"/>
      <c r="U147" s="39"/>
      <c r="V147" s="71"/>
      <c r="W147" s="71"/>
      <c r="X147" s="71"/>
      <c r="Y147" s="71"/>
      <c r="Z147" s="71"/>
      <c r="AA147" s="39"/>
      <c r="AB147" s="147"/>
      <c r="AC147" s="147"/>
      <c r="AD147" s="39"/>
      <c r="AE147" s="39"/>
      <c r="AF147" s="39"/>
      <c r="AG147" s="39"/>
      <c r="AH147" s="39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>
      <c r="A148" s="324"/>
      <c r="B148" s="39"/>
      <c r="C148" s="39"/>
      <c r="D148" s="39"/>
      <c r="E148" s="39"/>
      <c r="F148" s="39"/>
      <c r="G148" s="39"/>
      <c r="H148" s="219"/>
      <c r="I148" s="219"/>
      <c r="J148" s="219"/>
      <c r="K148" s="219"/>
      <c r="L148" s="219"/>
      <c r="M148" s="219"/>
      <c r="N148" s="62"/>
      <c r="O148" s="62"/>
      <c r="P148" s="62"/>
      <c r="Q148" s="62"/>
      <c r="R148" s="62"/>
      <c r="S148" s="62"/>
      <c r="T148" s="62"/>
      <c r="U148" s="39"/>
      <c r="V148" s="71"/>
      <c r="W148" s="71"/>
      <c r="X148" s="71"/>
      <c r="Y148" s="71"/>
      <c r="Z148" s="71"/>
      <c r="AA148" s="39"/>
      <c r="AB148" s="147"/>
      <c r="AC148" s="147"/>
      <c r="AD148" s="39"/>
      <c r="AE148" s="39"/>
      <c r="AF148" s="39"/>
      <c r="AG148" s="39"/>
      <c r="AH148" s="39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>
      <c r="A149" s="324"/>
      <c r="B149" s="39"/>
      <c r="C149" s="39"/>
      <c r="D149" s="39"/>
      <c r="E149" s="39"/>
      <c r="F149" s="39"/>
      <c r="G149" s="39"/>
      <c r="H149" s="219"/>
      <c r="I149" s="219"/>
      <c r="J149" s="219"/>
      <c r="K149" s="219"/>
      <c r="L149" s="219"/>
      <c r="M149" s="219"/>
      <c r="N149" s="62"/>
      <c r="O149" s="62"/>
      <c r="P149" s="62"/>
      <c r="Q149" s="62"/>
      <c r="R149" s="62"/>
      <c r="S149" s="62"/>
      <c r="T149" s="62"/>
      <c r="U149" s="39"/>
      <c r="V149" s="71"/>
      <c r="W149" s="71"/>
      <c r="X149" s="71"/>
      <c r="Y149" s="71"/>
      <c r="Z149" s="71"/>
      <c r="AA149" s="39"/>
      <c r="AB149" s="147"/>
      <c r="AC149" s="147"/>
      <c r="AD149" s="39"/>
      <c r="AE149" s="39"/>
      <c r="AF149" s="39"/>
      <c r="AG149" s="39"/>
      <c r="AH149" s="39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>
      <c r="A150" s="324"/>
      <c r="B150" s="39"/>
      <c r="C150" s="39"/>
      <c r="D150" s="39"/>
      <c r="E150" s="39"/>
      <c r="F150" s="39"/>
      <c r="G150" s="39"/>
      <c r="H150" s="219"/>
      <c r="I150" s="219"/>
      <c r="J150" s="219"/>
      <c r="K150" s="219"/>
      <c r="L150" s="219"/>
      <c r="M150" s="219"/>
      <c r="N150" s="62"/>
      <c r="O150" s="62"/>
      <c r="P150" s="62"/>
      <c r="Q150" s="62"/>
      <c r="R150" s="62"/>
      <c r="S150" s="62"/>
      <c r="T150" s="62"/>
      <c r="U150" s="39"/>
      <c r="V150" s="71"/>
      <c r="W150" s="71"/>
      <c r="X150" s="71"/>
      <c r="Y150" s="71"/>
      <c r="Z150" s="71"/>
      <c r="AA150" s="39"/>
      <c r="AB150" s="147"/>
      <c r="AC150" s="147"/>
      <c r="AD150" s="39"/>
      <c r="AE150" s="39"/>
      <c r="AF150" s="39"/>
      <c r="AG150" s="39"/>
      <c r="AH150" s="39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>
      <c r="A151" s="324"/>
      <c r="B151" s="39"/>
      <c r="C151" s="39"/>
      <c r="D151" s="39"/>
      <c r="E151" s="39"/>
      <c r="F151" s="39"/>
      <c r="G151" s="39"/>
      <c r="H151" s="219"/>
      <c r="I151" s="219"/>
      <c r="J151" s="219"/>
      <c r="K151" s="219"/>
      <c r="L151" s="219"/>
      <c r="M151" s="219"/>
      <c r="N151" s="62"/>
      <c r="O151" s="62"/>
      <c r="P151" s="62"/>
      <c r="Q151" s="62"/>
      <c r="R151" s="62"/>
      <c r="S151" s="62"/>
      <c r="T151" s="62"/>
      <c r="U151" s="39"/>
      <c r="V151" s="71"/>
      <c r="W151" s="71"/>
      <c r="X151" s="71"/>
      <c r="Y151" s="71"/>
      <c r="Z151" s="71"/>
      <c r="AA151" s="39"/>
      <c r="AB151" s="147"/>
      <c r="AC151" s="147"/>
      <c r="AD151" s="39"/>
      <c r="AE151" s="39"/>
      <c r="AF151" s="39"/>
      <c r="AG151" s="39"/>
      <c r="AH151" s="39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>
      <c r="A152" s="324"/>
      <c r="B152" s="39"/>
      <c r="C152" s="39"/>
      <c r="D152" s="39"/>
      <c r="E152" s="39"/>
      <c r="F152" s="39"/>
      <c r="G152" s="39"/>
      <c r="H152" s="219"/>
      <c r="I152" s="219"/>
      <c r="J152" s="219"/>
      <c r="K152" s="219"/>
      <c r="L152" s="219"/>
      <c r="M152" s="219"/>
      <c r="N152" s="62"/>
      <c r="O152" s="62"/>
      <c r="P152" s="62"/>
      <c r="Q152" s="62"/>
      <c r="R152" s="62"/>
      <c r="S152" s="62"/>
      <c r="T152" s="62"/>
      <c r="U152" s="39"/>
      <c r="V152" s="71"/>
      <c r="W152" s="71"/>
      <c r="X152" s="71"/>
      <c r="Y152" s="71"/>
      <c r="Z152" s="71"/>
      <c r="AA152" s="39"/>
      <c r="AB152" s="147"/>
      <c r="AC152" s="147"/>
      <c r="AD152" s="39"/>
      <c r="AE152" s="39"/>
      <c r="AF152" s="39"/>
      <c r="AG152" s="39"/>
      <c r="AH152" s="39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>
      <c r="A153" s="324"/>
      <c r="B153" s="39"/>
      <c r="C153" s="39"/>
      <c r="D153" s="39"/>
      <c r="E153" s="39"/>
      <c r="F153" s="39"/>
      <c r="G153" s="39"/>
      <c r="H153" s="219"/>
      <c r="I153" s="219"/>
      <c r="J153" s="219"/>
      <c r="K153" s="219"/>
      <c r="L153" s="219"/>
      <c r="M153" s="219"/>
      <c r="N153" s="62"/>
      <c r="O153" s="62"/>
      <c r="P153" s="62"/>
      <c r="Q153" s="62"/>
      <c r="R153" s="62"/>
      <c r="S153" s="62"/>
      <c r="T153" s="62"/>
      <c r="U153" s="39"/>
      <c r="V153" s="71"/>
      <c r="W153" s="71"/>
      <c r="X153" s="71"/>
      <c r="Y153" s="71"/>
      <c r="Z153" s="71"/>
      <c r="AA153" s="39"/>
      <c r="AB153" s="147"/>
      <c r="AC153" s="147"/>
      <c r="AD153" s="39"/>
      <c r="AE153" s="39"/>
      <c r="AF153" s="39"/>
      <c r="AG153" s="39"/>
      <c r="AH153" s="39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>
      <c r="A154" s="324"/>
      <c r="B154" s="39"/>
      <c r="C154" s="39"/>
      <c r="D154" s="39"/>
      <c r="E154" s="39"/>
      <c r="F154" s="39"/>
      <c r="G154" s="39"/>
      <c r="H154" s="219"/>
      <c r="I154" s="219"/>
      <c r="J154" s="219"/>
      <c r="K154" s="219"/>
      <c r="L154" s="219"/>
      <c r="M154" s="219"/>
      <c r="N154" s="62"/>
      <c r="O154" s="62"/>
      <c r="P154" s="62"/>
      <c r="Q154" s="62"/>
      <c r="R154" s="62"/>
      <c r="S154" s="62"/>
      <c r="T154" s="62"/>
      <c r="U154" s="39"/>
      <c r="V154" s="71"/>
      <c r="W154" s="71"/>
      <c r="X154" s="71"/>
      <c r="Y154" s="71"/>
      <c r="Z154" s="71"/>
      <c r="AA154" s="39"/>
      <c r="AB154" s="147"/>
      <c r="AC154" s="147"/>
      <c r="AD154" s="39"/>
      <c r="AE154" s="39"/>
      <c r="AF154" s="39"/>
      <c r="AG154" s="39"/>
      <c r="AH154" s="39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>
      <c r="A155" s="324"/>
      <c r="B155" s="39"/>
      <c r="C155" s="39"/>
      <c r="D155" s="39"/>
      <c r="E155" s="39"/>
      <c r="F155" s="39"/>
      <c r="G155" s="39"/>
      <c r="H155" s="219"/>
      <c r="I155" s="219"/>
      <c r="J155" s="219"/>
      <c r="K155" s="219"/>
      <c r="L155" s="219"/>
      <c r="M155" s="219"/>
      <c r="N155" s="62"/>
      <c r="O155" s="62"/>
      <c r="P155" s="62"/>
      <c r="Q155" s="62"/>
      <c r="R155" s="62"/>
      <c r="S155" s="62"/>
      <c r="T155" s="62"/>
      <c r="U155" s="39"/>
      <c r="V155" s="71"/>
      <c r="W155" s="71"/>
      <c r="X155" s="71"/>
      <c r="Y155" s="71"/>
      <c r="Z155" s="71"/>
      <c r="AA155" s="39"/>
      <c r="AB155" s="147"/>
      <c r="AC155" s="147"/>
      <c r="AD155" s="39"/>
      <c r="AE155" s="39"/>
      <c r="AF155" s="39"/>
      <c r="AG155" s="39"/>
      <c r="AH155" s="39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>
      <c r="A156" s="324"/>
      <c r="B156" s="39"/>
      <c r="C156" s="39"/>
      <c r="D156" s="39"/>
      <c r="E156" s="39"/>
      <c r="F156" s="39"/>
      <c r="G156" s="39"/>
      <c r="H156" s="219"/>
      <c r="I156" s="219"/>
      <c r="J156" s="219"/>
      <c r="K156" s="219"/>
      <c r="L156" s="219"/>
      <c r="M156" s="219"/>
      <c r="N156" s="62"/>
      <c r="O156" s="62"/>
      <c r="P156" s="62"/>
      <c r="Q156" s="62"/>
      <c r="R156" s="62"/>
      <c r="S156" s="62"/>
      <c r="T156" s="62"/>
      <c r="U156" s="39"/>
      <c r="V156" s="71"/>
      <c r="W156" s="71"/>
      <c r="X156" s="71"/>
      <c r="Y156" s="71"/>
      <c r="Z156" s="71"/>
      <c r="AA156" s="39"/>
      <c r="AB156" s="147"/>
      <c r="AC156" s="147"/>
      <c r="AD156" s="39"/>
      <c r="AE156" s="39"/>
      <c r="AF156" s="39"/>
      <c r="AG156" s="39"/>
      <c r="AH156" s="39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>
      <c r="A157" s="324"/>
      <c r="B157" s="39"/>
      <c r="C157" s="39"/>
      <c r="D157" s="39"/>
      <c r="E157" s="39"/>
      <c r="F157" s="39"/>
      <c r="G157" s="39"/>
      <c r="H157" s="219"/>
      <c r="I157" s="219"/>
      <c r="J157" s="219"/>
      <c r="K157" s="219"/>
      <c r="L157" s="219"/>
      <c r="M157" s="219"/>
      <c r="N157" s="62"/>
      <c r="O157" s="62"/>
      <c r="P157" s="62"/>
      <c r="Q157" s="62"/>
      <c r="R157" s="62"/>
      <c r="S157" s="62"/>
      <c r="T157" s="62"/>
      <c r="U157" s="39"/>
      <c r="V157" s="71"/>
      <c r="W157" s="71"/>
      <c r="X157" s="71"/>
      <c r="Y157" s="71"/>
      <c r="Z157" s="71"/>
      <c r="AA157" s="39"/>
      <c r="AB157" s="147"/>
      <c r="AC157" s="147"/>
      <c r="AD157" s="39"/>
      <c r="AE157" s="39"/>
      <c r="AF157" s="39"/>
      <c r="AG157" s="39"/>
      <c r="AH157" s="39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>
      <c r="A158" s="324"/>
      <c r="B158" s="39"/>
      <c r="C158" s="39"/>
      <c r="D158" s="39"/>
      <c r="E158" s="39"/>
      <c r="F158" s="39"/>
      <c r="G158" s="39"/>
      <c r="H158" s="219"/>
      <c r="I158" s="219"/>
      <c r="J158" s="219"/>
      <c r="K158" s="219"/>
      <c r="L158" s="219"/>
      <c r="M158" s="219"/>
      <c r="N158" s="62"/>
      <c r="O158" s="62"/>
      <c r="P158" s="62"/>
      <c r="Q158" s="62"/>
      <c r="R158" s="62"/>
      <c r="S158" s="62"/>
      <c r="T158" s="62"/>
      <c r="U158" s="39"/>
      <c r="V158" s="71"/>
      <c r="W158" s="71"/>
      <c r="X158" s="71"/>
      <c r="Y158" s="71"/>
      <c r="Z158" s="71"/>
      <c r="AA158" s="39"/>
      <c r="AB158" s="147"/>
      <c r="AC158" s="147"/>
      <c r="AD158" s="39"/>
      <c r="AE158" s="39"/>
      <c r="AF158" s="39"/>
      <c r="AG158" s="39"/>
      <c r="AH158" s="39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>
      <c r="A159" s="324"/>
      <c r="B159" s="39"/>
      <c r="C159" s="39"/>
      <c r="D159" s="39"/>
      <c r="E159" s="39"/>
      <c r="F159" s="39"/>
      <c r="G159" s="39"/>
      <c r="H159" s="219"/>
      <c r="I159" s="219"/>
      <c r="J159" s="219"/>
      <c r="K159" s="219"/>
      <c r="L159" s="219"/>
      <c r="M159" s="219"/>
      <c r="N159" s="62"/>
      <c r="O159" s="62"/>
      <c r="P159" s="62"/>
      <c r="Q159" s="62"/>
      <c r="R159" s="62"/>
      <c r="S159" s="62"/>
      <c r="T159" s="62"/>
      <c r="U159" s="39"/>
      <c r="V159" s="71"/>
      <c r="W159" s="71"/>
      <c r="X159" s="71"/>
      <c r="Y159" s="71"/>
      <c r="Z159" s="71"/>
      <c r="AA159" s="39"/>
      <c r="AB159" s="147"/>
      <c r="AC159" s="147"/>
      <c r="AD159" s="39"/>
      <c r="AE159" s="39"/>
      <c r="AF159" s="39"/>
      <c r="AG159" s="39"/>
      <c r="AH159" s="39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>
      <c r="A160" s="324"/>
      <c r="B160" s="39"/>
      <c r="C160" s="39"/>
      <c r="D160" s="39"/>
      <c r="E160" s="39"/>
      <c r="F160" s="39"/>
      <c r="G160" s="39"/>
      <c r="H160" s="219"/>
      <c r="I160" s="219"/>
      <c r="J160" s="219"/>
      <c r="K160" s="219"/>
      <c r="L160" s="219"/>
      <c r="M160" s="219"/>
      <c r="N160" s="62"/>
      <c r="O160" s="62"/>
      <c r="P160" s="62"/>
      <c r="Q160" s="62"/>
      <c r="R160" s="62"/>
      <c r="S160" s="62"/>
      <c r="T160" s="62"/>
      <c r="U160" s="39"/>
      <c r="V160" s="71"/>
      <c r="W160" s="71"/>
      <c r="X160" s="71"/>
      <c r="Y160" s="71"/>
      <c r="Z160" s="71"/>
      <c r="AA160" s="39"/>
      <c r="AB160" s="147"/>
      <c r="AC160" s="147"/>
      <c r="AD160" s="39"/>
      <c r="AE160" s="39"/>
      <c r="AF160" s="39"/>
      <c r="AG160" s="39"/>
      <c r="AH160" s="39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>
      <c r="A161" s="324"/>
      <c r="B161" s="39"/>
      <c r="C161" s="39"/>
      <c r="D161" s="39"/>
      <c r="E161" s="39"/>
      <c r="F161" s="39"/>
      <c r="G161" s="39"/>
      <c r="H161" s="219"/>
      <c r="I161" s="219"/>
      <c r="J161" s="219"/>
      <c r="K161" s="219"/>
      <c r="L161" s="219"/>
      <c r="M161" s="219"/>
      <c r="N161" s="62"/>
      <c r="O161" s="62"/>
      <c r="P161" s="62"/>
      <c r="Q161" s="62"/>
      <c r="R161" s="62"/>
      <c r="S161" s="62"/>
      <c r="T161" s="62"/>
      <c r="U161" s="39"/>
      <c r="V161" s="71"/>
      <c r="W161" s="71"/>
      <c r="X161" s="71"/>
      <c r="Y161" s="71"/>
      <c r="Z161" s="71"/>
      <c r="AA161" s="39"/>
      <c r="AB161" s="147"/>
      <c r="AC161" s="147"/>
      <c r="AD161" s="39"/>
      <c r="AE161" s="39"/>
      <c r="AF161" s="39"/>
      <c r="AG161" s="39"/>
      <c r="AH161" s="39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>
      <c r="A162" s="324"/>
      <c r="B162" s="39"/>
      <c r="C162" s="39"/>
      <c r="D162" s="39"/>
      <c r="E162" s="39"/>
      <c r="F162" s="39"/>
      <c r="G162" s="39"/>
      <c r="H162" s="219"/>
      <c r="I162" s="219"/>
      <c r="J162" s="219"/>
      <c r="K162" s="219"/>
      <c r="L162" s="219"/>
      <c r="M162" s="219"/>
      <c r="N162" s="62"/>
      <c r="O162" s="62"/>
      <c r="P162" s="62"/>
      <c r="Q162" s="62"/>
      <c r="R162" s="62"/>
      <c r="S162" s="62"/>
      <c r="T162" s="62"/>
      <c r="U162" s="39"/>
      <c r="V162" s="71"/>
      <c r="W162" s="71"/>
      <c r="X162" s="71"/>
      <c r="Y162" s="71"/>
      <c r="Z162" s="71"/>
      <c r="AA162" s="39"/>
      <c r="AB162" s="147"/>
      <c r="AC162" s="147"/>
      <c r="AD162" s="39"/>
      <c r="AE162" s="39"/>
      <c r="AF162" s="39"/>
      <c r="AG162" s="39"/>
      <c r="AH162" s="39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>
      <c r="A163" s="324"/>
      <c r="B163" s="39"/>
      <c r="C163" s="39"/>
      <c r="D163" s="39"/>
      <c r="E163" s="39"/>
      <c r="F163" s="39"/>
      <c r="G163" s="39"/>
      <c r="H163" s="219"/>
      <c r="I163" s="219"/>
      <c r="J163" s="219"/>
      <c r="K163" s="219"/>
      <c r="L163" s="219"/>
      <c r="M163" s="219"/>
      <c r="N163" s="62"/>
      <c r="O163" s="62"/>
      <c r="P163" s="62"/>
      <c r="Q163" s="62"/>
      <c r="R163" s="62"/>
      <c r="S163" s="62"/>
      <c r="T163" s="62"/>
      <c r="U163" s="39"/>
      <c r="V163" s="71"/>
      <c r="W163" s="71"/>
      <c r="X163" s="71"/>
      <c r="Y163" s="71"/>
      <c r="Z163" s="71"/>
      <c r="AA163" s="39"/>
      <c r="AB163" s="147"/>
      <c r="AC163" s="147"/>
      <c r="AD163" s="39"/>
      <c r="AE163" s="39"/>
      <c r="AF163" s="39"/>
      <c r="AG163" s="39"/>
      <c r="AH163" s="39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>
      <c r="A164" s="325" t="s">
        <v>97</v>
      </c>
      <c r="B164" s="5"/>
      <c r="C164" s="5"/>
      <c r="D164" s="5"/>
      <c r="E164" s="5"/>
      <c r="F164" s="5"/>
      <c r="G164" s="5"/>
      <c r="H164" s="257"/>
      <c r="I164" s="257"/>
      <c r="J164" s="257"/>
      <c r="K164" s="257"/>
      <c r="L164" s="257"/>
      <c r="M164" s="257"/>
      <c r="N164" s="73"/>
      <c r="O164" s="73"/>
      <c r="P164" s="73"/>
      <c r="Q164" s="73"/>
      <c r="R164" s="73"/>
      <c r="S164" s="73"/>
      <c r="T164" s="73"/>
      <c r="U164" s="5"/>
      <c r="V164" s="216"/>
      <c r="W164" s="216"/>
      <c r="X164" s="216"/>
      <c r="Y164" s="216"/>
      <c r="Z164" s="216"/>
      <c r="AA164" s="5"/>
      <c r="AB164" s="152"/>
      <c r="AC164" s="152"/>
      <c r="AD164" s="5"/>
      <c r="AE164" s="5"/>
      <c r="AF164" s="197"/>
      <c r="AG164" s="39"/>
      <c r="AH164" s="39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>
      <c r="A165" s="111"/>
      <c r="B165" s="306" t="s">
        <v>77</v>
      </c>
      <c r="C165" s="13"/>
      <c r="D165" s="13"/>
      <c r="E165" s="13"/>
      <c r="F165" s="13"/>
      <c r="G165" s="13"/>
      <c r="H165" s="296" t="s">
        <v>89</v>
      </c>
      <c r="I165" s="273"/>
      <c r="J165" s="273"/>
      <c r="K165" s="297"/>
      <c r="L165" s="274"/>
      <c r="M165" s="275"/>
      <c r="N165" s="273"/>
      <c r="O165" s="204"/>
      <c r="P165" s="204"/>
      <c r="Q165" s="255" t="s">
        <v>91</v>
      </c>
      <c r="R165" s="204"/>
      <c r="S165" s="307"/>
      <c r="T165" s="206"/>
      <c r="U165" s="111"/>
      <c r="V165" s="211"/>
      <c r="W165" s="211"/>
      <c r="X165" s="211"/>
      <c r="Y165" s="211"/>
      <c r="Z165" s="211"/>
      <c r="AA165" s="195"/>
      <c r="AB165" s="164"/>
      <c r="AC165" s="196"/>
      <c r="AD165" s="212"/>
      <c r="AE165" s="212"/>
      <c r="AF165" s="195"/>
      <c r="AG165" s="39"/>
      <c r="AH165" s="39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>
      <c r="A166" s="180"/>
      <c r="B166" s="289"/>
      <c r="C166" s="290"/>
      <c r="D166" s="290"/>
      <c r="E166" s="290"/>
      <c r="F166" s="290"/>
      <c r="G166" s="290">
        <v>0</v>
      </c>
      <c r="H166" s="42"/>
      <c r="I166" s="24"/>
      <c r="J166" s="24"/>
      <c r="K166" s="34"/>
      <c r="L166" s="35"/>
      <c r="M166" s="313">
        <v>0</v>
      </c>
      <c r="N166" s="24">
        <v>-0.28000000000000003</v>
      </c>
      <c r="O166" s="73">
        <v>0.72</v>
      </c>
      <c r="P166" s="73">
        <v>0.05</v>
      </c>
      <c r="Q166" s="73">
        <v>1.41E-2</v>
      </c>
      <c r="R166" s="73"/>
      <c r="S166" s="73"/>
      <c r="T166" s="74"/>
      <c r="U166" s="108"/>
      <c r="V166" s="216"/>
      <c r="W166" s="216"/>
      <c r="X166" s="216"/>
      <c r="Y166" s="216"/>
      <c r="Z166" s="216"/>
      <c r="AA166" s="197"/>
      <c r="AB166" s="152"/>
      <c r="AC166" s="267"/>
      <c r="AD166" s="5"/>
      <c r="AE166" s="5"/>
      <c r="AF166" s="197"/>
      <c r="AG166" s="179"/>
      <c r="AH166" s="192"/>
    </row>
    <row r="167" spans="1:44">
      <c r="A167" s="39"/>
      <c r="B167" s="49"/>
      <c r="C167" s="50"/>
      <c r="D167" s="50"/>
      <c r="E167" s="50"/>
      <c r="F167" s="50"/>
      <c r="G167" s="50">
        <v>90</v>
      </c>
      <c r="H167" s="41"/>
      <c r="I167" s="22"/>
      <c r="J167" s="22"/>
      <c r="K167" s="37"/>
      <c r="L167" s="14"/>
      <c r="M167" s="311">
        <v>90</v>
      </c>
      <c r="N167" s="22">
        <v>0</v>
      </c>
      <c r="O167" s="62">
        <v>0</v>
      </c>
      <c r="P167" s="62">
        <v>0</v>
      </c>
      <c r="Q167" s="62"/>
      <c r="R167" s="62">
        <v>0</v>
      </c>
      <c r="S167" s="62">
        <v>0</v>
      </c>
      <c r="T167" s="112">
        <v>89.974999999999994</v>
      </c>
      <c r="U167" s="105"/>
      <c r="V167" s="188"/>
      <c r="W167" s="188"/>
      <c r="X167" s="188"/>
      <c r="Y167" s="188"/>
      <c r="Z167" s="188"/>
      <c r="AA167" s="189"/>
      <c r="AB167" s="190"/>
      <c r="AC167" s="191"/>
      <c r="AD167" s="192"/>
      <c r="AE167" s="192"/>
      <c r="AF167" s="192"/>
      <c r="AG167" s="179"/>
      <c r="AH167" s="192"/>
    </row>
    <row r="168" spans="1:44">
      <c r="A168" s="39"/>
      <c r="B168" s="49"/>
      <c r="C168" s="50"/>
      <c r="D168" s="50"/>
      <c r="E168" s="50"/>
      <c r="F168" s="50"/>
      <c r="G168" s="50">
        <v>0</v>
      </c>
      <c r="H168" s="41"/>
      <c r="I168" s="22"/>
      <c r="J168" s="22"/>
      <c r="K168" s="37"/>
      <c r="L168" s="14"/>
      <c r="M168" s="311">
        <v>0</v>
      </c>
      <c r="N168" s="22">
        <v>0</v>
      </c>
      <c r="O168" s="62">
        <v>0</v>
      </c>
      <c r="P168" s="62">
        <v>0</v>
      </c>
      <c r="Q168" s="62"/>
      <c r="R168" s="62">
        <v>0</v>
      </c>
      <c r="S168" s="62">
        <v>0</v>
      </c>
      <c r="T168" s="112">
        <v>-3.5000000000000001E-3</v>
      </c>
      <c r="U168" s="105"/>
      <c r="V168" s="188"/>
      <c r="W168" s="188"/>
      <c r="X168" s="188"/>
      <c r="Y168" s="188"/>
      <c r="Z168" s="188"/>
      <c r="AA168" s="189"/>
      <c r="AB168" s="190"/>
      <c r="AC168" s="191"/>
      <c r="AD168" s="192"/>
      <c r="AE168" s="192"/>
      <c r="AF168" s="192"/>
      <c r="AG168" s="179"/>
      <c r="AH168" s="192"/>
    </row>
    <row r="169" spans="1:44">
      <c r="A169" s="39"/>
      <c r="B169" s="49"/>
      <c r="C169" s="50"/>
      <c r="D169" s="50"/>
      <c r="E169" s="50"/>
      <c r="F169" s="50"/>
      <c r="G169" s="50">
        <v>-90</v>
      </c>
      <c r="H169" s="41"/>
      <c r="I169" s="22"/>
      <c r="J169" s="22"/>
      <c r="K169" s="37"/>
      <c r="L169" s="14"/>
      <c r="M169" s="311">
        <v>-90</v>
      </c>
      <c r="N169" s="22">
        <v>0</v>
      </c>
      <c r="O169" s="62">
        <v>0</v>
      </c>
      <c r="P169" s="62">
        <v>0</v>
      </c>
      <c r="Q169" s="62"/>
      <c r="R169" s="62">
        <v>0</v>
      </c>
      <c r="S169" s="62">
        <v>0</v>
      </c>
      <c r="T169" s="112">
        <v>-90.092600000000004</v>
      </c>
      <c r="U169" s="105"/>
      <c r="V169" s="188"/>
      <c r="W169" s="188"/>
      <c r="X169" s="188"/>
      <c r="Y169" s="188"/>
      <c r="Z169" s="188"/>
      <c r="AA169" s="189"/>
      <c r="AB169" s="190"/>
      <c r="AC169" s="191"/>
      <c r="AD169" s="192"/>
      <c r="AE169" s="192"/>
      <c r="AF169" s="192"/>
      <c r="AG169" s="179"/>
      <c r="AH169" s="192"/>
    </row>
    <row r="170" spans="1:44">
      <c r="A170" s="39"/>
      <c r="B170" s="49"/>
      <c r="C170" s="50"/>
      <c r="D170" s="50"/>
      <c r="E170" s="50"/>
      <c r="F170" s="262"/>
      <c r="G170" s="50">
        <v>0</v>
      </c>
      <c r="H170" s="41"/>
      <c r="I170" s="22"/>
      <c r="J170" s="22"/>
      <c r="K170" s="37"/>
      <c r="L170" s="14"/>
      <c r="M170" s="311">
        <v>0</v>
      </c>
      <c r="N170" s="22">
        <v>0</v>
      </c>
      <c r="O170" s="62">
        <v>0</v>
      </c>
      <c r="P170" s="62">
        <v>0</v>
      </c>
      <c r="Q170" s="62"/>
      <c r="R170" s="62">
        <v>0</v>
      </c>
      <c r="S170" s="62">
        <v>0</v>
      </c>
      <c r="T170" s="112">
        <v>-3.0999999999999999E-3</v>
      </c>
      <c r="U170" s="105"/>
      <c r="V170" s="188"/>
      <c r="W170" s="188"/>
      <c r="X170" s="188"/>
      <c r="Y170" s="188"/>
      <c r="Z170" s="188"/>
      <c r="AA170" s="189"/>
      <c r="AB170" s="190"/>
      <c r="AC170" s="191"/>
      <c r="AD170" s="192"/>
      <c r="AE170" s="192"/>
      <c r="AF170" s="192"/>
      <c r="AG170" s="179"/>
      <c r="AH170" s="192"/>
    </row>
    <row r="171" spans="1:44">
      <c r="A171" s="108"/>
      <c r="B171" s="43" t="s">
        <v>78</v>
      </c>
      <c r="C171" s="3"/>
      <c r="D171" s="3"/>
      <c r="E171" s="3"/>
      <c r="F171" s="3"/>
      <c r="G171" s="3"/>
      <c r="H171" s="42" t="s">
        <v>90</v>
      </c>
      <c r="I171" s="24"/>
      <c r="J171" s="24"/>
      <c r="K171" s="34"/>
      <c r="L171" s="35"/>
      <c r="M171" s="36"/>
      <c r="N171" s="24"/>
      <c r="O171" s="73"/>
      <c r="P171" s="73"/>
      <c r="Q171" s="193"/>
      <c r="R171" s="73"/>
      <c r="S171" s="194"/>
      <c r="T171" s="74"/>
      <c r="U171" s="105"/>
      <c r="V171" s="188"/>
      <c r="W171" s="188"/>
      <c r="X171" s="188"/>
      <c r="Y171" s="188"/>
      <c r="Z171" s="188"/>
      <c r="AA171" s="189"/>
      <c r="AB171" s="190"/>
      <c r="AC171" s="191"/>
      <c r="AD171" s="192"/>
      <c r="AE171" s="192"/>
      <c r="AF171" s="192"/>
      <c r="AG171" s="179"/>
      <c r="AH171" s="192"/>
    </row>
    <row r="172" spans="1:44">
      <c r="A172" s="192"/>
      <c r="B172" s="179"/>
      <c r="C172" s="39"/>
      <c r="D172" s="39"/>
      <c r="E172" s="39"/>
      <c r="F172" s="39"/>
      <c r="G172" s="39">
        <v>0</v>
      </c>
      <c r="H172" s="218"/>
      <c r="I172" s="219"/>
      <c r="J172" s="219"/>
      <c r="K172" s="220"/>
      <c r="L172" s="219"/>
      <c r="M172" s="221">
        <v>0</v>
      </c>
      <c r="N172" s="62">
        <v>0</v>
      </c>
      <c r="O172" s="62">
        <v>0</v>
      </c>
      <c r="P172" s="62">
        <v>0</v>
      </c>
      <c r="Q172" s="62"/>
      <c r="R172" s="115">
        <v>0</v>
      </c>
      <c r="S172" s="62">
        <v>0</v>
      </c>
      <c r="T172" s="112">
        <v>-3.0999999999999999E-3</v>
      </c>
      <c r="U172" s="105"/>
      <c r="V172" s="188"/>
      <c r="W172" s="188"/>
      <c r="X172" s="188"/>
      <c r="Y172" s="188"/>
      <c r="Z172" s="188"/>
      <c r="AA172" s="189"/>
      <c r="AB172" s="190"/>
      <c r="AC172" s="191"/>
      <c r="AD172" s="192"/>
      <c r="AE172" s="192"/>
      <c r="AF172" s="192"/>
      <c r="AG172" s="179"/>
      <c r="AH172" s="192"/>
    </row>
    <row r="173" spans="1:44">
      <c r="A173" s="192"/>
      <c r="B173" s="179"/>
      <c r="C173" s="39"/>
      <c r="D173" s="39"/>
      <c r="E173" s="39"/>
      <c r="F173" s="39"/>
      <c r="G173" s="39">
        <v>30</v>
      </c>
      <c r="H173" s="218"/>
      <c r="I173" s="219"/>
      <c r="J173" s="219"/>
      <c r="K173" s="220"/>
      <c r="L173" s="219"/>
      <c r="M173" s="221">
        <v>30</v>
      </c>
      <c r="N173" s="62">
        <v>0</v>
      </c>
      <c r="O173" s="62">
        <v>0</v>
      </c>
      <c r="P173" s="62">
        <v>0</v>
      </c>
      <c r="Q173" s="62"/>
      <c r="R173" s="115">
        <v>0</v>
      </c>
      <c r="S173" s="62">
        <v>0</v>
      </c>
      <c r="T173" s="112">
        <v>29.994399999999999</v>
      </c>
      <c r="U173" s="191"/>
      <c r="V173" s="188"/>
      <c r="W173" s="188"/>
      <c r="X173" s="188"/>
      <c r="Y173" s="188"/>
      <c r="Z173" s="188"/>
      <c r="AA173" s="189"/>
      <c r="AB173" s="190"/>
      <c r="AC173" s="191"/>
      <c r="AD173" s="192"/>
      <c r="AE173" s="192"/>
      <c r="AF173" s="192"/>
      <c r="AG173" s="179"/>
      <c r="AH173" s="192"/>
    </row>
    <row r="174" spans="1:44">
      <c r="A174" s="192"/>
      <c r="B174" s="179"/>
      <c r="C174" s="39"/>
      <c r="D174" s="39"/>
      <c r="E174" s="39"/>
      <c r="F174" s="39"/>
      <c r="G174" s="39">
        <v>60</v>
      </c>
      <c r="H174" s="218"/>
      <c r="I174" s="219"/>
      <c r="J174" s="219"/>
      <c r="K174" s="220"/>
      <c r="L174" s="219"/>
      <c r="M174" s="221">
        <v>60</v>
      </c>
      <c r="N174" s="62">
        <v>0</v>
      </c>
      <c r="O174" s="62">
        <v>0</v>
      </c>
      <c r="P174" s="62">
        <v>0</v>
      </c>
      <c r="Q174" s="62"/>
      <c r="R174" s="115">
        <v>0</v>
      </c>
      <c r="S174" s="62">
        <v>0</v>
      </c>
      <c r="T174" s="112">
        <v>59.985700000000001</v>
      </c>
      <c r="U174" s="105"/>
      <c r="V174" s="188"/>
      <c r="W174" s="188"/>
      <c r="X174" s="188"/>
      <c r="Y174" s="188"/>
      <c r="Z174" s="188"/>
      <c r="AA174" s="189"/>
      <c r="AB174" s="190"/>
      <c r="AC174" s="191"/>
      <c r="AD174" s="192"/>
      <c r="AE174" s="192"/>
      <c r="AF174" s="192"/>
      <c r="AG174" s="179"/>
      <c r="AH174" s="192"/>
    </row>
    <row r="175" spans="1:44">
      <c r="A175" s="192"/>
      <c r="B175" s="179"/>
      <c r="C175" s="39"/>
      <c r="D175" s="39"/>
      <c r="E175" s="39"/>
      <c r="F175" s="39"/>
      <c r="G175" s="39">
        <v>90</v>
      </c>
      <c r="H175" s="218"/>
      <c r="I175" s="219"/>
      <c r="J175" s="219"/>
      <c r="K175" s="220"/>
      <c r="L175" s="219"/>
      <c r="M175" s="221">
        <v>90</v>
      </c>
      <c r="N175" s="62">
        <v>0</v>
      </c>
      <c r="O175" s="62">
        <v>0</v>
      </c>
      <c r="P175" s="62">
        <v>0</v>
      </c>
      <c r="Q175" s="62"/>
      <c r="R175" s="115">
        <v>0</v>
      </c>
      <c r="S175" s="62">
        <v>0</v>
      </c>
      <c r="T175" s="112">
        <v>89.974500000000006</v>
      </c>
      <c r="U175" s="105"/>
      <c r="V175" s="188"/>
      <c r="W175" s="188"/>
      <c r="X175" s="188"/>
      <c r="Y175" s="188"/>
      <c r="Z175" s="188"/>
      <c r="AA175" s="189"/>
      <c r="AB175" s="190"/>
      <c r="AC175" s="191"/>
      <c r="AD175" s="192"/>
      <c r="AE175" s="192"/>
      <c r="AF175" s="192"/>
      <c r="AG175" s="179"/>
      <c r="AH175" s="192"/>
    </row>
    <row r="176" spans="1:44">
      <c r="A176" s="192"/>
      <c r="B176" s="179"/>
      <c r="C176" s="39"/>
      <c r="D176" s="39"/>
      <c r="E176" s="39"/>
      <c r="F176" s="39"/>
      <c r="G176" s="39">
        <v>60</v>
      </c>
      <c r="H176" s="218"/>
      <c r="I176" s="219"/>
      <c r="J176" s="219"/>
      <c r="K176" s="220"/>
      <c r="L176" s="231"/>
      <c r="M176" s="221">
        <v>60</v>
      </c>
      <c r="N176" s="62">
        <v>0</v>
      </c>
      <c r="O176" s="62">
        <v>0</v>
      </c>
      <c r="P176" s="62">
        <v>0</v>
      </c>
      <c r="Q176" s="62"/>
      <c r="R176" s="115">
        <v>0</v>
      </c>
      <c r="S176" s="62">
        <v>0</v>
      </c>
      <c r="T176" s="112">
        <v>59.985100000000003</v>
      </c>
      <c r="U176" s="105"/>
      <c r="V176" s="188"/>
      <c r="W176" s="188"/>
      <c r="X176" s="188"/>
      <c r="Y176" s="188"/>
      <c r="Z176" s="188"/>
      <c r="AA176" s="189"/>
      <c r="AB176" s="190"/>
      <c r="AC176" s="191"/>
      <c r="AD176" s="192"/>
      <c r="AE176" s="192"/>
      <c r="AF176" s="192"/>
      <c r="AG176" s="179"/>
      <c r="AH176" s="192"/>
    </row>
    <row r="177" spans="1:34">
      <c r="A177" s="192"/>
      <c r="B177" s="179"/>
      <c r="C177" s="39"/>
      <c r="D177" s="39"/>
      <c r="E177" s="39"/>
      <c r="F177" s="39"/>
      <c r="G177" s="39">
        <v>30</v>
      </c>
      <c r="H177" s="218"/>
      <c r="I177" s="219"/>
      <c r="J177" s="219"/>
      <c r="K177" s="220"/>
      <c r="L177" s="231"/>
      <c r="M177" s="221">
        <v>30</v>
      </c>
      <c r="N177" s="62">
        <v>0</v>
      </c>
      <c r="O177" s="62">
        <v>0</v>
      </c>
      <c r="P177" s="62">
        <v>0</v>
      </c>
      <c r="Q177" s="62"/>
      <c r="R177" s="115">
        <v>0</v>
      </c>
      <c r="S177" s="62">
        <v>0</v>
      </c>
      <c r="T177" s="112">
        <v>29.994</v>
      </c>
      <c r="U177" s="105"/>
      <c r="V177" s="188"/>
      <c r="W177" s="188"/>
      <c r="X177" s="188"/>
      <c r="Y177" s="188"/>
      <c r="Z177" s="188"/>
      <c r="AA177" s="189"/>
      <c r="AB177" s="190"/>
      <c r="AC177" s="191"/>
      <c r="AD177" s="192"/>
      <c r="AE177" s="192"/>
      <c r="AF177" s="192"/>
      <c r="AG177" s="179"/>
      <c r="AH177" s="192"/>
    </row>
    <row r="178" spans="1:34">
      <c r="A178" s="192"/>
      <c r="B178" s="179"/>
      <c r="C178" s="39"/>
      <c r="D178" s="39"/>
      <c r="E178" s="39"/>
      <c r="F178" s="39"/>
      <c r="G178" s="39">
        <v>0</v>
      </c>
      <c r="H178" s="218"/>
      <c r="I178" s="219"/>
      <c r="J178" s="219"/>
      <c r="K178" s="220"/>
      <c r="L178" s="231"/>
      <c r="M178" s="221">
        <v>0</v>
      </c>
      <c r="N178" s="62">
        <v>0</v>
      </c>
      <c r="O178" s="62">
        <v>0</v>
      </c>
      <c r="P178" s="62">
        <v>0</v>
      </c>
      <c r="Q178" s="62"/>
      <c r="R178" s="115">
        <v>0</v>
      </c>
      <c r="S178" s="62">
        <v>0</v>
      </c>
      <c r="T178" s="112">
        <v>-4.1999999999999997E-3</v>
      </c>
      <c r="U178" s="105"/>
      <c r="V178" s="188"/>
      <c r="W178" s="188"/>
      <c r="X178" s="188"/>
      <c r="Y178" s="188"/>
      <c r="Z178" s="188"/>
      <c r="AA178" s="189"/>
      <c r="AB178" s="190"/>
      <c r="AC178" s="191"/>
      <c r="AD178" s="192"/>
      <c r="AE178" s="192"/>
      <c r="AF178" s="192"/>
      <c r="AG178" s="179"/>
      <c r="AH178" s="192"/>
    </row>
    <row r="179" spans="1:34">
      <c r="A179" s="192"/>
      <c r="B179" s="179"/>
      <c r="C179" s="39"/>
      <c r="D179" s="39"/>
      <c r="E179" s="39"/>
      <c r="F179" s="39"/>
      <c r="G179" s="39">
        <v>-30</v>
      </c>
      <c r="H179" s="218"/>
      <c r="I179" s="219"/>
      <c r="J179" s="219"/>
      <c r="K179" s="220"/>
      <c r="L179" s="231"/>
      <c r="M179" s="221">
        <v>-30</v>
      </c>
      <c r="N179" s="62">
        <v>0</v>
      </c>
      <c r="O179" s="62">
        <v>0</v>
      </c>
      <c r="P179" s="62">
        <v>0</v>
      </c>
      <c r="Q179" s="62"/>
      <c r="R179" s="115">
        <v>0</v>
      </c>
      <c r="S179" s="62">
        <v>0</v>
      </c>
      <c r="T179" s="112">
        <v>-30.0246</v>
      </c>
      <c r="U179" s="105"/>
      <c r="V179" s="188"/>
      <c r="W179" s="188"/>
      <c r="X179" s="188"/>
      <c r="Y179" s="188"/>
      <c r="Z179" s="188"/>
      <c r="AA179" s="189"/>
      <c r="AB179" s="162"/>
      <c r="AC179" s="191"/>
      <c r="AD179" s="179"/>
      <c r="AE179" s="39"/>
      <c r="AF179" s="39"/>
      <c r="AG179" s="179"/>
      <c r="AH179" s="192"/>
    </row>
    <row r="180" spans="1:34">
      <c r="A180" s="192"/>
      <c r="B180" s="179"/>
      <c r="C180" s="39"/>
      <c r="D180" s="39"/>
      <c r="E180" s="39"/>
      <c r="F180" s="39"/>
      <c r="G180" s="39">
        <v>-60</v>
      </c>
      <c r="H180" s="218"/>
      <c r="I180" s="219"/>
      <c r="J180" s="219"/>
      <c r="K180" s="220"/>
      <c r="L180" s="231"/>
      <c r="M180" s="221">
        <v>-60</v>
      </c>
      <c r="N180" s="62">
        <v>0</v>
      </c>
      <c r="O180" s="62">
        <v>0</v>
      </c>
      <c r="P180" s="62">
        <v>0</v>
      </c>
      <c r="Q180" s="62"/>
      <c r="R180" s="115">
        <v>0</v>
      </c>
      <c r="S180" s="62">
        <v>0</v>
      </c>
      <c r="T180" s="112">
        <v>-60.057299999999998</v>
      </c>
      <c r="U180" s="105"/>
      <c r="V180" s="188"/>
      <c r="W180" s="188"/>
      <c r="X180" s="188"/>
      <c r="Y180" s="188"/>
      <c r="Z180" s="188"/>
      <c r="AA180" s="189"/>
      <c r="AB180" s="162"/>
      <c r="AC180" s="191"/>
      <c r="AD180" s="179"/>
      <c r="AE180" s="39"/>
      <c r="AF180" s="39"/>
      <c r="AG180" s="179"/>
      <c r="AH180" s="192"/>
    </row>
    <row r="181" spans="1:34">
      <c r="A181" s="192"/>
      <c r="B181" s="179"/>
      <c r="C181" s="39"/>
      <c r="D181" s="39"/>
      <c r="E181" s="39"/>
      <c r="F181" s="39"/>
      <c r="G181" s="39">
        <v>-90</v>
      </c>
      <c r="H181" s="218"/>
      <c r="I181" s="219"/>
      <c r="J181" s="219"/>
      <c r="K181" s="220"/>
      <c r="L181" s="231"/>
      <c r="M181" s="221">
        <v>-90</v>
      </c>
      <c r="N181" s="62">
        <v>0</v>
      </c>
      <c r="O181" s="62">
        <v>0</v>
      </c>
      <c r="P181" s="62">
        <v>0</v>
      </c>
      <c r="Q181" s="62"/>
      <c r="R181" s="115">
        <v>0</v>
      </c>
      <c r="S181" s="62">
        <v>0</v>
      </c>
      <c r="T181" s="112">
        <v>-90.073800000000006</v>
      </c>
      <c r="U181" s="105"/>
      <c r="V181" s="188"/>
      <c r="W181" s="188"/>
      <c r="X181" s="188"/>
      <c r="Y181" s="188"/>
      <c r="Z181" s="188"/>
      <c r="AA181" s="189"/>
      <c r="AB181" s="162"/>
      <c r="AC181" s="191"/>
      <c r="AD181" s="39"/>
      <c r="AE181" s="39"/>
      <c r="AF181" s="39"/>
      <c r="AG181" s="179"/>
      <c r="AH181" s="192"/>
    </row>
    <row r="182" spans="1:34">
      <c r="A182" s="192"/>
      <c r="B182" s="179"/>
      <c r="C182" s="39"/>
      <c r="D182" s="39"/>
      <c r="E182" s="39"/>
      <c r="F182" s="39"/>
      <c r="G182" s="39">
        <v>-60</v>
      </c>
      <c r="H182" s="218"/>
      <c r="I182" s="219"/>
      <c r="J182" s="219"/>
      <c r="K182" s="220"/>
      <c r="L182" s="219"/>
      <c r="M182" s="221">
        <v>-60</v>
      </c>
      <c r="N182" s="62">
        <v>0</v>
      </c>
      <c r="O182" s="62">
        <v>0</v>
      </c>
      <c r="P182" s="62">
        <v>0</v>
      </c>
      <c r="Q182" s="62"/>
      <c r="R182" s="115">
        <v>0</v>
      </c>
      <c r="S182" s="62">
        <v>0</v>
      </c>
      <c r="T182" s="112">
        <v>-60.057600000000001</v>
      </c>
      <c r="U182" s="105"/>
      <c r="V182" s="71"/>
      <c r="W182" s="71"/>
      <c r="X182" s="71"/>
      <c r="Y182" s="71"/>
      <c r="Z182" s="71"/>
      <c r="AA182" s="189"/>
      <c r="AB182" s="162"/>
      <c r="AC182" s="191"/>
      <c r="AD182" s="39"/>
      <c r="AE182" s="39"/>
      <c r="AF182" s="39"/>
      <c r="AG182" s="179"/>
      <c r="AH182" s="192"/>
    </row>
    <row r="183" spans="1:34">
      <c r="A183" s="192"/>
      <c r="B183" s="179"/>
      <c r="C183" s="39"/>
      <c r="D183" s="39"/>
      <c r="E183" s="39"/>
      <c r="F183" s="39"/>
      <c r="G183" s="39">
        <v>-30</v>
      </c>
      <c r="H183" s="218"/>
      <c r="I183" s="219"/>
      <c r="J183" s="219"/>
      <c r="K183" s="220"/>
      <c r="L183" s="219"/>
      <c r="M183" s="221">
        <v>-30</v>
      </c>
      <c r="N183" s="62">
        <v>0</v>
      </c>
      <c r="O183" s="62">
        <v>0</v>
      </c>
      <c r="P183" s="62">
        <v>0</v>
      </c>
      <c r="Q183" s="62"/>
      <c r="R183" s="115">
        <v>0</v>
      </c>
      <c r="S183" s="62">
        <v>0</v>
      </c>
      <c r="T183" s="112">
        <v>-30.025700000000001</v>
      </c>
      <c r="U183" s="105"/>
      <c r="V183" s="71"/>
      <c r="W183" s="71"/>
      <c r="X183" s="71"/>
      <c r="Y183" s="71"/>
      <c r="Z183" s="71"/>
      <c r="AA183" s="189"/>
      <c r="AB183" s="162"/>
      <c r="AC183" s="191"/>
      <c r="AD183" s="39"/>
      <c r="AE183" s="39"/>
      <c r="AF183" s="39"/>
      <c r="AG183" s="179"/>
      <c r="AH183" s="192"/>
    </row>
    <row r="184" spans="1:34">
      <c r="A184" s="212"/>
      <c r="B184" s="217"/>
      <c r="C184" s="212"/>
      <c r="D184" s="212"/>
      <c r="E184" s="212"/>
      <c r="F184" s="212"/>
      <c r="G184" s="263">
        <v>0</v>
      </c>
      <c r="H184" s="226"/>
      <c r="I184" s="227"/>
      <c r="J184" s="227"/>
      <c r="K184" s="228"/>
      <c r="L184" s="227"/>
      <c r="M184" s="229">
        <v>0</v>
      </c>
      <c r="N184" s="204">
        <v>0</v>
      </c>
      <c r="O184" s="204">
        <v>0</v>
      </c>
      <c r="P184" s="204">
        <v>0</v>
      </c>
      <c r="Q184" s="204"/>
      <c r="R184" s="205">
        <v>0</v>
      </c>
      <c r="S184" s="204">
        <v>0</v>
      </c>
      <c r="T184" s="206">
        <v>-2.9999999999999997E-4</v>
      </c>
      <c r="U184" s="111"/>
      <c r="V184" s="211"/>
      <c r="W184" s="211"/>
      <c r="X184" s="211"/>
      <c r="Y184" s="211"/>
      <c r="Z184" s="211"/>
      <c r="AA184" s="195"/>
      <c r="AB184" s="162"/>
      <c r="AC184" s="191"/>
      <c r="AD184" s="179"/>
      <c r="AE184" s="39"/>
      <c r="AF184" s="39"/>
      <c r="AG184" s="179"/>
      <c r="AH184" s="192"/>
    </row>
    <row r="185" spans="1:34">
      <c r="A185" s="212"/>
      <c r="B185" s="314" t="s">
        <v>92</v>
      </c>
      <c r="C185" s="212"/>
      <c r="D185" s="212"/>
      <c r="E185" s="212"/>
      <c r="F185" s="212"/>
      <c r="G185" s="232"/>
      <c r="H185" s="226"/>
      <c r="I185" s="227"/>
      <c r="J185" s="227"/>
      <c r="K185" s="228"/>
      <c r="L185" s="227"/>
      <c r="M185" s="229"/>
      <c r="N185" s="204"/>
      <c r="O185" s="204"/>
      <c r="P185" s="204"/>
      <c r="Q185" s="204"/>
      <c r="R185" s="205"/>
      <c r="S185" s="204"/>
      <c r="T185" s="206"/>
      <c r="U185" s="111"/>
      <c r="V185" s="211"/>
      <c r="W185" s="211"/>
      <c r="X185" s="211"/>
      <c r="Y185" s="211"/>
      <c r="Z185" s="211"/>
      <c r="AA185" s="195"/>
      <c r="AB185" s="163"/>
      <c r="AC185" s="196"/>
      <c r="AD185" s="217"/>
      <c r="AE185" s="212"/>
      <c r="AF185" s="212"/>
      <c r="AG185" s="179"/>
      <c r="AH185" s="192"/>
    </row>
    <row r="186" spans="1:34">
      <c r="A186" s="315"/>
      <c r="B186" s="213"/>
      <c r="C186" s="208"/>
      <c r="D186" s="208"/>
      <c r="E186" s="208"/>
      <c r="F186" s="208"/>
      <c r="G186" s="208">
        <v>0</v>
      </c>
      <c r="H186" s="222"/>
      <c r="I186" s="223"/>
      <c r="J186" s="223"/>
      <c r="K186" s="224"/>
      <c r="L186" s="223"/>
      <c r="M186" s="225">
        <v>0</v>
      </c>
      <c r="N186" s="199">
        <v>0</v>
      </c>
      <c r="O186" s="199">
        <v>0</v>
      </c>
      <c r="P186" s="199">
        <v>0</v>
      </c>
      <c r="Q186" s="199"/>
      <c r="R186" s="200">
        <v>0</v>
      </c>
      <c r="S186" s="199">
        <v>0</v>
      </c>
      <c r="T186" s="201">
        <v>0</v>
      </c>
      <c r="U186" s="110"/>
      <c r="V186" s="207"/>
      <c r="W186" s="207"/>
      <c r="X186" s="207"/>
      <c r="Y186" s="207"/>
      <c r="Z186" s="207"/>
      <c r="AA186" s="202"/>
      <c r="AB186" s="161"/>
      <c r="AC186" s="203"/>
      <c r="AD186" s="192"/>
      <c r="AE186" s="192"/>
      <c r="AF186" s="192"/>
      <c r="AG186" s="179"/>
      <c r="AH186" s="192"/>
    </row>
    <row r="187" spans="1:34">
      <c r="A187" s="192"/>
      <c r="B187" s="179"/>
      <c r="C187" s="39"/>
      <c r="D187" s="39"/>
      <c r="E187" s="39"/>
      <c r="F187" s="39"/>
      <c r="G187" s="39">
        <v>30</v>
      </c>
      <c r="H187" s="218"/>
      <c r="I187" s="219"/>
      <c r="J187" s="219"/>
      <c r="K187" s="220"/>
      <c r="L187" s="219"/>
      <c r="M187" s="221">
        <v>30</v>
      </c>
      <c r="N187" s="62">
        <v>0</v>
      </c>
      <c r="O187" s="62">
        <v>0</v>
      </c>
      <c r="P187" s="62">
        <v>0</v>
      </c>
      <c r="Q187" s="62"/>
      <c r="R187" s="115">
        <v>0</v>
      </c>
      <c r="S187" s="62">
        <v>0</v>
      </c>
      <c r="T187" s="112">
        <v>30.011299999999999</v>
      </c>
      <c r="V187" s="188"/>
      <c r="W187" s="188"/>
      <c r="X187" s="188"/>
      <c r="Y187" s="188"/>
      <c r="Z187" s="188"/>
      <c r="AA187" s="189"/>
      <c r="AB187" s="190"/>
      <c r="AC187" s="191"/>
      <c r="AD187" s="192"/>
      <c r="AE187" s="192"/>
      <c r="AF187" s="192"/>
      <c r="AG187" s="179"/>
      <c r="AH187" s="192"/>
    </row>
    <row r="188" spans="1:34">
      <c r="A188" s="192"/>
      <c r="B188" s="179"/>
      <c r="C188" s="39"/>
      <c r="D188" s="39"/>
      <c r="E188" s="39"/>
      <c r="F188" s="39"/>
      <c r="G188" s="39">
        <v>60</v>
      </c>
      <c r="H188" s="218"/>
      <c r="I188" s="219"/>
      <c r="J188" s="219"/>
      <c r="K188" s="220"/>
      <c r="L188" s="219"/>
      <c r="M188" s="221">
        <v>60</v>
      </c>
      <c r="N188" s="62">
        <v>0</v>
      </c>
      <c r="O188" s="62">
        <v>0</v>
      </c>
      <c r="P188" s="62">
        <v>0</v>
      </c>
      <c r="Q188" s="62"/>
      <c r="R188" s="115">
        <v>0</v>
      </c>
      <c r="S188" s="62">
        <v>0</v>
      </c>
      <c r="T188" s="112">
        <v>60.002400000000002</v>
      </c>
      <c r="U188" s="105"/>
      <c r="V188" s="188"/>
      <c r="W188" s="188"/>
      <c r="X188" s="188"/>
      <c r="Y188" s="188"/>
      <c r="Z188" s="188"/>
      <c r="AA188" s="189"/>
      <c r="AB188" s="190"/>
      <c r="AC188" s="191"/>
      <c r="AD188" s="192"/>
      <c r="AE188" s="192"/>
      <c r="AF188" s="192"/>
      <c r="AG188" s="105" t="s">
        <v>79</v>
      </c>
      <c r="AH188" s="192"/>
    </row>
    <row r="189" spans="1:34">
      <c r="A189" s="192"/>
      <c r="B189" s="179"/>
      <c r="C189" s="39"/>
      <c r="D189" s="39"/>
      <c r="E189" s="39"/>
      <c r="F189" s="39"/>
      <c r="G189" s="39">
        <v>90</v>
      </c>
      <c r="H189" s="218"/>
      <c r="I189" s="219"/>
      <c r="J189" s="219"/>
      <c r="K189" s="220"/>
      <c r="L189" s="219"/>
      <c r="M189" s="221">
        <v>90</v>
      </c>
      <c r="N189" s="62">
        <v>0</v>
      </c>
      <c r="O189" s="62">
        <v>0</v>
      </c>
      <c r="P189" s="62">
        <v>0</v>
      </c>
      <c r="Q189" s="62"/>
      <c r="R189" s="115">
        <v>0</v>
      </c>
      <c r="S189" s="62">
        <v>0</v>
      </c>
      <c r="T189" s="112">
        <v>89.825100000000006</v>
      </c>
      <c r="U189" s="105"/>
      <c r="V189" s="188"/>
      <c r="W189" s="188"/>
      <c r="X189" s="188"/>
      <c r="Y189" s="188"/>
      <c r="Z189" s="188"/>
      <c r="AA189" s="189"/>
      <c r="AB189" s="190"/>
      <c r="AC189" s="191"/>
      <c r="AD189" s="192"/>
      <c r="AE189" s="192"/>
      <c r="AF189" s="192"/>
      <c r="AG189" s="179"/>
      <c r="AH189" s="192"/>
    </row>
    <row r="190" spans="1:34">
      <c r="A190" s="192"/>
      <c r="B190" s="179"/>
      <c r="C190" s="39"/>
      <c r="D190" s="39"/>
      <c r="E190" s="39"/>
      <c r="F190" s="39"/>
      <c r="G190" s="39">
        <v>60</v>
      </c>
      <c r="H190" s="218"/>
      <c r="I190" s="219"/>
      <c r="J190" s="219"/>
      <c r="K190" s="220"/>
      <c r="L190" s="219"/>
      <c r="M190" s="221">
        <v>60</v>
      </c>
      <c r="N190" s="62">
        <v>0</v>
      </c>
      <c r="O190" s="62">
        <v>0</v>
      </c>
      <c r="P190" s="62">
        <v>0</v>
      </c>
      <c r="Q190" s="62"/>
      <c r="R190" s="115">
        <v>0</v>
      </c>
      <c r="S190" s="62">
        <v>0</v>
      </c>
      <c r="T190" s="112">
        <v>60.002400000000002</v>
      </c>
      <c r="U190" s="105"/>
      <c r="V190" s="188"/>
      <c r="W190" s="188"/>
      <c r="X190" s="188"/>
      <c r="Y190" s="188"/>
      <c r="Z190" s="188"/>
      <c r="AA190" s="189"/>
      <c r="AB190" s="190"/>
      <c r="AC190" s="191"/>
      <c r="AD190" s="192"/>
      <c r="AE190" s="192"/>
      <c r="AF190" s="192"/>
      <c r="AG190" s="179"/>
      <c r="AH190" s="192"/>
    </row>
    <row r="191" spans="1:34">
      <c r="A191" s="192"/>
      <c r="B191" s="179"/>
      <c r="C191" s="39"/>
      <c r="D191" s="39"/>
      <c r="E191" s="39"/>
      <c r="F191" s="39"/>
      <c r="G191" s="39">
        <v>30</v>
      </c>
      <c r="H191" s="218"/>
      <c r="I191" s="219"/>
      <c r="J191" s="219"/>
      <c r="K191" s="220"/>
      <c r="L191" s="219"/>
      <c r="M191" s="221">
        <v>30</v>
      </c>
      <c r="N191" s="62">
        <v>0</v>
      </c>
      <c r="O191" s="62">
        <v>0</v>
      </c>
      <c r="P191" s="62">
        <v>0</v>
      </c>
      <c r="Q191" s="62"/>
      <c r="R191" s="115">
        <v>0</v>
      </c>
      <c r="S191" s="62">
        <v>0</v>
      </c>
      <c r="T191" s="112">
        <v>30.0108</v>
      </c>
      <c r="V191" s="188"/>
      <c r="W191" s="188"/>
      <c r="X191" s="188"/>
      <c r="Y191" s="188"/>
      <c r="Z191" s="188"/>
      <c r="AA191" s="189"/>
      <c r="AB191" s="190"/>
      <c r="AC191" s="191"/>
      <c r="AD191" s="192"/>
      <c r="AE191" s="192"/>
      <c r="AF191" s="192"/>
      <c r="AG191" s="179"/>
      <c r="AH191" s="192"/>
    </row>
    <row r="192" spans="1:34">
      <c r="A192" s="192"/>
      <c r="B192" s="179"/>
      <c r="C192" s="39"/>
      <c r="D192" s="39"/>
      <c r="E192" s="39"/>
      <c r="F192" s="39"/>
      <c r="G192" s="39">
        <v>0</v>
      </c>
      <c r="H192" s="218"/>
      <c r="I192" s="219"/>
      <c r="J192" s="219"/>
      <c r="K192" s="220"/>
      <c r="L192" s="219"/>
      <c r="M192" s="221">
        <v>0</v>
      </c>
      <c r="N192" s="62">
        <v>0</v>
      </c>
      <c r="O192" s="62">
        <v>0</v>
      </c>
      <c r="P192" s="62">
        <v>0</v>
      </c>
      <c r="Q192" s="62"/>
      <c r="R192" s="115">
        <v>0</v>
      </c>
      <c r="S192" s="62">
        <v>0</v>
      </c>
      <c r="T192" s="112">
        <v>9.2999999999999992E-3</v>
      </c>
      <c r="U192" s="105"/>
      <c r="V192" s="188"/>
      <c r="W192" s="188"/>
      <c r="X192" s="188"/>
      <c r="Y192" s="188"/>
      <c r="Z192" s="188"/>
      <c r="AA192" s="189"/>
      <c r="AB192" s="190"/>
      <c r="AC192" s="191"/>
      <c r="AD192" s="192"/>
      <c r="AE192" s="192"/>
      <c r="AF192" s="192"/>
      <c r="AG192" s="264" t="s">
        <v>80</v>
      </c>
      <c r="AH192" s="192"/>
    </row>
    <row r="193" spans="1:36">
      <c r="A193" s="192"/>
      <c r="B193" s="179"/>
      <c r="C193" s="39"/>
      <c r="D193" s="39"/>
      <c r="E193" s="39"/>
      <c r="F193" s="39"/>
      <c r="G193" s="39">
        <v>-30</v>
      </c>
      <c r="H193" s="218"/>
      <c r="I193" s="219"/>
      <c r="J193" s="219"/>
      <c r="K193" s="220"/>
      <c r="L193" s="219"/>
      <c r="M193" s="221">
        <v>-30</v>
      </c>
      <c r="N193" s="62">
        <v>0</v>
      </c>
      <c r="O193" s="62">
        <v>0</v>
      </c>
      <c r="P193" s="62">
        <v>0</v>
      </c>
      <c r="Q193" s="62"/>
      <c r="R193" s="115">
        <v>0</v>
      </c>
      <c r="S193" s="62">
        <v>0</v>
      </c>
      <c r="T193" s="112">
        <v>-30.016500000000001</v>
      </c>
      <c r="U193" s="105"/>
      <c r="V193" s="188"/>
      <c r="W193" s="188"/>
      <c r="X193" s="188"/>
      <c r="Y193" s="188"/>
      <c r="Z193" s="188"/>
      <c r="AA193" s="189"/>
      <c r="AB193" s="190"/>
      <c r="AC193" s="191"/>
      <c r="AD193" s="192"/>
      <c r="AE193" s="192"/>
      <c r="AF193" s="192"/>
      <c r="AG193" s="179"/>
      <c r="AH193" s="192"/>
    </row>
    <row r="194" spans="1:36">
      <c r="A194" s="192"/>
      <c r="B194" s="179"/>
      <c r="C194" s="39"/>
      <c r="D194" s="39"/>
      <c r="E194" s="39"/>
      <c r="F194" s="39"/>
      <c r="G194" s="39">
        <v>-60</v>
      </c>
      <c r="H194" s="218"/>
      <c r="I194" s="219"/>
      <c r="J194" s="219"/>
      <c r="K194" s="220"/>
      <c r="L194" s="219"/>
      <c r="M194" s="221">
        <v>-60</v>
      </c>
      <c r="N194" s="62">
        <v>0</v>
      </c>
      <c r="O194" s="62">
        <v>0</v>
      </c>
      <c r="P194" s="62">
        <v>0</v>
      </c>
      <c r="Q194" s="62"/>
      <c r="R194" s="115">
        <v>0</v>
      </c>
      <c r="S194" s="62">
        <v>0</v>
      </c>
      <c r="T194" s="112">
        <v>-60.049199999999999</v>
      </c>
      <c r="U194" s="105"/>
      <c r="V194" s="209"/>
      <c r="W194" s="71"/>
      <c r="X194" s="71"/>
      <c r="Y194" s="71"/>
      <c r="Z194" s="71"/>
      <c r="AA194" s="189"/>
      <c r="AB194" s="147"/>
      <c r="AC194" s="191"/>
      <c r="AD194" s="179"/>
      <c r="AE194" s="39"/>
      <c r="AF194" s="39"/>
      <c r="AG194" s="179"/>
      <c r="AH194" s="192"/>
    </row>
    <row r="195" spans="1:36">
      <c r="A195" s="192"/>
      <c r="B195" s="179"/>
      <c r="C195" s="39"/>
      <c r="D195" s="39"/>
      <c r="E195" s="39"/>
      <c r="F195" s="39"/>
      <c r="G195" s="39">
        <v>-90</v>
      </c>
      <c r="H195" s="218"/>
      <c r="I195" s="219"/>
      <c r="J195" s="219"/>
      <c r="K195" s="220"/>
      <c r="L195" s="219"/>
      <c r="M195" s="221">
        <v>-90</v>
      </c>
      <c r="N195" s="62">
        <v>0</v>
      </c>
      <c r="O195" s="62">
        <v>0</v>
      </c>
      <c r="P195" s="62">
        <v>0</v>
      </c>
      <c r="Q195" s="62"/>
      <c r="R195" s="115">
        <v>0</v>
      </c>
      <c r="S195" s="62">
        <v>0</v>
      </c>
      <c r="T195" s="112">
        <v>-90.095200000000006</v>
      </c>
      <c r="U195" s="105"/>
      <c r="V195" s="210"/>
      <c r="W195" s="211"/>
      <c r="X195" s="211"/>
      <c r="Y195" s="211"/>
      <c r="Z195" s="211"/>
      <c r="AA195" s="195"/>
      <c r="AB195" s="164"/>
      <c r="AC195" s="196"/>
      <c r="AD195" s="217"/>
      <c r="AE195" s="212"/>
      <c r="AF195" s="212"/>
      <c r="AG195" s="179"/>
      <c r="AH195" s="192"/>
    </row>
    <row r="196" spans="1:36">
      <c r="A196" s="192"/>
      <c r="B196" s="179"/>
      <c r="C196" s="39"/>
      <c r="D196" s="39"/>
      <c r="E196" s="39"/>
      <c r="F196" s="39"/>
      <c r="G196" s="39">
        <v>-60</v>
      </c>
      <c r="H196" s="218"/>
      <c r="I196" s="219"/>
      <c r="J196" s="219"/>
      <c r="K196" s="220"/>
      <c r="L196" s="219"/>
      <c r="M196" s="221">
        <v>-60</v>
      </c>
      <c r="N196" s="62">
        <v>0</v>
      </c>
      <c r="O196" s="62">
        <v>0</v>
      </c>
      <c r="P196" s="62">
        <v>0</v>
      </c>
      <c r="Q196" s="62"/>
      <c r="R196" s="115">
        <v>0</v>
      </c>
      <c r="S196" s="62">
        <v>0</v>
      </c>
      <c r="T196" s="112">
        <v>-60.049100000000003</v>
      </c>
      <c r="U196" s="105"/>
      <c r="V196" s="207"/>
      <c r="W196" s="207"/>
      <c r="X196" s="207"/>
      <c r="Y196" s="207"/>
      <c r="Z196" s="207"/>
      <c r="AA196" s="202"/>
      <c r="AB196" s="161"/>
      <c r="AC196" s="203"/>
      <c r="AD196" s="192"/>
      <c r="AE196" s="192"/>
      <c r="AF196" s="192"/>
      <c r="AG196" s="179"/>
      <c r="AH196" s="192"/>
    </row>
    <row r="197" spans="1:36">
      <c r="A197" s="192"/>
      <c r="B197" s="179"/>
      <c r="C197" s="39"/>
      <c r="D197" s="39"/>
      <c r="E197" s="39"/>
      <c r="F197" s="39"/>
      <c r="G197" s="39">
        <v>-30</v>
      </c>
      <c r="H197" s="218"/>
      <c r="I197" s="219"/>
      <c r="J197" s="219"/>
      <c r="K197" s="220"/>
      <c r="L197" s="219"/>
      <c r="M197" s="221">
        <v>-30</v>
      </c>
      <c r="N197" s="62">
        <v>0</v>
      </c>
      <c r="O197" s="62">
        <v>0</v>
      </c>
      <c r="P197" s="62">
        <v>0</v>
      </c>
      <c r="Q197" s="62"/>
      <c r="R197" s="115">
        <v>0</v>
      </c>
      <c r="S197" s="62">
        <v>0</v>
      </c>
      <c r="T197" s="112">
        <v>-30.016999999999999</v>
      </c>
      <c r="U197" s="105"/>
      <c r="V197" s="71"/>
      <c r="W197" s="71"/>
      <c r="X197" s="71"/>
      <c r="Y197" s="71"/>
      <c r="Z197" s="71"/>
      <c r="AA197" s="189"/>
      <c r="AB197" s="147"/>
      <c r="AC197" s="191"/>
      <c r="AD197" s="192"/>
      <c r="AE197" s="192"/>
      <c r="AF197" s="192"/>
      <c r="AG197" s="179"/>
      <c r="AH197" s="192"/>
    </row>
    <row r="198" spans="1:36">
      <c r="A198" s="192"/>
      <c r="B198" s="179"/>
      <c r="C198" s="39"/>
      <c r="D198" s="39"/>
      <c r="E198" s="39"/>
      <c r="F198" s="39"/>
      <c r="G198" s="39">
        <v>0</v>
      </c>
      <c r="H198" s="218"/>
      <c r="I198" s="219"/>
      <c r="J198" s="219"/>
      <c r="K198" s="220"/>
      <c r="L198" s="219"/>
      <c r="M198" s="221">
        <v>0</v>
      </c>
      <c r="N198" s="62">
        <v>0</v>
      </c>
      <c r="O198" s="62">
        <v>0</v>
      </c>
      <c r="P198" s="62">
        <v>0</v>
      </c>
      <c r="Q198" s="62"/>
      <c r="R198" s="115">
        <v>0</v>
      </c>
      <c r="S198" s="62">
        <v>0</v>
      </c>
      <c r="T198" s="112">
        <v>8.8000000000000005E-3</v>
      </c>
      <c r="U198" s="105"/>
      <c r="V198" s="71"/>
      <c r="W198" s="71"/>
      <c r="X198" s="71"/>
      <c r="Y198" s="71"/>
      <c r="Z198" s="71"/>
      <c r="AA198" s="189"/>
      <c r="AB198" s="147"/>
      <c r="AC198" s="191"/>
      <c r="AD198" s="192"/>
      <c r="AE198" s="192"/>
      <c r="AF198" s="192"/>
      <c r="AG198" s="179"/>
      <c r="AH198" s="192"/>
    </row>
    <row r="199" spans="1:36">
      <c r="A199" s="180"/>
      <c r="B199" s="180"/>
      <c r="C199" s="5"/>
      <c r="D199" s="5"/>
      <c r="E199" s="5"/>
      <c r="F199" s="5"/>
      <c r="G199" s="5"/>
      <c r="H199" s="256" t="s">
        <v>81</v>
      </c>
      <c r="I199" s="257"/>
      <c r="J199" s="257"/>
      <c r="K199" s="258"/>
      <c r="L199" s="257"/>
      <c r="M199" s="259"/>
      <c r="N199" s="256" t="s">
        <v>82</v>
      </c>
      <c r="O199" s="73"/>
      <c r="P199" s="73"/>
      <c r="Q199" s="73"/>
      <c r="R199" s="260"/>
      <c r="S199" s="73"/>
      <c r="T199" s="74"/>
      <c r="U199" s="108"/>
      <c r="V199" s="71"/>
      <c r="W199" s="71"/>
      <c r="X199" s="71"/>
      <c r="Y199" s="71"/>
      <c r="Z199" s="71"/>
      <c r="AA199" s="189"/>
      <c r="AB199" s="147"/>
      <c r="AC199" s="191"/>
      <c r="AD199" s="192"/>
      <c r="AE199" s="192"/>
      <c r="AF199" s="192"/>
      <c r="AG199" s="179"/>
      <c r="AH199" s="192"/>
    </row>
    <row r="200" spans="1:36">
      <c r="A200" s="180"/>
      <c r="B200" s="180"/>
      <c r="C200" s="5"/>
      <c r="D200" s="5"/>
      <c r="E200" s="5"/>
      <c r="F200" s="5"/>
      <c r="G200" s="265"/>
      <c r="H200" s="256" t="s">
        <v>0</v>
      </c>
      <c r="I200" s="257" t="s">
        <v>1</v>
      </c>
      <c r="J200" s="257"/>
      <c r="K200" s="258" t="s">
        <v>94</v>
      </c>
      <c r="L200" s="257"/>
      <c r="M200" s="259"/>
      <c r="N200" s="73" t="s">
        <v>0</v>
      </c>
      <c r="O200" s="73" t="s">
        <v>1</v>
      </c>
      <c r="P200" s="258" t="s">
        <v>94</v>
      </c>
      <c r="Q200" s="73"/>
      <c r="R200" s="260"/>
      <c r="S200" s="73"/>
      <c r="T200" s="74"/>
      <c r="U200" s="108"/>
      <c r="V200" s="266"/>
      <c r="W200" s="216"/>
      <c r="X200" s="216"/>
      <c r="Y200" s="216"/>
      <c r="Z200" s="216"/>
      <c r="AA200" s="197"/>
      <c r="AB200" s="152"/>
      <c r="AC200" s="267"/>
      <c r="AD200" s="5"/>
      <c r="AE200" s="5"/>
      <c r="AF200" s="5"/>
      <c r="AG200" s="179"/>
      <c r="AH200" s="192"/>
    </row>
    <row r="201" spans="1:36">
      <c r="A201" s="192"/>
      <c r="B201" s="179"/>
      <c r="C201" s="39"/>
      <c r="D201" s="39"/>
      <c r="E201" s="39"/>
      <c r="F201" s="39"/>
      <c r="G201" s="39">
        <v>0</v>
      </c>
      <c r="H201" s="268">
        <v>759.66</v>
      </c>
      <c r="I201" s="214">
        <v>7.0000000000000007E-2</v>
      </c>
      <c r="J201" s="214"/>
      <c r="K201" s="269"/>
      <c r="L201" s="214"/>
      <c r="M201" s="270">
        <v>0</v>
      </c>
      <c r="N201" s="214">
        <v>-760.38</v>
      </c>
      <c r="O201" s="214">
        <v>0.55000000000000004</v>
      </c>
      <c r="P201" s="62"/>
      <c r="Q201" s="62"/>
      <c r="R201" s="115"/>
      <c r="S201" s="62"/>
      <c r="T201" s="112"/>
      <c r="U201" s="105"/>
      <c r="V201" s="71"/>
      <c r="W201" s="71"/>
      <c r="X201" s="71"/>
      <c r="Y201" s="71"/>
      <c r="Z201" s="71"/>
      <c r="AA201" s="189"/>
      <c r="AB201" s="147"/>
      <c r="AC201" s="191"/>
      <c r="AD201" s="192"/>
      <c r="AE201" s="192"/>
      <c r="AF201" s="192"/>
      <c r="AG201" s="179"/>
      <c r="AH201" s="39"/>
      <c r="AI201" s="1"/>
      <c r="AJ201" s="1"/>
    </row>
    <row r="202" spans="1:36">
      <c r="A202" s="192"/>
      <c r="B202" s="179"/>
      <c r="C202" s="39"/>
      <c r="D202" s="39"/>
      <c r="E202" s="39"/>
      <c r="F202" s="39"/>
      <c r="G202" s="39">
        <v>30</v>
      </c>
      <c r="H202" s="268">
        <v>657.93</v>
      </c>
      <c r="I202" s="214">
        <v>379.97</v>
      </c>
      <c r="J202" s="214"/>
      <c r="K202" s="269"/>
      <c r="L202" s="214"/>
      <c r="M202" s="270">
        <v>30</v>
      </c>
      <c r="N202" s="214">
        <v>-658.77</v>
      </c>
      <c r="O202" s="214">
        <v>-379.38</v>
      </c>
      <c r="P202" s="62"/>
      <c r="Q202" s="62"/>
      <c r="R202" s="115"/>
      <c r="S202" s="62"/>
      <c r="T202" s="112"/>
      <c r="U202" s="105"/>
      <c r="V202" s="71"/>
      <c r="W202" s="71"/>
      <c r="X202" s="71"/>
      <c r="Y202" s="71"/>
      <c r="Z202" s="71"/>
      <c r="AA202" s="189"/>
      <c r="AB202" s="147"/>
      <c r="AC202" s="191"/>
      <c r="AD202" s="192"/>
      <c r="AE202" s="192"/>
      <c r="AF202" s="192"/>
      <c r="AG202" s="179"/>
      <c r="AH202" s="192"/>
    </row>
    <row r="203" spans="1:36">
      <c r="A203" s="192"/>
      <c r="B203" s="179"/>
      <c r="C203" s="39"/>
      <c r="D203" s="39"/>
      <c r="E203" s="39"/>
      <c r="F203" s="39"/>
      <c r="G203" s="39">
        <v>60</v>
      </c>
      <c r="H203" s="268">
        <v>379.95</v>
      </c>
      <c r="I203" s="214">
        <v>658.13</v>
      </c>
      <c r="J203" s="214"/>
      <c r="K203" s="269"/>
      <c r="L203" s="214"/>
      <c r="M203" s="270">
        <v>60</v>
      </c>
      <c r="N203" s="214">
        <v>-380.85</v>
      </c>
      <c r="O203" s="214">
        <v>-657.64</v>
      </c>
      <c r="P203" s="62"/>
      <c r="Q203" s="62"/>
      <c r="R203" s="115"/>
      <c r="S203" s="62"/>
      <c r="T203" s="112"/>
      <c r="U203" s="105"/>
      <c r="V203" s="71"/>
      <c r="W203" s="71"/>
      <c r="X203" s="71"/>
      <c r="Y203" s="71"/>
      <c r="Z203" s="71"/>
      <c r="AA203" s="189"/>
      <c r="AB203" s="147"/>
      <c r="AC203" s="191"/>
      <c r="AD203" s="192"/>
      <c r="AE203" s="192"/>
      <c r="AF203" s="192"/>
      <c r="AG203" s="179"/>
      <c r="AH203" s="192"/>
    </row>
    <row r="204" spans="1:36">
      <c r="A204" s="192"/>
      <c r="B204" s="179"/>
      <c r="C204" s="39"/>
      <c r="D204" s="39"/>
      <c r="E204" s="39"/>
      <c r="F204" s="39"/>
      <c r="G204" s="39">
        <v>90</v>
      </c>
      <c r="H204" s="268">
        <v>0.08</v>
      </c>
      <c r="I204" s="214">
        <v>760.22</v>
      </c>
      <c r="J204" s="214"/>
      <c r="K204" s="269"/>
      <c r="L204" s="214"/>
      <c r="M204" s="270">
        <v>90</v>
      </c>
      <c r="N204" s="214">
        <v>-0.94</v>
      </c>
      <c r="O204" s="214">
        <v>-759.66</v>
      </c>
      <c r="P204" s="62"/>
      <c r="Q204" s="62"/>
      <c r="R204" s="115"/>
      <c r="S204" s="62"/>
      <c r="T204" s="112"/>
      <c r="U204" s="105"/>
      <c r="V204" s="71"/>
      <c r="W204" s="71"/>
      <c r="X204" s="71"/>
      <c r="Y204" s="71"/>
      <c r="Z204" s="71"/>
      <c r="AA204" s="189"/>
      <c r="AB204" s="147"/>
      <c r="AC204" s="191"/>
      <c r="AD204" s="192"/>
      <c r="AE204" s="192"/>
      <c r="AF204" s="192"/>
      <c r="AG204" s="179"/>
      <c r="AH204" s="192"/>
    </row>
    <row r="205" spans="1:36">
      <c r="A205" s="192"/>
      <c r="B205" s="179"/>
      <c r="C205" s="39"/>
      <c r="D205" s="39"/>
      <c r="E205" s="39"/>
      <c r="F205" s="39"/>
      <c r="G205" s="39">
        <v>60</v>
      </c>
      <c r="H205" s="268">
        <v>379.93</v>
      </c>
      <c r="I205" s="214">
        <v>658.13</v>
      </c>
      <c r="J205" s="214"/>
      <c r="K205" s="269"/>
      <c r="L205" s="214"/>
      <c r="M205" s="270">
        <v>60</v>
      </c>
      <c r="N205" s="214">
        <v>-380.85</v>
      </c>
      <c r="O205" s="214">
        <v>-657.65</v>
      </c>
      <c r="P205" s="62"/>
      <c r="Q205" s="62"/>
      <c r="R205" s="115"/>
      <c r="S205" s="62"/>
      <c r="T205" s="112"/>
      <c r="U205" s="105"/>
      <c r="V205" s="71"/>
      <c r="W205" s="71"/>
      <c r="X205" s="71"/>
      <c r="Y205" s="71"/>
      <c r="Z205" s="71"/>
      <c r="AA205" s="189"/>
      <c r="AB205" s="147"/>
      <c r="AC205" s="191"/>
      <c r="AD205" s="192"/>
      <c r="AE205" s="192"/>
      <c r="AF205" s="192"/>
      <c r="AG205" s="179"/>
      <c r="AH205" s="192"/>
    </row>
    <row r="206" spans="1:36">
      <c r="A206" s="192"/>
      <c r="B206" s="179"/>
      <c r="C206" s="39"/>
      <c r="D206" s="39"/>
      <c r="E206" s="39"/>
      <c r="F206" s="39"/>
      <c r="G206" s="39">
        <v>30</v>
      </c>
      <c r="H206" s="268">
        <v>657.92</v>
      </c>
      <c r="I206" s="214">
        <v>379.97</v>
      </c>
      <c r="J206" s="214"/>
      <c r="K206" s="269"/>
      <c r="L206" s="214"/>
      <c r="M206" s="270">
        <v>30</v>
      </c>
      <c r="N206" s="214">
        <v>-658.77</v>
      </c>
      <c r="O206" s="214">
        <v>-379.4</v>
      </c>
      <c r="P206" s="62"/>
      <c r="Q206" s="62"/>
      <c r="R206" s="115"/>
      <c r="S206" s="62"/>
      <c r="T206" s="112"/>
      <c r="U206" s="105"/>
      <c r="V206" s="209"/>
      <c r="W206" s="71"/>
      <c r="X206" s="71"/>
      <c r="Y206" s="71"/>
      <c r="Z206" s="71"/>
      <c r="AA206" s="189"/>
      <c r="AB206" s="147"/>
      <c r="AC206" s="191"/>
      <c r="AD206" s="39"/>
      <c r="AE206" s="39"/>
      <c r="AF206" s="39"/>
      <c r="AG206" s="179"/>
      <c r="AH206" s="192"/>
    </row>
    <row r="207" spans="1:36">
      <c r="A207" s="192"/>
      <c r="B207" s="179"/>
      <c r="C207" s="39"/>
      <c r="D207" s="39"/>
      <c r="E207" s="39"/>
      <c r="F207" s="39"/>
      <c r="G207" s="39">
        <v>0</v>
      </c>
      <c r="H207" s="268">
        <v>759.64</v>
      </c>
      <c r="I207" s="214">
        <v>7.0000000000000007E-2</v>
      </c>
      <c r="J207" s="214"/>
      <c r="K207" s="269"/>
      <c r="L207" s="214"/>
      <c r="M207" s="270">
        <v>0</v>
      </c>
      <c r="N207" s="214">
        <v>-760.38</v>
      </c>
      <c r="O207" s="214">
        <v>0.53</v>
      </c>
      <c r="P207" s="62"/>
      <c r="Q207" s="62"/>
      <c r="R207" s="115"/>
      <c r="S207" s="62"/>
      <c r="T207" s="112"/>
      <c r="U207" s="105"/>
      <c r="V207" s="209"/>
      <c r="W207" s="71"/>
      <c r="X207" s="71"/>
      <c r="Y207" s="71"/>
      <c r="Z207" s="71"/>
      <c r="AA207" s="189"/>
      <c r="AB207" s="147"/>
      <c r="AC207" s="191"/>
      <c r="AD207" s="39"/>
      <c r="AE207" s="39"/>
      <c r="AF207" s="39"/>
      <c r="AG207" s="179"/>
      <c r="AH207" s="192"/>
    </row>
    <row r="208" spans="1:36">
      <c r="A208" s="192"/>
      <c r="B208" s="179"/>
      <c r="C208" s="39"/>
      <c r="D208" s="39"/>
      <c r="E208" s="39"/>
      <c r="F208" s="39"/>
      <c r="G208" s="39">
        <v>-30</v>
      </c>
      <c r="H208" s="268">
        <v>657.71</v>
      </c>
      <c r="I208" s="214">
        <v>-380.01</v>
      </c>
      <c r="J208" s="214"/>
      <c r="K208" s="269"/>
      <c r="L208" s="214"/>
      <c r="M208" s="270">
        <v>-30</v>
      </c>
      <c r="N208" s="214">
        <v>-658.35</v>
      </c>
      <c r="O208" s="214">
        <v>380.57</v>
      </c>
      <c r="P208" s="62"/>
      <c r="Q208" s="62"/>
      <c r="R208" s="115"/>
      <c r="S208" s="62"/>
      <c r="T208" s="112"/>
      <c r="U208" s="105"/>
      <c r="V208" s="209"/>
      <c r="W208" s="71"/>
      <c r="X208" s="71"/>
      <c r="Y208" s="71"/>
      <c r="Z208" s="71"/>
      <c r="AA208" s="189"/>
      <c r="AB208" s="147"/>
      <c r="AC208" s="191"/>
      <c r="AD208" s="39"/>
      <c r="AE208" s="39"/>
      <c r="AF208" s="39"/>
      <c r="AG208" s="179"/>
      <c r="AH208" s="192"/>
    </row>
    <row r="209" spans="1:34">
      <c r="A209" s="192"/>
      <c r="B209" s="179"/>
      <c r="C209" s="39"/>
      <c r="D209" s="39"/>
      <c r="E209" s="39"/>
      <c r="F209" s="39"/>
      <c r="G209" s="39">
        <v>-60</v>
      </c>
      <c r="H209" s="268">
        <v>379.24</v>
      </c>
      <c r="I209" s="214">
        <v>-658.08</v>
      </c>
      <c r="J209" s="214"/>
      <c r="K209" s="269"/>
      <c r="L209" s="214"/>
      <c r="M209" s="270">
        <v>-60</v>
      </c>
      <c r="N209" s="214">
        <v>-379.94</v>
      </c>
      <c r="O209" s="214">
        <v>658.67</v>
      </c>
      <c r="P209" s="62"/>
      <c r="Q209" s="62"/>
      <c r="R209" s="115"/>
      <c r="S209" s="62"/>
      <c r="T209" s="112"/>
      <c r="U209" s="105"/>
      <c r="V209" s="209"/>
      <c r="W209" s="71"/>
      <c r="X209" s="71"/>
      <c r="Y209" s="71"/>
      <c r="Z209" s="71"/>
      <c r="AA209" s="189"/>
      <c r="AB209" s="147"/>
      <c r="AC209" s="191"/>
      <c r="AD209" s="39"/>
      <c r="AE209" s="39"/>
      <c r="AF209" s="39"/>
      <c r="AG209" s="179"/>
      <c r="AH209" s="192"/>
    </row>
    <row r="210" spans="1:34">
      <c r="A210" s="192"/>
      <c r="B210" s="179"/>
      <c r="C210" s="39"/>
      <c r="D210" s="39"/>
      <c r="E210" s="39"/>
      <c r="F210" s="39"/>
      <c r="G210" s="39">
        <v>-90</v>
      </c>
      <c r="H210" s="268">
        <v>-1.1100000000000001</v>
      </c>
      <c r="I210" s="214">
        <v>-759.68</v>
      </c>
      <c r="J210" s="214"/>
      <c r="K210" s="269"/>
      <c r="L210" s="214"/>
      <c r="M210" s="270">
        <v>-90</v>
      </c>
      <c r="N210" s="214">
        <v>0.39</v>
      </c>
      <c r="O210" s="214">
        <v>760.18</v>
      </c>
      <c r="P210" s="62"/>
      <c r="Q210" s="62"/>
      <c r="R210" s="115"/>
      <c r="S210" s="62"/>
      <c r="T210" s="112"/>
      <c r="U210" s="105"/>
      <c r="V210" s="209"/>
      <c r="W210" s="71"/>
      <c r="X210" s="71"/>
      <c r="Y210" s="71"/>
      <c r="Z210" s="71"/>
      <c r="AA210" s="189"/>
      <c r="AB210" s="147"/>
      <c r="AC210" s="191"/>
      <c r="AD210" s="39"/>
      <c r="AE210" s="39"/>
      <c r="AF210" s="39"/>
      <c r="AG210" s="179"/>
      <c r="AH210" s="192"/>
    </row>
    <row r="211" spans="1:34">
      <c r="A211" s="192"/>
      <c r="B211" s="179"/>
      <c r="C211" s="39"/>
      <c r="D211" s="39"/>
      <c r="E211" s="39"/>
      <c r="F211" s="39"/>
      <c r="G211" s="39">
        <v>-60</v>
      </c>
      <c r="H211" s="268">
        <v>379.25</v>
      </c>
      <c r="I211" s="214">
        <v>-658.07</v>
      </c>
      <c r="J211" s="214"/>
      <c r="K211" s="269"/>
      <c r="L211" s="214"/>
      <c r="M211" s="270">
        <v>-60</v>
      </c>
      <c r="N211" s="214">
        <v>-379.94</v>
      </c>
      <c r="O211" s="214">
        <v>658.66</v>
      </c>
      <c r="P211" s="62"/>
      <c r="Q211" s="62"/>
      <c r="R211" s="115"/>
      <c r="S211" s="62"/>
      <c r="T211" s="112"/>
      <c r="U211" s="105"/>
      <c r="V211" s="209"/>
      <c r="W211" s="71"/>
      <c r="X211" s="71"/>
      <c r="Y211" s="71"/>
      <c r="Z211" s="71"/>
      <c r="AA211" s="189"/>
      <c r="AB211" s="147"/>
      <c r="AC211" s="191"/>
      <c r="AD211" s="179"/>
      <c r="AE211" s="39"/>
      <c r="AF211" s="39"/>
      <c r="AG211" s="179"/>
      <c r="AH211" s="192"/>
    </row>
    <row r="212" spans="1:34">
      <c r="A212" s="192"/>
      <c r="B212" s="179"/>
      <c r="C212" s="39"/>
      <c r="D212" s="39"/>
      <c r="E212" s="39"/>
      <c r="F212" s="39"/>
      <c r="G212" s="39">
        <v>-30</v>
      </c>
      <c r="H212" s="268">
        <v>657.72</v>
      </c>
      <c r="I212" s="214">
        <v>-380.02</v>
      </c>
      <c r="J212" s="214"/>
      <c r="K212" s="269"/>
      <c r="L212" s="214"/>
      <c r="M212" s="270">
        <v>-30</v>
      </c>
      <c r="N212" s="214">
        <v>-658.35</v>
      </c>
      <c r="O212" s="214">
        <v>380.56</v>
      </c>
      <c r="P212" s="62"/>
      <c r="Q212" s="62"/>
      <c r="R212" s="115"/>
      <c r="S212" s="62"/>
      <c r="T212" s="112"/>
      <c r="U212" s="105"/>
      <c r="V212" s="209"/>
      <c r="W212" s="71"/>
      <c r="X212" s="71"/>
      <c r="Y212" s="71"/>
      <c r="Z212" s="71"/>
      <c r="AA212" s="189"/>
      <c r="AB212" s="147"/>
      <c r="AC212" s="191"/>
      <c r="AD212" s="179"/>
      <c r="AE212" s="39"/>
      <c r="AF212" s="39"/>
      <c r="AG212" s="179"/>
      <c r="AH212" s="39"/>
    </row>
    <row r="213" spans="1:34">
      <c r="A213" s="217"/>
      <c r="B213" s="217"/>
      <c r="C213" s="212"/>
      <c r="D213" s="212"/>
      <c r="E213" s="212"/>
      <c r="F213" s="212"/>
      <c r="G213" s="263">
        <v>0</v>
      </c>
      <c r="H213" s="271">
        <v>759.64</v>
      </c>
      <c r="I213" s="215">
        <v>7.0000000000000007E-2</v>
      </c>
      <c r="J213" s="215"/>
      <c r="K213" s="321" t="s">
        <v>95</v>
      </c>
      <c r="L213" s="322"/>
      <c r="M213" s="272">
        <v>0</v>
      </c>
      <c r="N213" s="215">
        <v>-760.39</v>
      </c>
      <c r="O213" s="215">
        <v>0.52</v>
      </c>
      <c r="P213" s="204"/>
      <c r="Q213" s="204"/>
      <c r="R213" s="205"/>
      <c r="S213" s="204"/>
      <c r="T213" s="206"/>
      <c r="U213" s="111"/>
      <c r="V213" s="209"/>
      <c r="W213" s="71"/>
      <c r="X213" s="71"/>
      <c r="Y213" s="71"/>
      <c r="Z213" s="71"/>
      <c r="AA213" s="189"/>
      <c r="AB213" s="147"/>
      <c r="AC213" s="191"/>
      <c r="AD213" s="179"/>
      <c r="AE213" s="39"/>
      <c r="AF213" s="39"/>
      <c r="AG213" s="179"/>
      <c r="AH213" s="39"/>
    </row>
    <row r="214" spans="1:34">
      <c r="A214" s="217"/>
      <c r="B214" s="217"/>
      <c r="C214" s="212"/>
      <c r="D214" s="212"/>
      <c r="E214" s="212"/>
      <c r="F214" s="212"/>
      <c r="G214" s="212"/>
      <c r="H214" s="271">
        <f>AVERAGE(H201:H213)</f>
        <v>494.42769230769233</v>
      </c>
      <c r="I214" s="271">
        <f>AVERAGE(I201:I213)</f>
        <v>5.9230769230798966E-2</v>
      </c>
      <c r="J214" s="215"/>
      <c r="K214" s="317" t="s">
        <v>25</v>
      </c>
      <c r="L214" s="318" t="s">
        <v>26</v>
      </c>
      <c r="M214" s="272"/>
      <c r="N214" s="271">
        <f>AVERAGE(N201:N213)</f>
        <v>-495.1938461538461</v>
      </c>
      <c r="O214" s="271">
        <f>AVERAGE(O201:O213)</f>
        <v>0.50076923076922708</v>
      </c>
      <c r="P214" s="204"/>
      <c r="Q214" s="204"/>
      <c r="R214" s="205"/>
      <c r="S214" s="204"/>
      <c r="T214" s="206"/>
      <c r="U214" s="111"/>
      <c r="V214" s="209"/>
      <c r="W214" s="71"/>
      <c r="X214" s="71"/>
      <c r="Y214" s="71"/>
      <c r="Z214" s="71"/>
      <c r="AA214" s="189"/>
      <c r="AB214" s="147"/>
      <c r="AC214" s="191"/>
      <c r="AD214" s="179"/>
      <c r="AE214" s="39"/>
      <c r="AF214" s="39"/>
      <c r="AG214" s="179"/>
      <c r="AH214" s="39"/>
    </row>
    <row r="215" spans="1:34">
      <c r="A215" s="180"/>
      <c r="B215" s="180"/>
      <c r="C215" s="5"/>
      <c r="D215" s="5"/>
      <c r="E215" s="5"/>
      <c r="F215" s="5"/>
      <c r="G215" s="5"/>
      <c r="H215" s="256"/>
      <c r="I215" s="257"/>
      <c r="J215" s="257"/>
      <c r="K215" s="319">
        <f>AVERAGE(H214,N214)</f>
        <v>-0.38307692307688512</v>
      </c>
      <c r="L215" s="320">
        <f>AVERAGE(I214,O214)</f>
        <v>0.28000000000001302</v>
      </c>
      <c r="M215" s="259"/>
      <c r="N215" s="73"/>
      <c r="O215" s="73"/>
      <c r="P215" s="73"/>
      <c r="Q215" s="73"/>
      <c r="R215" s="260"/>
      <c r="S215" s="73"/>
      <c r="T215" s="74"/>
      <c r="U215" s="230"/>
      <c r="V215" s="209"/>
      <c r="W215" s="71"/>
      <c r="X215" s="71"/>
      <c r="Y215" s="71"/>
      <c r="Z215" s="71"/>
      <c r="AA215" s="189"/>
      <c r="AB215" s="147"/>
      <c r="AC215" s="191"/>
      <c r="AD215" s="179"/>
      <c r="AE215" s="39"/>
      <c r="AF215" s="39"/>
      <c r="AG215" s="179"/>
      <c r="AH215" s="39"/>
    </row>
    <row r="216" spans="1:34">
      <c r="A216" s="180"/>
      <c r="B216" s="316" t="s">
        <v>93</v>
      </c>
      <c r="C216" s="5"/>
      <c r="D216" s="5"/>
      <c r="E216" s="5"/>
      <c r="F216" s="5"/>
      <c r="G216" s="5"/>
      <c r="H216" s="256"/>
      <c r="I216" s="257"/>
      <c r="J216" s="257"/>
      <c r="K216" s="73"/>
      <c r="L216" s="73"/>
      <c r="M216" s="259"/>
      <c r="N216" s="73"/>
      <c r="O216" s="73"/>
      <c r="P216" s="73"/>
      <c r="Q216" s="73"/>
      <c r="R216" s="260"/>
      <c r="S216" s="73"/>
      <c r="T216" s="74"/>
      <c r="U216" s="230"/>
      <c r="V216" s="209"/>
      <c r="W216" s="71"/>
      <c r="X216" s="71"/>
      <c r="Y216" s="71"/>
      <c r="Z216" s="71"/>
      <c r="AA216" s="189"/>
      <c r="AB216" s="147"/>
      <c r="AC216" s="191"/>
      <c r="AD216" s="39"/>
      <c r="AE216" s="39"/>
      <c r="AF216" s="39"/>
      <c r="AG216" s="179"/>
      <c r="AH216" s="39"/>
    </row>
    <row r="217" spans="1:34">
      <c r="A217" s="233"/>
      <c r="B217" s="179"/>
      <c r="C217" s="39"/>
      <c r="D217" s="39"/>
      <c r="E217" s="39"/>
      <c r="F217" s="39"/>
      <c r="G217" s="39">
        <v>0</v>
      </c>
      <c r="H217" s="218"/>
      <c r="I217" s="219"/>
      <c r="J217" s="219"/>
      <c r="K217" s="220"/>
      <c r="L217" s="219"/>
      <c r="M217" s="221">
        <v>0</v>
      </c>
      <c r="N217" s="62">
        <v>0</v>
      </c>
      <c r="O217" s="62">
        <v>0.38</v>
      </c>
      <c r="P217" s="62">
        <v>0.05</v>
      </c>
      <c r="Q217" s="62"/>
      <c r="R217" s="115">
        <v>0</v>
      </c>
      <c r="S217" s="62">
        <v>0</v>
      </c>
      <c r="T217" s="112">
        <v>-2.2000000000000001E-3</v>
      </c>
      <c r="U217" s="105"/>
      <c r="V217" s="209"/>
      <c r="W217" s="71"/>
      <c r="X217" s="71"/>
      <c r="Y217" s="71"/>
      <c r="Z217" s="71"/>
      <c r="AA217" s="189"/>
      <c r="AB217" s="147"/>
      <c r="AC217" s="191"/>
      <c r="AD217" s="39"/>
      <c r="AE217" s="39"/>
      <c r="AF217" s="39"/>
      <c r="AG217" s="179"/>
      <c r="AH217" s="192"/>
    </row>
    <row r="218" spans="1:34">
      <c r="A218" s="192"/>
      <c r="B218" s="179"/>
      <c r="C218" s="39"/>
      <c r="D218" s="39"/>
      <c r="E218" s="39"/>
      <c r="F218" s="39"/>
      <c r="G218" s="39">
        <v>30</v>
      </c>
      <c r="H218" s="218"/>
      <c r="I218" s="219"/>
      <c r="J218" s="219"/>
      <c r="K218" s="220"/>
      <c r="L218" s="219"/>
      <c r="M218" s="221">
        <v>30</v>
      </c>
      <c r="N218" s="62">
        <v>0</v>
      </c>
      <c r="O218" s="214">
        <v>0</v>
      </c>
      <c r="P218" s="62">
        <v>0</v>
      </c>
      <c r="Q218" s="62"/>
      <c r="R218" s="115">
        <v>0</v>
      </c>
      <c r="S218" s="62">
        <v>0</v>
      </c>
      <c r="T218" s="112">
        <v>29.9895</v>
      </c>
      <c r="U218" s="105"/>
      <c r="V218" s="209"/>
      <c r="W218" s="71"/>
      <c r="X218" s="71"/>
      <c r="Y218" s="71"/>
      <c r="Z218" s="71"/>
      <c r="AA218" s="189"/>
      <c r="AB218" s="147"/>
      <c r="AC218" s="191"/>
      <c r="AD218" s="39"/>
      <c r="AE218" s="39"/>
      <c r="AF218" s="39"/>
      <c r="AG218" s="179"/>
      <c r="AH218" s="192"/>
    </row>
    <row r="219" spans="1:34">
      <c r="A219" s="192"/>
      <c r="B219" s="179"/>
      <c r="C219" s="39"/>
      <c r="D219" s="39"/>
      <c r="E219" s="39"/>
      <c r="F219" s="39"/>
      <c r="G219" s="39">
        <v>60</v>
      </c>
      <c r="H219" s="218"/>
      <c r="I219" s="219"/>
      <c r="J219" s="219"/>
      <c r="K219" s="220"/>
      <c r="L219" s="219"/>
      <c r="M219" s="221">
        <v>60</v>
      </c>
      <c r="N219" s="62">
        <v>0</v>
      </c>
      <c r="O219" s="214">
        <v>0</v>
      </c>
      <c r="P219" s="62">
        <v>0</v>
      </c>
      <c r="Q219" s="62"/>
      <c r="R219" s="115">
        <v>0</v>
      </c>
      <c r="S219" s="62">
        <v>0</v>
      </c>
      <c r="T219" s="112">
        <v>59.982999999999997</v>
      </c>
      <c r="U219" s="105"/>
      <c r="V219" s="209"/>
      <c r="W219" s="71"/>
      <c r="X219" s="71"/>
      <c r="Y219" s="71"/>
      <c r="Z219" s="71"/>
      <c r="AA219" s="189"/>
      <c r="AB219" s="147"/>
      <c r="AC219" s="191"/>
      <c r="AD219" s="39"/>
      <c r="AE219" s="39"/>
      <c r="AF219" s="39"/>
      <c r="AG219" s="179"/>
      <c r="AH219" s="192"/>
    </row>
    <row r="220" spans="1:34">
      <c r="A220" s="192"/>
      <c r="B220" s="179"/>
      <c r="C220" s="39"/>
      <c r="D220" s="39"/>
      <c r="E220" s="39"/>
      <c r="F220" s="39"/>
      <c r="G220" s="39">
        <v>90</v>
      </c>
      <c r="H220" s="218"/>
      <c r="I220" s="219"/>
      <c r="J220" s="219"/>
      <c r="K220" s="220"/>
      <c r="L220" s="219"/>
      <c r="M220" s="221">
        <v>90</v>
      </c>
      <c r="N220" s="62">
        <v>0</v>
      </c>
      <c r="O220" s="214">
        <v>0</v>
      </c>
      <c r="P220" s="62">
        <v>0</v>
      </c>
      <c r="Q220" s="62"/>
      <c r="R220" s="115">
        <v>0</v>
      </c>
      <c r="S220" s="62">
        <v>0</v>
      </c>
      <c r="T220" s="112">
        <v>89.983699999999999</v>
      </c>
      <c r="U220" s="105"/>
      <c r="V220" s="209"/>
      <c r="W220" s="71"/>
      <c r="X220" s="71"/>
      <c r="Y220" s="71"/>
      <c r="Z220" s="71"/>
      <c r="AA220" s="189"/>
      <c r="AB220" s="147"/>
      <c r="AC220" s="191"/>
      <c r="AD220" s="39"/>
      <c r="AE220" s="39"/>
      <c r="AF220" s="39"/>
      <c r="AG220" s="179"/>
      <c r="AH220" s="192"/>
    </row>
    <row r="221" spans="1:34">
      <c r="A221" s="192"/>
      <c r="B221" s="179"/>
      <c r="C221" s="39"/>
      <c r="D221" s="39"/>
      <c r="E221" s="39"/>
      <c r="F221" s="39"/>
      <c r="G221" s="39">
        <v>60</v>
      </c>
      <c r="H221" s="218"/>
      <c r="I221" s="219"/>
      <c r="J221" s="219"/>
      <c r="K221" s="220"/>
      <c r="L221" s="219"/>
      <c r="M221" s="221">
        <v>60</v>
      </c>
      <c r="N221" s="62">
        <v>0</v>
      </c>
      <c r="O221" s="214">
        <v>0</v>
      </c>
      <c r="P221" s="62">
        <v>0</v>
      </c>
      <c r="Q221" s="62"/>
      <c r="R221" s="115">
        <v>0</v>
      </c>
      <c r="S221" s="62">
        <v>0</v>
      </c>
      <c r="T221" s="112">
        <v>59.983800000000002</v>
      </c>
      <c r="U221" s="105"/>
      <c r="V221" s="209"/>
      <c r="W221" s="71"/>
      <c r="X221" s="71"/>
      <c r="Y221" s="71"/>
      <c r="Z221" s="71"/>
      <c r="AA221" s="189"/>
      <c r="AB221" s="147"/>
      <c r="AC221" s="191"/>
      <c r="AD221" s="39"/>
      <c r="AE221" s="39"/>
      <c r="AF221" s="39"/>
      <c r="AG221" s="179"/>
      <c r="AH221" s="192"/>
    </row>
    <row r="222" spans="1:34">
      <c r="A222" s="192"/>
      <c r="B222" s="179"/>
      <c r="C222" s="39"/>
      <c r="D222" s="39"/>
      <c r="E222" s="39"/>
      <c r="F222" s="39"/>
      <c r="G222" s="39">
        <v>30</v>
      </c>
      <c r="H222" s="218"/>
      <c r="I222" s="219"/>
      <c r="J222" s="219"/>
      <c r="K222" s="220"/>
      <c r="L222" s="219"/>
      <c r="M222" s="221">
        <v>30</v>
      </c>
      <c r="N222" s="62">
        <v>0</v>
      </c>
      <c r="O222" s="214">
        <v>0</v>
      </c>
      <c r="P222" s="62">
        <v>0</v>
      </c>
      <c r="Q222" s="62"/>
      <c r="R222" s="115">
        <v>0</v>
      </c>
      <c r="S222" s="62">
        <v>0</v>
      </c>
      <c r="T222" s="112">
        <v>29.99</v>
      </c>
      <c r="U222" s="105"/>
      <c r="V222" s="209"/>
      <c r="W222" s="71"/>
      <c r="X222" s="71"/>
      <c r="Y222" s="71"/>
      <c r="Z222" s="71"/>
      <c r="AA222" s="189"/>
      <c r="AB222" s="147"/>
      <c r="AC222" s="191"/>
      <c r="AD222" s="39"/>
      <c r="AE222" s="39"/>
      <c r="AF222" s="39"/>
      <c r="AG222" s="179"/>
      <c r="AH222" s="192"/>
    </row>
    <row r="223" spans="1:34">
      <c r="A223" s="192"/>
      <c r="B223" s="179"/>
      <c r="C223" s="39"/>
      <c r="D223" s="39"/>
      <c r="E223" s="39"/>
      <c r="F223" s="39"/>
      <c r="G223" s="39">
        <v>0</v>
      </c>
      <c r="H223" s="218"/>
      <c r="I223" s="219"/>
      <c r="J223" s="219"/>
      <c r="K223" s="220"/>
      <c r="L223" s="219"/>
      <c r="M223" s="221">
        <v>0</v>
      </c>
      <c r="N223" s="62">
        <v>0</v>
      </c>
      <c r="O223" s="214">
        <v>0</v>
      </c>
      <c r="P223" s="62">
        <v>0</v>
      </c>
      <c r="Q223" s="62"/>
      <c r="R223" s="115">
        <v>0</v>
      </c>
      <c r="S223" s="62">
        <v>0</v>
      </c>
      <c r="T223" s="112">
        <v>-2.2000000000000001E-3</v>
      </c>
      <c r="U223" s="105"/>
      <c r="V223" s="209"/>
      <c r="W223" s="71"/>
      <c r="X223" s="71"/>
      <c r="Y223" s="71"/>
      <c r="Z223" s="71"/>
      <c r="AA223" s="189"/>
      <c r="AB223" s="147"/>
      <c r="AC223" s="191"/>
      <c r="AD223" s="39"/>
      <c r="AE223" s="39"/>
      <c r="AF223" s="39"/>
      <c r="AG223" s="179"/>
      <c r="AH223" s="192"/>
    </row>
    <row r="224" spans="1:34">
      <c r="A224" s="192"/>
      <c r="B224" s="179"/>
      <c r="C224" s="39"/>
      <c r="D224" s="39"/>
      <c r="E224" s="39"/>
      <c r="F224" s="39"/>
      <c r="G224" s="39">
        <v>-30</v>
      </c>
      <c r="H224" s="218"/>
      <c r="I224" s="219"/>
      <c r="J224" s="219"/>
      <c r="K224" s="220"/>
      <c r="L224" s="219"/>
      <c r="M224" s="221">
        <v>-30</v>
      </c>
      <c r="N224" s="62">
        <v>0</v>
      </c>
      <c r="O224" s="214">
        <v>0</v>
      </c>
      <c r="P224" s="62">
        <v>0</v>
      </c>
      <c r="Q224" s="62"/>
      <c r="R224" s="115">
        <v>0</v>
      </c>
      <c r="S224" s="62">
        <v>0</v>
      </c>
      <c r="T224" s="112">
        <v>-30.008800000000001</v>
      </c>
      <c r="U224" s="105"/>
      <c r="V224" s="209"/>
      <c r="W224" s="71"/>
      <c r="X224" s="71"/>
      <c r="Y224" s="71"/>
      <c r="Z224" s="71"/>
      <c r="AA224" s="189"/>
      <c r="AB224" s="147"/>
      <c r="AC224" s="191"/>
      <c r="AD224" s="39"/>
      <c r="AE224" s="39"/>
      <c r="AF224" s="39"/>
      <c r="AG224" s="179"/>
      <c r="AH224" s="192"/>
    </row>
    <row r="225" spans="1:34">
      <c r="A225" s="192"/>
      <c r="B225" s="179"/>
      <c r="C225" s="39"/>
      <c r="D225" s="39"/>
      <c r="E225" s="39"/>
      <c r="F225" s="39"/>
      <c r="G225" s="39">
        <v>-60</v>
      </c>
      <c r="H225" s="218"/>
      <c r="I225" s="219"/>
      <c r="J225" s="219"/>
      <c r="K225" s="220"/>
      <c r="L225" s="219"/>
      <c r="M225" s="221">
        <v>-60</v>
      </c>
      <c r="N225" s="62">
        <v>0</v>
      </c>
      <c r="O225" s="214">
        <v>0</v>
      </c>
      <c r="P225" s="62">
        <v>0</v>
      </c>
      <c r="Q225" s="62"/>
      <c r="R225" s="115">
        <v>0</v>
      </c>
      <c r="S225" s="62">
        <v>0</v>
      </c>
      <c r="T225" s="112">
        <v>-60.0182</v>
      </c>
      <c r="U225" s="283">
        <v>-60.017800000000001</v>
      </c>
      <c r="V225" s="209"/>
      <c r="W225" s="71"/>
      <c r="X225" s="71"/>
      <c r="Y225" s="71"/>
      <c r="Z225" s="71"/>
      <c r="AA225" s="189"/>
      <c r="AB225" s="147"/>
      <c r="AC225" s="191"/>
      <c r="AD225" s="39"/>
      <c r="AE225" s="39"/>
      <c r="AF225" s="39"/>
      <c r="AG225" s="179"/>
      <c r="AH225" s="192"/>
    </row>
    <row r="226" spans="1:34">
      <c r="A226" s="192"/>
      <c r="B226" s="179"/>
      <c r="C226" s="39"/>
      <c r="D226" s="39"/>
      <c r="E226" s="39"/>
      <c r="F226" s="39"/>
      <c r="G226" s="39">
        <v>-90</v>
      </c>
      <c r="H226" s="218"/>
      <c r="I226" s="219"/>
      <c r="J226" s="219"/>
      <c r="K226" s="220"/>
      <c r="L226" s="219"/>
      <c r="M226" s="221">
        <v>-90</v>
      </c>
      <c r="N226" s="62">
        <v>0</v>
      </c>
      <c r="O226" s="214">
        <v>0</v>
      </c>
      <c r="P226" s="62">
        <v>0</v>
      </c>
      <c r="Q226" s="62"/>
      <c r="R226" s="115">
        <v>0</v>
      </c>
      <c r="S226" s="62">
        <v>0</v>
      </c>
      <c r="T226" s="112">
        <v>-90.041899999999998</v>
      </c>
      <c r="U226" s="105"/>
      <c r="V226" s="209"/>
      <c r="W226" s="71"/>
      <c r="X226" s="71"/>
      <c r="Y226" s="71"/>
      <c r="Z226" s="71"/>
      <c r="AA226" s="189"/>
      <c r="AB226" s="147"/>
      <c r="AC226" s="191"/>
      <c r="AD226" s="39"/>
      <c r="AE226" s="39"/>
      <c r="AF226" s="39"/>
      <c r="AG226" s="179"/>
      <c r="AH226" s="192"/>
    </row>
    <row r="227" spans="1:34">
      <c r="A227" s="192"/>
      <c r="B227" s="179"/>
      <c r="C227" s="39"/>
      <c r="D227" s="39"/>
      <c r="E227" s="39"/>
      <c r="F227" s="39"/>
      <c r="G227" s="39">
        <v>-60</v>
      </c>
      <c r="H227" s="218"/>
      <c r="I227" s="219"/>
      <c r="J227" s="219"/>
      <c r="K227" s="220"/>
      <c r="L227" s="219"/>
      <c r="M227" s="221">
        <v>-60</v>
      </c>
      <c r="N227" s="62">
        <v>0</v>
      </c>
      <c r="O227" s="214">
        <v>0</v>
      </c>
      <c r="P227" s="62">
        <v>0</v>
      </c>
      <c r="Q227" s="62"/>
      <c r="R227" s="115">
        <v>0</v>
      </c>
      <c r="S227" s="62">
        <v>0</v>
      </c>
      <c r="T227" s="112">
        <v>-60.017899999999997</v>
      </c>
      <c r="U227" s="105"/>
      <c r="V227" s="209"/>
      <c r="W227" s="71"/>
      <c r="X227" s="71"/>
      <c r="Y227" s="71"/>
      <c r="Z227" s="71"/>
      <c r="AA227" s="189"/>
      <c r="AB227" s="147"/>
      <c r="AC227" s="191"/>
      <c r="AD227" s="39"/>
      <c r="AE227" s="39"/>
      <c r="AF227" s="39"/>
      <c r="AG227" s="179"/>
      <c r="AH227" s="192"/>
    </row>
    <row r="228" spans="1:34">
      <c r="A228" s="192"/>
      <c r="B228" s="179"/>
      <c r="C228" s="39"/>
      <c r="D228" s="39"/>
      <c r="E228" s="39"/>
      <c r="F228" s="39"/>
      <c r="G228" s="39">
        <v>-30</v>
      </c>
      <c r="H228" s="218"/>
      <c r="I228" s="219"/>
      <c r="J228" s="219"/>
      <c r="K228" s="220"/>
      <c r="L228" s="219"/>
      <c r="M228" s="221">
        <v>-30</v>
      </c>
      <c r="N228" s="62">
        <v>0</v>
      </c>
      <c r="O228" s="214">
        <v>0</v>
      </c>
      <c r="P228" s="62">
        <v>0</v>
      </c>
      <c r="Q228" s="62"/>
      <c r="R228" s="115">
        <v>0</v>
      </c>
      <c r="S228" s="62">
        <v>0</v>
      </c>
      <c r="T228" s="112">
        <v>-30.009699999999999</v>
      </c>
      <c r="U228" s="105"/>
      <c r="V228" s="209"/>
      <c r="W228" s="71"/>
      <c r="X228" s="71"/>
      <c r="Y228" s="71"/>
      <c r="Z228" s="71"/>
      <c r="AA228" s="39"/>
      <c r="AB228" s="71"/>
      <c r="AC228" s="71"/>
      <c r="AD228" s="178"/>
      <c r="AE228" s="39"/>
      <c r="AF228" s="39"/>
      <c r="AG228" s="179"/>
      <c r="AH228" s="39"/>
    </row>
    <row r="229" spans="1:34">
      <c r="A229" s="192"/>
      <c r="B229" s="179"/>
      <c r="C229" s="39"/>
      <c r="D229" s="39"/>
      <c r="E229" s="39"/>
      <c r="F229" s="39"/>
      <c r="G229" s="39">
        <v>0</v>
      </c>
      <c r="H229" s="234"/>
      <c r="I229" s="151"/>
      <c r="J229" s="151"/>
      <c r="K229" s="235"/>
      <c r="L229" s="151"/>
      <c r="M229" s="158">
        <v>0</v>
      </c>
      <c r="N229" s="147">
        <v>0</v>
      </c>
      <c r="O229" s="147">
        <v>0</v>
      </c>
      <c r="P229" s="147">
        <v>0</v>
      </c>
      <c r="Q229" s="147"/>
      <c r="R229" s="72">
        <v>0</v>
      </c>
      <c r="S229" s="147">
        <v>0</v>
      </c>
      <c r="T229" s="159">
        <v>-1.6999999999999999E-3</v>
      </c>
      <c r="U229" s="105"/>
      <c r="V229" s="209"/>
      <c r="W229" s="71"/>
      <c r="X229" s="71"/>
      <c r="Y229" s="71"/>
      <c r="Z229" s="71"/>
      <c r="AA229" s="189"/>
      <c r="AB229" s="157"/>
      <c r="AC229" s="151"/>
      <c r="AD229" s="284"/>
      <c r="AE229" s="39"/>
      <c r="AF229" s="39"/>
      <c r="AG229" s="179"/>
      <c r="AH229" s="39"/>
    </row>
    <row r="230" spans="1:34">
      <c r="A230" s="180"/>
      <c r="B230" s="180" t="s">
        <v>83</v>
      </c>
      <c r="C230" s="5"/>
      <c r="D230" s="5"/>
      <c r="E230" s="5"/>
      <c r="F230" s="5"/>
      <c r="G230" s="5"/>
      <c r="H230" s="256"/>
      <c r="I230" s="257"/>
      <c r="J230" s="257"/>
      <c r="K230" s="258"/>
      <c r="L230" s="257"/>
      <c r="M230" s="259"/>
      <c r="N230" s="73"/>
      <c r="O230" s="73"/>
      <c r="P230" s="73"/>
      <c r="Q230" s="73"/>
      <c r="R230" s="260"/>
      <c r="S230" s="73"/>
      <c r="T230" s="74"/>
      <c r="U230" s="230"/>
      <c r="V230" s="209"/>
      <c r="W230" s="71"/>
      <c r="X230" s="71"/>
      <c r="Y230" s="71"/>
      <c r="Z230" s="71"/>
      <c r="AA230" s="189"/>
      <c r="AB230" s="162"/>
      <c r="AC230" s="151"/>
      <c r="AD230" s="284"/>
      <c r="AE230" s="39"/>
      <c r="AF230" s="39"/>
      <c r="AG230" s="179"/>
      <c r="AH230" s="39"/>
    </row>
    <row r="231" spans="1:34">
      <c r="A231" s="192"/>
      <c r="B231" s="179"/>
      <c r="C231" s="39"/>
      <c r="D231" s="39"/>
      <c r="E231" s="39"/>
      <c r="F231" s="39"/>
      <c r="G231" s="39">
        <v>0</v>
      </c>
      <c r="H231" s="218"/>
      <c r="I231" s="219"/>
      <c r="J231" s="219"/>
      <c r="K231" s="220"/>
      <c r="L231" s="219"/>
      <c r="M231" s="221">
        <v>0</v>
      </c>
      <c r="N231" s="62">
        <v>0</v>
      </c>
      <c r="O231" s="62">
        <v>0</v>
      </c>
      <c r="P231" s="62">
        <v>0</v>
      </c>
      <c r="Q231" s="62"/>
      <c r="R231" s="115">
        <v>0</v>
      </c>
      <c r="S231" s="62">
        <v>0</v>
      </c>
      <c r="T231" s="112">
        <v>-2.3E-3</v>
      </c>
      <c r="U231" s="105"/>
      <c r="V231" s="209"/>
      <c r="W231" s="71"/>
      <c r="X231" s="71"/>
      <c r="Y231" s="71"/>
      <c r="Z231" s="71"/>
      <c r="AA231" s="189"/>
      <c r="AB231" s="147"/>
      <c r="AC231" s="191"/>
      <c r="AD231" s="39"/>
      <c r="AE231" s="39"/>
      <c r="AF231" s="39"/>
      <c r="AG231" s="179"/>
      <c r="AH231" s="192"/>
    </row>
    <row r="232" spans="1:34">
      <c r="A232" s="192"/>
      <c r="B232" s="179"/>
      <c r="C232" s="39"/>
      <c r="D232" s="39"/>
      <c r="E232" s="39"/>
      <c r="F232" s="39"/>
      <c r="G232" s="39">
        <v>30</v>
      </c>
      <c r="H232" s="218"/>
      <c r="I232" s="219"/>
      <c r="J232" s="219"/>
      <c r="K232" s="220"/>
      <c r="L232" s="219"/>
      <c r="M232" s="221"/>
      <c r="N232" s="62"/>
      <c r="O232" s="214"/>
      <c r="P232" s="62"/>
      <c r="Q232" s="62"/>
      <c r="R232" s="115"/>
      <c r="S232" s="62"/>
      <c r="T232" s="112"/>
      <c r="U232" s="105"/>
      <c r="V232" s="209"/>
      <c r="W232" s="71"/>
      <c r="X232" s="71"/>
      <c r="Y232" s="71"/>
      <c r="Z232" s="71"/>
      <c r="AA232" s="189"/>
      <c r="AB232" s="147"/>
      <c r="AC232" s="191"/>
      <c r="AD232" s="39"/>
      <c r="AE232" s="39"/>
      <c r="AF232" s="39"/>
      <c r="AG232" s="179"/>
      <c r="AH232" s="192"/>
    </row>
    <row r="233" spans="1:34">
      <c r="A233" s="192"/>
      <c r="B233" s="179"/>
      <c r="C233" s="39"/>
      <c r="D233" s="39"/>
      <c r="E233" s="39"/>
      <c r="F233" s="39"/>
      <c r="G233" s="39">
        <v>60</v>
      </c>
      <c r="H233" s="218"/>
      <c r="I233" s="219"/>
      <c r="J233" s="219"/>
      <c r="K233" s="220"/>
      <c r="L233" s="219"/>
      <c r="M233" s="221"/>
      <c r="N233" s="62"/>
      <c r="O233" s="214"/>
      <c r="P233" s="62"/>
      <c r="Q233" s="62"/>
      <c r="R233" s="115"/>
      <c r="S233" s="62"/>
      <c r="T233" s="112"/>
      <c r="U233" s="105"/>
      <c r="V233" s="188"/>
      <c r="W233" s="188"/>
      <c r="X233" s="188"/>
      <c r="Y233" s="188"/>
      <c r="Z233" s="188"/>
      <c r="AA233" s="189"/>
      <c r="AB233" s="190"/>
      <c r="AC233" s="191"/>
      <c r="AD233" s="192"/>
      <c r="AE233" s="192"/>
      <c r="AF233" s="192"/>
      <c r="AG233" s="179"/>
      <c r="AH233" s="192"/>
    </row>
    <row r="234" spans="1:34">
      <c r="A234" s="192"/>
      <c r="B234" s="179"/>
      <c r="C234" s="39"/>
      <c r="D234" s="39"/>
      <c r="E234" s="39"/>
      <c r="F234" s="39"/>
      <c r="G234" s="39">
        <v>90</v>
      </c>
      <c r="H234" s="218"/>
      <c r="I234" s="219"/>
      <c r="J234" s="219"/>
      <c r="K234" s="220"/>
      <c r="L234" s="219"/>
      <c r="M234" s="221"/>
      <c r="N234" s="62"/>
      <c r="O234" s="214"/>
      <c r="P234" s="62"/>
      <c r="Q234" s="62"/>
      <c r="R234" s="115"/>
      <c r="S234" s="62"/>
      <c r="T234" s="112"/>
      <c r="U234" s="105"/>
      <c r="V234" s="188"/>
      <c r="W234" s="188"/>
      <c r="X234" s="188"/>
      <c r="Y234" s="188"/>
      <c r="Z234" s="188"/>
      <c r="AA234" s="189"/>
      <c r="AB234" s="190"/>
      <c r="AC234" s="191"/>
      <c r="AD234" s="192"/>
      <c r="AE234" s="192"/>
      <c r="AF234" s="192"/>
      <c r="AG234" s="179"/>
      <c r="AH234" s="192"/>
    </row>
    <row r="235" spans="1:34">
      <c r="A235" s="192"/>
      <c r="B235" s="179"/>
      <c r="C235" s="39"/>
      <c r="D235" s="39"/>
      <c r="E235" s="39"/>
      <c r="F235" s="39"/>
      <c r="G235" s="39">
        <v>60</v>
      </c>
      <c r="H235" s="218"/>
      <c r="I235" s="219"/>
      <c r="J235" s="219"/>
      <c r="K235" s="220"/>
      <c r="L235" s="219"/>
      <c r="M235" s="221"/>
      <c r="N235" s="62"/>
      <c r="O235" s="214"/>
      <c r="P235" s="62"/>
      <c r="Q235" s="62"/>
      <c r="R235" s="115"/>
      <c r="S235" s="62"/>
      <c r="T235" s="112"/>
      <c r="U235" s="105"/>
      <c r="V235" s="188"/>
      <c r="W235" s="188"/>
      <c r="X235" s="188"/>
      <c r="Y235" s="188"/>
      <c r="Z235" s="188"/>
      <c r="AA235" s="189"/>
      <c r="AB235" s="190"/>
      <c r="AC235" s="191"/>
      <c r="AD235" s="192"/>
      <c r="AE235" s="192"/>
      <c r="AF235" s="192"/>
      <c r="AG235" s="179"/>
      <c r="AH235" s="192"/>
    </row>
    <row r="236" spans="1:34">
      <c r="A236" s="192"/>
      <c r="B236" s="179"/>
      <c r="C236" s="39"/>
      <c r="D236" s="39"/>
      <c r="E236" s="39"/>
      <c r="F236" s="39"/>
      <c r="G236" s="39">
        <v>30</v>
      </c>
      <c r="H236" s="218"/>
      <c r="I236" s="219"/>
      <c r="J236" s="219"/>
      <c r="K236" s="220"/>
      <c r="L236" s="219"/>
      <c r="M236" s="221"/>
      <c r="N236" s="62"/>
      <c r="O236" s="214"/>
      <c r="P236" s="62"/>
      <c r="Q236" s="62"/>
      <c r="R236" s="115"/>
      <c r="S236" s="62"/>
      <c r="T236" s="112"/>
      <c r="U236" s="105"/>
      <c r="V236" s="188"/>
      <c r="W236" s="188"/>
      <c r="X236" s="188"/>
      <c r="Y236" s="188"/>
      <c r="Z236" s="188"/>
      <c r="AA236" s="189"/>
      <c r="AB236" s="190"/>
      <c r="AC236" s="191"/>
      <c r="AD236" s="192"/>
      <c r="AE236" s="192"/>
      <c r="AF236" s="192"/>
      <c r="AG236" s="179"/>
      <c r="AH236" s="192"/>
    </row>
    <row r="237" spans="1:34">
      <c r="A237" s="192"/>
      <c r="B237" s="179"/>
      <c r="C237" s="39"/>
      <c r="D237" s="39"/>
      <c r="E237" s="39"/>
      <c r="F237" s="39"/>
      <c r="G237" s="39">
        <v>0</v>
      </c>
      <c r="H237" s="218"/>
      <c r="I237" s="219"/>
      <c r="J237" s="219"/>
      <c r="K237" s="220"/>
      <c r="L237" s="219"/>
      <c r="M237" s="221"/>
      <c r="N237" s="62"/>
      <c r="O237" s="214"/>
      <c r="P237" s="62"/>
      <c r="Q237" s="62"/>
      <c r="R237" s="115"/>
      <c r="S237" s="62"/>
      <c r="T237" s="112"/>
      <c r="U237" s="105"/>
      <c r="V237" s="188"/>
      <c r="W237" s="188"/>
      <c r="X237" s="188"/>
      <c r="Y237" s="188"/>
      <c r="Z237" s="188"/>
      <c r="AA237" s="189"/>
      <c r="AB237" s="190"/>
      <c r="AC237" s="191"/>
      <c r="AD237" s="192"/>
      <c r="AE237" s="192"/>
      <c r="AF237" s="192"/>
      <c r="AG237" s="179"/>
      <c r="AH237" s="192"/>
    </row>
    <row r="238" spans="1:34">
      <c r="A238" s="192"/>
      <c r="B238" s="179"/>
      <c r="C238" s="39"/>
      <c r="D238" s="39"/>
      <c r="E238" s="39"/>
      <c r="F238" s="39"/>
      <c r="G238" s="39">
        <v>-30</v>
      </c>
      <c r="H238" s="218"/>
      <c r="I238" s="219"/>
      <c r="J238" s="219"/>
      <c r="K238" s="220"/>
      <c r="L238" s="219"/>
      <c r="M238" s="221"/>
      <c r="N238" s="62"/>
      <c r="O238" s="214"/>
      <c r="P238" s="62"/>
      <c r="Q238" s="62"/>
      <c r="R238" s="115"/>
      <c r="S238" s="62"/>
      <c r="T238" s="112"/>
      <c r="U238" s="105"/>
      <c r="V238" s="188"/>
      <c r="W238" s="188"/>
      <c r="X238" s="188"/>
      <c r="Y238" s="188"/>
      <c r="Z238" s="188"/>
      <c r="AA238" s="189"/>
      <c r="AB238" s="190"/>
      <c r="AC238" s="191"/>
      <c r="AD238" s="192"/>
      <c r="AE238" s="192"/>
      <c r="AF238" s="192"/>
      <c r="AG238" s="179"/>
      <c r="AH238" s="192"/>
    </row>
    <row r="239" spans="1:34">
      <c r="A239" s="192"/>
      <c r="B239" s="179"/>
      <c r="C239" s="39"/>
      <c r="D239" s="39"/>
      <c r="E239" s="39"/>
      <c r="F239" s="39"/>
      <c r="G239" s="39">
        <v>-60</v>
      </c>
      <c r="H239" s="218"/>
      <c r="I239" s="219"/>
      <c r="J239" s="219"/>
      <c r="K239" s="220"/>
      <c r="L239" s="219"/>
      <c r="M239" s="221"/>
      <c r="N239" s="62"/>
      <c r="O239" s="214"/>
      <c r="P239" s="62"/>
      <c r="Q239" s="62"/>
      <c r="R239" s="115"/>
      <c r="S239" s="62"/>
      <c r="T239" s="112"/>
      <c r="U239" s="105"/>
      <c r="V239" s="188"/>
      <c r="W239" s="188"/>
      <c r="X239" s="188"/>
      <c r="Y239" s="188"/>
      <c r="Z239" s="188"/>
      <c r="AA239" s="189"/>
      <c r="AB239" s="190"/>
      <c r="AC239" s="191"/>
      <c r="AD239" s="192"/>
      <c r="AE239" s="192"/>
      <c r="AF239" s="192"/>
      <c r="AG239" s="179"/>
      <c r="AH239" s="192"/>
    </row>
    <row r="240" spans="1:34">
      <c r="A240" s="192"/>
      <c r="B240" s="179"/>
      <c r="C240" s="39"/>
      <c r="D240" s="39"/>
      <c r="E240" s="39"/>
      <c r="F240" s="39"/>
      <c r="G240" s="39">
        <v>-90</v>
      </c>
      <c r="H240" s="218"/>
      <c r="I240" s="219"/>
      <c r="J240" s="219"/>
      <c r="K240" s="220"/>
      <c r="L240" s="219"/>
      <c r="M240" s="221"/>
      <c r="N240" s="62"/>
      <c r="O240" s="214"/>
      <c r="P240" s="62"/>
      <c r="Q240" s="62"/>
      <c r="R240" s="115"/>
      <c r="S240" s="62"/>
      <c r="T240" s="112"/>
      <c r="U240" s="105"/>
      <c r="V240" s="188"/>
      <c r="W240" s="188"/>
      <c r="X240" s="188"/>
      <c r="Y240" s="188"/>
      <c r="Z240" s="188"/>
      <c r="AA240" s="189"/>
      <c r="AB240" s="190"/>
      <c r="AC240" s="191"/>
      <c r="AD240" s="192"/>
      <c r="AE240" s="192"/>
      <c r="AF240" s="192"/>
      <c r="AG240" s="179"/>
      <c r="AH240" s="192"/>
    </row>
    <row r="241" spans="1:34">
      <c r="A241" s="192"/>
      <c r="B241" s="179"/>
      <c r="C241" s="39"/>
      <c r="D241" s="39"/>
      <c r="E241" s="39"/>
      <c r="F241" s="39"/>
      <c r="G241" s="39">
        <v>-60</v>
      </c>
      <c r="H241" s="218"/>
      <c r="I241" s="219"/>
      <c r="J241" s="219"/>
      <c r="K241" s="220"/>
      <c r="L241" s="219"/>
      <c r="M241" s="221"/>
      <c r="N241" s="62"/>
      <c r="O241" s="214"/>
      <c r="P241" s="62"/>
      <c r="Q241" s="62"/>
      <c r="R241" s="115"/>
      <c r="S241" s="62"/>
      <c r="T241" s="112"/>
      <c r="U241" s="105"/>
      <c r="V241" s="188"/>
      <c r="W241" s="188"/>
      <c r="X241" s="188"/>
      <c r="Y241" s="188"/>
      <c r="Z241" s="188"/>
      <c r="AA241" s="189"/>
      <c r="AB241" s="190"/>
      <c r="AC241" s="191"/>
      <c r="AD241" s="192"/>
      <c r="AE241" s="192"/>
      <c r="AF241" s="192"/>
      <c r="AG241" s="179"/>
      <c r="AH241" s="192"/>
    </row>
    <row r="242" spans="1:34">
      <c r="A242" s="192"/>
      <c r="B242" s="179"/>
      <c r="C242" s="39"/>
      <c r="D242" s="39"/>
      <c r="E242" s="39"/>
      <c r="F242" s="39"/>
      <c r="G242" s="39">
        <v>-30</v>
      </c>
      <c r="H242" s="218"/>
      <c r="I242" s="219"/>
      <c r="J242" s="219"/>
      <c r="K242" s="220"/>
      <c r="L242" s="219"/>
      <c r="M242" s="221"/>
      <c r="N242" s="62"/>
      <c r="O242" s="214"/>
      <c r="P242" s="62"/>
      <c r="Q242" s="62"/>
      <c r="R242" s="115"/>
      <c r="S242" s="62"/>
      <c r="T242" s="112"/>
      <c r="U242" s="105"/>
      <c r="V242" s="188"/>
      <c r="W242" s="188"/>
      <c r="X242" s="188"/>
      <c r="Y242" s="188"/>
      <c r="Z242" s="188"/>
      <c r="AA242" s="189"/>
      <c r="AB242" s="190"/>
      <c r="AC242" s="191"/>
      <c r="AD242" s="192"/>
      <c r="AE242" s="192"/>
      <c r="AF242" s="192"/>
      <c r="AG242" s="179"/>
      <c r="AH242" s="192"/>
    </row>
    <row r="243" spans="1:34">
      <c r="A243" s="192"/>
      <c r="B243" s="39"/>
      <c r="C243" s="39"/>
      <c r="D243" s="39"/>
      <c r="E243" s="39"/>
      <c r="F243" s="39"/>
      <c r="G243" s="39">
        <v>0</v>
      </c>
      <c r="H243" s="234"/>
      <c r="I243" s="151"/>
      <c r="J243" s="151"/>
      <c r="K243" s="235"/>
      <c r="L243" s="151"/>
      <c r="M243" s="158"/>
      <c r="N243" s="147"/>
      <c r="O243" s="147"/>
      <c r="P243" s="147"/>
      <c r="Q243" s="147"/>
      <c r="R243" s="72"/>
      <c r="S243" s="147"/>
      <c r="T243" s="159"/>
      <c r="U243" s="105"/>
      <c r="V243" s="188"/>
      <c r="W243" s="188"/>
      <c r="X243" s="188"/>
      <c r="Y243" s="188"/>
      <c r="Z243" s="188"/>
      <c r="AA243" s="189"/>
      <c r="AB243" s="190"/>
      <c r="AC243" s="191"/>
      <c r="AD243" s="192"/>
      <c r="AE243" s="192"/>
      <c r="AF243" s="192"/>
      <c r="AG243" s="179"/>
      <c r="AH243" s="192"/>
    </row>
    <row r="244" spans="1:34">
      <c r="A244" s="192"/>
      <c r="B244" s="39"/>
      <c r="C244" s="39"/>
      <c r="D244" s="39"/>
      <c r="E244" s="39"/>
      <c r="F244" s="39"/>
      <c r="G244" s="39"/>
      <c r="H244" s="234"/>
      <c r="I244" s="151"/>
      <c r="J244" s="151"/>
      <c r="K244" s="235"/>
      <c r="L244" s="151"/>
      <c r="M244" s="158"/>
      <c r="N244" s="147"/>
      <c r="O244" s="147"/>
      <c r="P244" s="147"/>
      <c r="Q244" s="147"/>
      <c r="R244" s="72"/>
      <c r="S244" s="147"/>
      <c r="T244" s="159"/>
      <c r="U244" s="105"/>
      <c r="V244" s="188"/>
      <c r="W244" s="188"/>
      <c r="X244" s="188"/>
      <c r="Y244" s="188"/>
      <c r="Z244" s="188"/>
      <c r="AA244" s="189"/>
      <c r="AB244" s="190"/>
      <c r="AC244" s="191"/>
      <c r="AD244" s="192"/>
      <c r="AE244" s="192"/>
      <c r="AF244" s="192"/>
      <c r="AG244" s="179"/>
      <c r="AH244" s="192"/>
    </row>
    <row r="245" spans="1:34">
      <c r="A245" s="192"/>
      <c r="B245" s="39"/>
      <c r="C245" s="39"/>
      <c r="D245" s="39"/>
      <c r="E245" s="39"/>
      <c r="F245" s="39"/>
      <c r="G245" s="39"/>
      <c r="H245" s="234"/>
      <c r="I245" s="151"/>
      <c r="J245" s="151"/>
      <c r="K245" s="235"/>
      <c r="L245" s="151"/>
      <c r="M245" s="158"/>
      <c r="N245" s="147"/>
      <c r="O245" s="147"/>
      <c r="P245" s="147"/>
      <c r="Q245" s="147"/>
      <c r="R245" s="72"/>
      <c r="S245" s="147"/>
      <c r="T245" s="159"/>
      <c r="U245" s="105"/>
      <c r="V245" s="188"/>
      <c r="W245" s="188"/>
      <c r="X245" s="188"/>
      <c r="Y245" s="188"/>
      <c r="Z245" s="188"/>
      <c r="AA245" s="189"/>
      <c r="AB245" s="190"/>
      <c r="AC245" s="191"/>
      <c r="AD245" s="192"/>
      <c r="AE245" s="192"/>
      <c r="AF245" s="192"/>
      <c r="AG245" s="179"/>
      <c r="AH245" s="192"/>
    </row>
    <row r="246" spans="1:34">
      <c r="A246" s="192"/>
      <c r="B246" s="39"/>
      <c r="C246" s="39"/>
      <c r="D246" s="39"/>
      <c r="E246" s="39"/>
      <c r="F246" s="39"/>
      <c r="G246" s="39"/>
      <c r="H246" s="234"/>
      <c r="I246" s="151"/>
      <c r="J246" s="151"/>
      <c r="K246" s="235"/>
      <c r="L246" s="151"/>
      <c r="M246" s="158"/>
      <c r="N246" s="147"/>
      <c r="O246" s="147"/>
      <c r="P246" s="147"/>
      <c r="Q246" s="147"/>
      <c r="R246" s="72"/>
      <c r="S246" s="147"/>
      <c r="T246" s="159"/>
      <c r="U246" s="105"/>
      <c r="V246" s="188"/>
      <c r="W246" s="188"/>
      <c r="X246" s="188"/>
      <c r="Y246" s="188"/>
      <c r="Z246" s="188"/>
      <c r="AA246" s="189"/>
      <c r="AB246" s="190"/>
      <c r="AC246" s="191"/>
      <c r="AD246" s="192"/>
      <c r="AE246" s="192"/>
      <c r="AF246" s="192"/>
      <c r="AG246" s="179"/>
      <c r="AH246" s="192"/>
    </row>
    <row r="247" spans="1:34">
      <c r="A247" s="192"/>
      <c r="B247" s="39"/>
      <c r="C247" s="39"/>
      <c r="D247" s="39"/>
      <c r="E247" s="39"/>
      <c r="F247" s="39"/>
      <c r="G247" s="39"/>
      <c r="H247" s="234"/>
      <c r="I247" s="151"/>
      <c r="J247" s="151"/>
      <c r="K247" s="235"/>
      <c r="L247" s="151"/>
      <c r="M247" s="158"/>
      <c r="N247" s="147"/>
      <c r="O247" s="147"/>
      <c r="P247" s="147"/>
      <c r="Q247" s="147"/>
      <c r="R247" s="72"/>
      <c r="S247" s="147"/>
      <c r="T247" s="159"/>
      <c r="U247" s="105"/>
      <c r="V247" s="188"/>
      <c r="W247" s="188"/>
      <c r="X247" s="188"/>
      <c r="Y247" s="188"/>
      <c r="Z247" s="188"/>
      <c r="AA247" s="189"/>
      <c r="AB247" s="190"/>
      <c r="AC247" s="191"/>
      <c r="AD247" s="192"/>
      <c r="AE247" s="192"/>
      <c r="AF247" s="192"/>
      <c r="AG247" s="179"/>
      <c r="AH247" s="192"/>
    </row>
    <row r="248" spans="1:34">
      <c r="A248" s="192"/>
      <c r="B248" s="39"/>
      <c r="C248" s="39"/>
      <c r="D248" s="39"/>
      <c r="E248" s="39"/>
      <c r="F248" s="39"/>
      <c r="G248" s="39"/>
      <c r="H248" s="234"/>
      <c r="I248" s="151"/>
      <c r="J248" s="151"/>
      <c r="K248" s="235"/>
      <c r="L248" s="151"/>
      <c r="M248" s="158"/>
      <c r="N248" s="147"/>
      <c r="O248" s="147"/>
      <c r="P248" s="147"/>
      <c r="Q248" s="147"/>
      <c r="R248" s="72"/>
      <c r="S248" s="147"/>
      <c r="T248" s="159"/>
      <c r="U248" s="105"/>
      <c r="V248" s="188"/>
      <c r="W248" s="188"/>
      <c r="X248" s="188"/>
      <c r="Y248" s="188"/>
      <c r="Z248" s="188"/>
      <c r="AA248" s="189"/>
      <c r="AB248" s="190"/>
      <c r="AC248" s="191"/>
      <c r="AD248" s="192"/>
      <c r="AE248" s="192"/>
      <c r="AF248" s="192"/>
      <c r="AG248" s="179"/>
      <c r="AH248" s="192"/>
    </row>
    <row r="249" spans="1:34">
      <c r="A249" s="192"/>
      <c r="B249" s="39"/>
      <c r="C249" s="39"/>
      <c r="D249" s="39"/>
      <c r="E249" s="39"/>
      <c r="F249" s="39"/>
      <c r="G249" s="39"/>
      <c r="H249" s="234"/>
      <c r="I249" s="151"/>
      <c r="J249" s="151"/>
      <c r="K249" s="235"/>
      <c r="L249" s="151"/>
      <c r="M249" s="158"/>
      <c r="N249" s="147"/>
      <c r="O249" s="147"/>
      <c r="P249" s="147"/>
      <c r="Q249" s="147"/>
      <c r="R249" s="72"/>
      <c r="S249" s="147"/>
      <c r="T249" s="159"/>
      <c r="U249" s="105"/>
      <c r="V249" s="188"/>
      <c r="W249" s="188"/>
      <c r="X249" s="188"/>
      <c r="Y249" s="188"/>
      <c r="Z249" s="188"/>
      <c r="AA249" s="189"/>
      <c r="AB249" s="190"/>
      <c r="AC249" s="191"/>
      <c r="AD249" s="192"/>
      <c r="AE249" s="192"/>
      <c r="AF249" s="192"/>
      <c r="AG249" s="179"/>
      <c r="AH249" s="192"/>
    </row>
    <row r="250" spans="1:34">
      <c r="A250" s="192"/>
      <c r="B250" s="39"/>
      <c r="C250" s="39"/>
      <c r="D250" s="39"/>
      <c r="E250" s="39"/>
      <c r="F250" s="39"/>
      <c r="G250" s="39"/>
      <c r="H250" s="234"/>
      <c r="I250" s="151"/>
      <c r="J250" s="151"/>
      <c r="K250" s="235"/>
      <c r="L250" s="151"/>
      <c r="M250" s="158"/>
      <c r="N250" s="147"/>
      <c r="O250" s="147"/>
      <c r="P250" s="147"/>
      <c r="Q250" s="147"/>
      <c r="R250" s="72"/>
      <c r="S250" s="147"/>
      <c r="T250" s="159"/>
      <c r="U250" s="105"/>
      <c r="V250" s="188"/>
      <c r="W250" s="188"/>
      <c r="X250" s="188"/>
      <c r="Y250" s="188"/>
      <c r="Z250" s="188"/>
      <c r="AA250" s="189"/>
      <c r="AB250" s="190"/>
      <c r="AC250" s="191"/>
      <c r="AD250" s="192"/>
      <c r="AE250" s="192"/>
      <c r="AF250" s="192"/>
      <c r="AG250" s="179"/>
      <c r="AH250" s="192"/>
    </row>
    <row r="251" spans="1:34">
      <c r="A251" s="192"/>
      <c r="B251" s="39"/>
      <c r="C251" s="39"/>
      <c r="D251" s="39"/>
      <c r="E251" s="39"/>
      <c r="F251" s="39"/>
      <c r="G251" s="39"/>
      <c r="H251" s="234"/>
      <c r="I251" s="151"/>
      <c r="J251" s="151"/>
      <c r="K251" s="235"/>
      <c r="L251" s="151"/>
      <c r="M251" s="158"/>
      <c r="N251" s="147"/>
      <c r="O251" s="147"/>
      <c r="P251" s="147"/>
      <c r="Q251" s="147"/>
      <c r="R251" s="72"/>
      <c r="S251" s="147"/>
      <c r="T251" s="159"/>
      <c r="U251" s="105"/>
      <c r="V251" s="188"/>
      <c r="W251" s="188"/>
      <c r="X251" s="188"/>
      <c r="Y251" s="188"/>
      <c r="Z251" s="188"/>
      <c r="AA251" s="189"/>
      <c r="AB251" s="190"/>
      <c r="AC251" s="191"/>
      <c r="AD251" s="192"/>
      <c r="AE251" s="192"/>
      <c r="AF251" s="192"/>
      <c r="AG251" s="179"/>
      <c r="AH251" s="192"/>
    </row>
    <row r="252" spans="1:34">
      <c r="A252" s="192"/>
      <c r="B252" s="39"/>
      <c r="C252" s="39"/>
      <c r="D252" s="39"/>
      <c r="E252" s="39"/>
      <c r="F252" s="39"/>
      <c r="G252" s="39"/>
      <c r="H252" s="234"/>
      <c r="I252" s="151"/>
      <c r="J252" s="151"/>
      <c r="K252" s="235"/>
      <c r="L252" s="151"/>
      <c r="M252" s="158"/>
      <c r="N252" s="147"/>
      <c r="O252" s="147"/>
      <c r="P252" s="147"/>
      <c r="Q252" s="147"/>
      <c r="R252" s="72"/>
      <c r="S252" s="147"/>
      <c r="T252" s="159"/>
      <c r="U252" s="105"/>
      <c r="V252" s="188"/>
      <c r="W252" s="188"/>
      <c r="X252" s="188"/>
      <c r="Y252" s="188"/>
      <c r="Z252" s="188"/>
      <c r="AA252" s="189"/>
      <c r="AB252" s="190"/>
      <c r="AC252" s="191"/>
      <c r="AD252" s="192"/>
      <c r="AE252" s="192"/>
      <c r="AF252" s="192"/>
      <c r="AG252" s="179"/>
      <c r="AH252" s="192"/>
    </row>
    <row r="253" spans="1:34">
      <c r="A253" s="192"/>
      <c r="B253" s="39"/>
      <c r="C253" s="39"/>
      <c r="D253" s="39"/>
      <c r="E253" s="39"/>
      <c r="F253" s="39"/>
      <c r="G253" s="39"/>
      <c r="H253" s="234"/>
      <c r="I253" s="151"/>
      <c r="J253" s="151"/>
      <c r="K253" s="235"/>
      <c r="L253" s="151"/>
      <c r="M253" s="158"/>
      <c r="N253" s="147"/>
      <c r="O253" s="147"/>
      <c r="P253" s="147"/>
      <c r="Q253" s="147"/>
      <c r="R253" s="72"/>
      <c r="S253" s="147"/>
      <c r="T253" s="159"/>
      <c r="U253" s="105"/>
      <c r="V253" s="188"/>
      <c r="W253" s="188"/>
      <c r="X253" s="188"/>
      <c r="Y253" s="188"/>
      <c r="Z253" s="188"/>
      <c r="AA253" s="189"/>
      <c r="AB253" s="190"/>
      <c r="AC253" s="191"/>
      <c r="AD253" s="192"/>
      <c r="AE253" s="192"/>
      <c r="AF253" s="192"/>
      <c r="AG253" s="179"/>
      <c r="AH253" s="192"/>
    </row>
    <row r="254" spans="1:34">
      <c r="A254" s="192"/>
      <c r="B254" s="39"/>
      <c r="C254" s="39"/>
      <c r="D254" s="39"/>
      <c r="E254" s="39"/>
      <c r="F254" s="39"/>
      <c r="G254" s="39"/>
      <c r="H254" s="234"/>
      <c r="I254" s="151"/>
      <c r="J254" s="151"/>
      <c r="K254" s="235"/>
      <c r="L254" s="151"/>
      <c r="M254" s="158"/>
      <c r="N254" s="147"/>
      <c r="O254" s="147"/>
      <c r="P254" s="147"/>
      <c r="Q254" s="147"/>
      <c r="R254" s="72"/>
      <c r="S254" s="147"/>
      <c r="T254" s="159"/>
      <c r="U254" s="105"/>
      <c r="V254" s="188"/>
      <c r="W254" s="188"/>
      <c r="X254" s="188"/>
      <c r="Y254" s="188"/>
      <c r="Z254" s="188"/>
      <c r="AA254" s="189"/>
      <c r="AB254" s="190"/>
      <c r="AC254" s="191"/>
      <c r="AD254" s="192"/>
      <c r="AE254" s="192"/>
      <c r="AF254" s="192"/>
      <c r="AG254" s="179"/>
      <c r="AH254" s="192"/>
    </row>
    <row r="255" spans="1:34">
      <c r="A255" s="192"/>
      <c r="B255" s="39"/>
      <c r="C255" s="39"/>
      <c r="D255" s="39"/>
      <c r="E255" s="39"/>
      <c r="F255" s="39"/>
      <c r="G255" s="39"/>
      <c r="H255" s="234"/>
      <c r="I255" s="151"/>
      <c r="J255" s="151"/>
      <c r="K255" s="235"/>
      <c r="L255" s="151"/>
      <c r="M255" s="158"/>
      <c r="N255" s="147"/>
      <c r="O255" s="147"/>
      <c r="P255" s="147"/>
      <c r="Q255" s="147"/>
      <c r="R255" s="72"/>
      <c r="S255" s="147"/>
      <c r="T255" s="159"/>
      <c r="U255" s="105"/>
      <c r="V255" s="188"/>
      <c r="W255" s="188"/>
      <c r="X255" s="188"/>
      <c r="Y255" s="188"/>
      <c r="Z255" s="188"/>
      <c r="AA255" s="189"/>
      <c r="AB255" s="190"/>
      <c r="AC255" s="191"/>
      <c r="AD255" s="192"/>
      <c r="AE255" s="192"/>
      <c r="AF255" s="192"/>
      <c r="AG255" s="179"/>
      <c r="AH255" s="192"/>
    </row>
    <row r="256" spans="1:34">
      <c r="A256" s="192"/>
      <c r="B256" s="39"/>
      <c r="C256" s="39"/>
      <c r="D256" s="39"/>
      <c r="E256" s="39"/>
      <c r="F256" s="39"/>
      <c r="G256" s="39"/>
      <c r="H256" s="234"/>
      <c r="I256" s="151"/>
      <c r="J256" s="151"/>
      <c r="K256" s="235"/>
      <c r="L256" s="151"/>
      <c r="M256" s="158"/>
      <c r="N256" s="147"/>
      <c r="O256" s="147"/>
      <c r="P256" s="147"/>
      <c r="Q256" s="147"/>
      <c r="R256" s="72"/>
      <c r="S256" s="147"/>
      <c r="T256" s="159"/>
      <c r="U256" s="105"/>
      <c r="V256" s="188"/>
      <c r="W256" s="188"/>
      <c r="X256" s="188"/>
      <c r="Y256" s="188"/>
      <c r="Z256" s="188"/>
      <c r="AA256" s="189"/>
      <c r="AB256" s="190"/>
      <c r="AC256" s="191"/>
      <c r="AD256" s="192"/>
      <c r="AE256" s="192"/>
      <c r="AF256" s="192"/>
      <c r="AG256" s="179"/>
      <c r="AH256" s="192"/>
    </row>
    <row r="257" spans="1:34">
      <c r="A257" s="192"/>
      <c r="B257" s="39"/>
      <c r="C257" s="39"/>
      <c r="D257" s="39"/>
      <c r="E257" s="39"/>
      <c r="F257" s="39"/>
      <c r="G257" s="39"/>
      <c r="H257" s="234"/>
      <c r="I257" s="151"/>
      <c r="J257" s="151"/>
      <c r="K257" s="235"/>
      <c r="L257" s="151"/>
      <c r="M257" s="158"/>
      <c r="N257" s="147"/>
      <c r="O257" s="147"/>
      <c r="P257" s="147"/>
      <c r="Q257" s="147"/>
      <c r="R257" s="72"/>
      <c r="S257" s="147"/>
      <c r="T257" s="159"/>
      <c r="U257" s="105"/>
      <c r="V257" s="188"/>
      <c r="W257" s="188"/>
      <c r="X257" s="188"/>
      <c r="Y257" s="188"/>
      <c r="Z257" s="188"/>
      <c r="AA257" s="189"/>
      <c r="AB257" s="190"/>
      <c r="AC257" s="191"/>
      <c r="AD257" s="192"/>
      <c r="AE257" s="192"/>
      <c r="AF257" s="192"/>
      <c r="AG257" s="179"/>
      <c r="AH257" s="192"/>
    </row>
    <row r="258" spans="1:34">
      <c r="A258" s="192"/>
      <c r="B258" s="39"/>
      <c r="C258" s="39"/>
      <c r="D258" s="39"/>
      <c r="E258" s="39"/>
      <c r="F258" s="39"/>
      <c r="G258" s="39"/>
      <c r="H258" s="234"/>
      <c r="I258" s="151"/>
      <c r="J258" s="151"/>
      <c r="K258" s="235"/>
      <c r="L258" s="151"/>
      <c r="M258" s="158"/>
      <c r="N258" s="147"/>
      <c r="O258" s="147"/>
      <c r="P258" s="147"/>
      <c r="Q258" s="147"/>
      <c r="R258" s="72"/>
      <c r="S258" s="147"/>
      <c r="T258" s="159"/>
      <c r="U258" s="105"/>
      <c r="V258" s="188"/>
      <c r="W258" s="188"/>
      <c r="X258" s="188"/>
      <c r="Y258" s="188"/>
      <c r="Z258" s="188"/>
      <c r="AA258" s="189"/>
      <c r="AB258" s="190"/>
      <c r="AC258" s="191"/>
      <c r="AD258" s="192"/>
      <c r="AE258" s="192"/>
      <c r="AF258" s="192"/>
      <c r="AG258" s="179"/>
      <c r="AH258" s="192"/>
    </row>
    <row r="259" spans="1:34">
      <c r="A259" s="192"/>
      <c r="B259" s="39"/>
      <c r="C259" s="39"/>
      <c r="D259" s="39"/>
      <c r="E259" s="39"/>
      <c r="F259" s="39"/>
      <c r="G259" s="39"/>
      <c r="H259" s="234"/>
      <c r="I259" s="151"/>
      <c r="J259" s="151"/>
      <c r="K259" s="235"/>
      <c r="L259" s="151"/>
      <c r="M259" s="158"/>
      <c r="N259" s="147"/>
      <c r="O259" s="147"/>
      <c r="P259" s="147"/>
      <c r="Q259" s="147"/>
      <c r="R259" s="72"/>
      <c r="S259" s="147"/>
      <c r="T259" s="159"/>
      <c r="U259" s="105"/>
      <c r="V259" s="188"/>
      <c r="W259" s="188"/>
      <c r="X259" s="188"/>
      <c r="Y259" s="188"/>
      <c r="Z259" s="188"/>
      <c r="AA259" s="189"/>
      <c r="AB259" s="190"/>
      <c r="AC259" s="191"/>
      <c r="AD259" s="192"/>
      <c r="AE259" s="192"/>
      <c r="AF259" s="192"/>
      <c r="AG259" s="179"/>
      <c r="AH259" s="192"/>
    </row>
    <row r="260" spans="1:34">
      <c r="A260" s="192"/>
      <c r="B260" s="39"/>
      <c r="C260" s="39"/>
      <c r="D260" s="39"/>
      <c r="E260" s="39"/>
      <c r="F260" s="39"/>
      <c r="G260" s="39"/>
      <c r="H260" s="234"/>
      <c r="I260" s="151"/>
      <c r="J260" s="151"/>
      <c r="K260" s="235"/>
      <c r="L260" s="151"/>
      <c r="M260" s="158"/>
      <c r="N260" s="147"/>
      <c r="O260" s="147"/>
      <c r="P260" s="147"/>
      <c r="Q260" s="147"/>
      <c r="R260" s="72"/>
      <c r="S260" s="147"/>
      <c r="T260" s="159"/>
      <c r="U260" s="105"/>
      <c r="V260" s="188"/>
      <c r="W260" s="188"/>
      <c r="X260" s="188"/>
      <c r="Y260" s="188"/>
      <c r="Z260" s="188"/>
      <c r="AA260" s="189"/>
      <c r="AB260" s="190"/>
      <c r="AC260" s="191"/>
      <c r="AD260" s="192"/>
      <c r="AE260" s="192"/>
      <c r="AF260" s="192"/>
      <c r="AG260" s="179"/>
      <c r="AH260" s="192"/>
    </row>
    <row r="261" spans="1:34">
      <c r="A261" s="192"/>
      <c r="B261" s="39"/>
      <c r="C261" s="39"/>
      <c r="D261" s="39"/>
      <c r="E261" s="39"/>
      <c r="F261" s="39"/>
      <c r="G261" s="39"/>
      <c r="H261" s="234"/>
      <c r="I261" s="151"/>
      <c r="J261" s="151"/>
      <c r="K261" s="235"/>
      <c r="L261" s="151"/>
      <c r="M261" s="158"/>
      <c r="N261" s="147"/>
      <c r="O261" s="147"/>
      <c r="P261" s="147"/>
      <c r="Q261" s="147"/>
      <c r="R261" s="72"/>
      <c r="S261" s="147"/>
      <c r="T261" s="159"/>
      <c r="U261" s="105"/>
      <c r="V261" s="188"/>
      <c r="W261" s="188"/>
      <c r="X261" s="188"/>
      <c r="Y261" s="188"/>
      <c r="Z261" s="188"/>
      <c r="AA261" s="189"/>
      <c r="AB261" s="190"/>
      <c r="AC261" s="191"/>
      <c r="AD261" s="192"/>
      <c r="AE261" s="192"/>
      <c r="AF261" s="192"/>
      <c r="AG261" s="179"/>
      <c r="AH261" s="192"/>
    </row>
    <row r="262" spans="1:34">
      <c r="A262" s="192"/>
      <c r="B262" s="39"/>
      <c r="C262" s="39"/>
      <c r="D262" s="39"/>
      <c r="E262" s="39"/>
      <c r="F262" s="39"/>
      <c r="G262" s="39"/>
      <c r="H262" s="234"/>
      <c r="I262" s="151"/>
      <c r="J262" s="151"/>
      <c r="K262" s="235"/>
      <c r="L262" s="151"/>
      <c r="M262" s="158"/>
      <c r="N262" s="147"/>
      <c r="O262" s="147"/>
      <c r="P262" s="147"/>
      <c r="Q262" s="147"/>
      <c r="R262" s="72"/>
      <c r="S262" s="147"/>
      <c r="T262" s="159"/>
      <c r="U262" s="105"/>
      <c r="V262" s="188"/>
      <c r="W262" s="188"/>
      <c r="X262" s="188"/>
      <c r="Y262" s="188"/>
      <c r="Z262" s="188"/>
      <c r="AA262" s="189"/>
      <c r="AB262" s="190"/>
      <c r="AC262" s="191"/>
      <c r="AD262" s="192"/>
      <c r="AE262" s="192"/>
      <c r="AF262" s="192"/>
      <c r="AG262" s="179"/>
      <c r="AH262" s="192"/>
    </row>
    <row r="263" spans="1:34">
      <c r="A263" s="192"/>
      <c r="B263" s="39"/>
      <c r="C263" s="39"/>
      <c r="D263" s="39"/>
      <c r="E263" s="39"/>
      <c r="F263" s="39"/>
      <c r="G263" s="39"/>
      <c r="H263" s="234"/>
      <c r="I263" s="151"/>
      <c r="J263" s="151"/>
      <c r="K263" s="235"/>
      <c r="L263" s="151"/>
      <c r="M263" s="158"/>
      <c r="N263" s="147"/>
      <c r="O263" s="147"/>
      <c r="P263" s="147"/>
      <c r="Q263" s="147"/>
      <c r="R263" s="72"/>
      <c r="S263" s="147"/>
      <c r="T263" s="159"/>
      <c r="U263" s="105"/>
      <c r="V263" s="188"/>
      <c r="W263" s="188"/>
      <c r="X263" s="188"/>
      <c r="Y263" s="188"/>
      <c r="Z263" s="188"/>
      <c r="AA263" s="189"/>
      <c r="AB263" s="190"/>
      <c r="AC263" s="191"/>
      <c r="AD263" s="192"/>
      <c r="AE263" s="192"/>
      <c r="AF263" s="192"/>
      <c r="AG263" s="179"/>
      <c r="AH263" s="192"/>
    </row>
    <row r="264" spans="1:34">
      <c r="A264" s="192"/>
      <c r="B264" s="39"/>
      <c r="C264" s="39"/>
      <c r="D264" s="39"/>
      <c r="E264" s="39"/>
      <c r="F264" s="39"/>
      <c r="G264" s="39"/>
      <c r="H264" s="234"/>
      <c r="I264" s="151"/>
      <c r="J264" s="151"/>
      <c r="K264" s="235"/>
      <c r="L264" s="151"/>
      <c r="M264" s="158"/>
      <c r="N264" s="147"/>
      <c r="O264" s="147"/>
      <c r="P264" s="147"/>
      <c r="Q264" s="147"/>
      <c r="R264" s="72"/>
      <c r="S264" s="147"/>
      <c r="T264" s="159"/>
      <c r="U264" s="105"/>
      <c r="V264" s="188"/>
      <c r="W264" s="188"/>
      <c r="X264" s="188"/>
      <c r="Y264" s="188"/>
      <c r="Z264" s="188"/>
      <c r="AA264" s="189"/>
      <c r="AB264" s="190"/>
      <c r="AC264" s="191"/>
      <c r="AD264" s="192"/>
      <c r="AE264" s="192"/>
      <c r="AF264" s="192"/>
      <c r="AG264" s="179"/>
      <c r="AH264" s="192"/>
    </row>
    <row r="265" spans="1:34">
      <c r="A265" s="192"/>
      <c r="B265" s="39"/>
      <c r="C265" s="39"/>
      <c r="D265" s="39"/>
      <c r="E265" s="39"/>
      <c r="F265" s="39"/>
      <c r="G265" s="39"/>
      <c r="H265" s="234"/>
      <c r="I265" s="151"/>
      <c r="J265" s="151"/>
      <c r="K265" s="235"/>
      <c r="L265" s="151"/>
      <c r="M265" s="158"/>
      <c r="N265" s="147"/>
      <c r="O265" s="147"/>
      <c r="P265" s="147"/>
      <c r="Q265" s="147"/>
      <c r="R265" s="72"/>
      <c r="S265" s="147"/>
      <c r="T265" s="159"/>
      <c r="U265" s="105"/>
      <c r="V265" s="188"/>
      <c r="W265" s="188"/>
      <c r="X265" s="188"/>
      <c r="Y265" s="188"/>
      <c r="Z265" s="188"/>
      <c r="AA265" s="189"/>
      <c r="AB265" s="190"/>
      <c r="AC265" s="191"/>
      <c r="AD265" s="192"/>
      <c r="AE265" s="192"/>
      <c r="AF265" s="192"/>
      <c r="AG265" s="179"/>
      <c r="AH265" s="192"/>
    </row>
    <row r="266" spans="1:34">
      <c r="A266" s="192"/>
      <c r="B266" s="39"/>
      <c r="C266" s="39"/>
      <c r="D266" s="39"/>
      <c r="E266" s="39"/>
      <c r="F266" s="39"/>
      <c r="G266" s="39"/>
      <c r="H266" s="234"/>
      <c r="I266" s="151"/>
      <c r="J266" s="151"/>
      <c r="K266" s="235"/>
      <c r="L266" s="151"/>
      <c r="M266" s="158"/>
      <c r="N266" s="147"/>
      <c r="O266" s="147"/>
      <c r="P266" s="147"/>
      <c r="Q266" s="147"/>
      <c r="R266" s="72"/>
      <c r="S266" s="147"/>
      <c r="T266" s="159"/>
      <c r="U266" s="105"/>
      <c r="V266" s="188"/>
      <c r="W266" s="188"/>
      <c r="X266" s="188"/>
      <c r="Y266" s="188"/>
      <c r="Z266" s="188"/>
      <c r="AA266" s="189"/>
      <c r="AB266" s="190"/>
      <c r="AC266" s="191"/>
      <c r="AD266" s="192"/>
      <c r="AE266" s="192"/>
      <c r="AF266" s="192"/>
      <c r="AG266" s="179"/>
      <c r="AH266" s="192"/>
    </row>
    <row r="267" spans="1:34">
      <c r="A267" s="192"/>
      <c r="B267" s="39"/>
      <c r="C267" s="39"/>
      <c r="D267" s="39"/>
      <c r="E267" s="39"/>
      <c r="F267" s="39"/>
      <c r="G267" s="39"/>
      <c r="H267" s="234"/>
      <c r="I267" s="151"/>
      <c r="J267" s="151"/>
      <c r="K267" s="235"/>
      <c r="L267" s="151"/>
      <c r="M267" s="158"/>
      <c r="N267" s="147"/>
      <c r="O267" s="147"/>
      <c r="P267" s="147"/>
      <c r="Q267" s="147"/>
      <c r="R267" s="72"/>
      <c r="S267" s="147"/>
      <c r="T267" s="159"/>
      <c r="U267" s="105"/>
      <c r="V267" s="188"/>
      <c r="W267" s="188"/>
      <c r="X267" s="188"/>
      <c r="Y267" s="188"/>
      <c r="Z267" s="188"/>
      <c r="AA267" s="189"/>
      <c r="AB267" s="190"/>
      <c r="AC267" s="191"/>
      <c r="AD267" s="192"/>
      <c r="AE267" s="192"/>
      <c r="AF267" s="192"/>
      <c r="AG267" s="179"/>
      <c r="AH267" s="192"/>
    </row>
    <row r="268" spans="1:34">
      <c r="A268" s="192"/>
      <c r="B268" s="39"/>
      <c r="C268" s="39"/>
      <c r="D268" s="39"/>
      <c r="E268" s="39"/>
      <c r="F268" s="39"/>
      <c r="G268" s="39"/>
      <c r="H268" s="234"/>
      <c r="I268" s="151"/>
      <c r="J268" s="151"/>
      <c r="K268" s="235"/>
      <c r="L268" s="151"/>
      <c r="M268" s="158"/>
      <c r="N268" s="147"/>
      <c r="O268" s="147"/>
      <c r="P268" s="147"/>
      <c r="Q268" s="147"/>
      <c r="R268" s="72"/>
      <c r="S268" s="147"/>
      <c r="T268" s="159"/>
      <c r="U268" s="105"/>
      <c r="V268" s="188"/>
      <c r="W268" s="188"/>
      <c r="X268" s="188"/>
      <c r="Y268" s="188"/>
      <c r="Z268" s="188"/>
      <c r="AA268" s="189"/>
      <c r="AB268" s="190"/>
      <c r="AC268" s="191"/>
      <c r="AD268" s="192"/>
      <c r="AE268" s="192"/>
      <c r="AF268" s="192"/>
      <c r="AG268" s="179"/>
      <c r="AH268" s="192"/>
    </row>
    <row r="269" spans="1:34">
      <c r="A269" s="192"/>
      <c r="B269" s="39"/>
      <c r="C269" s="39"/>
      <c r="D269" s="39"/>
      <c r="E269" s="39"/>
      <c r="F269" s="39"/>
      <c r="G269" s="39"/>
      <c r="H269" s="234"/>
      <c r="I269" s="151"/>
      <c r="J269" s="151"/>
      <c r="K269" s="235"/>
      <c r="L269" s="151"/>
      <c r="M269" s="158"/>
      <c r="N269" s="147"/>
      <c r="O269" s="147"/>
      <c r="P269" s="147"/>
      <c r="Q269" s="147"/>
      <c r="R269" s="72"/>
      <c r="S269" s="147"/>
      <c r="T269" s="159"/>
      <c r="U269" s="105"/>
      <c r="V269" s="188"/>
      <c r="W269" s="188"/>
      <c r="X269" s="188"/>
      <c r="Y269" s="188"/>
      <c r="Z269" s="188"/>
      <c r="AA269" s="189"/>
      <c r="AB269" s="190"/>
      <c r="AC269" s="191"/>
      <c r="AD269" s="192"/>
      <c r="AE269" s="192"/>
      <c r="AF269" s="192"/>
      <c r="AG269" s="179"/>
      <c r="AH269" s="192"/>
    </row>
    <row r="270" spans="1:34">
      <c r="A270" s="192"/>
      <c r="B270" s="39"/>
      <c r="C270" s="39"/>
      <c r="D270" s="39"/>
      <c r="E270" s="39"/>
      <c r="F270" s="39"/>
      <c r="G270" s="39"/>
      <c r="H270" s="234"/>
      <c r="I270" s="151"/>
      <c r="J270" s="151"/>
      <c r="K270" s="235"/>
      <c r="L270" s="151"/>
      <c r="M270" s="158"/>
      <c r="N270" s="147"/>
      <c r="O270" s="147"/>
      <c r="P270" s="147"/>
      <c r="Q270" s="147"/>
      <c r="R270" s="72"/>
      <c r="S270" s="147"/>
      <c r="T270" s="159"/>
      <c r="U270" s="105"/>
      <c r="V270" s="188"/>
      <c r="W270" s="188"/>
      <c r="X270" s="188"/>
      <c r="Y270" s="188"/>
      <c r="Z270" s="188"/>
      <c r="AA270" s="189"/>
      <c r="AB270" s="190"/>
      <c r="AC270" s="191"/>
      <c r="AD270" s="192"/>
      <c r="AE270" s="192"/>
      <c r="AF270" s="192"/>
      <c r="AG270" s="179"/>
      <c r="AH270" s="192"/>
    </row>
    <row r="271" spans="1:34">
      <c r="A271" s="192"/>
      <c r="B271" s="39"/>
      <c r="C271" s="39"/>
      <c r="D271" s="39"/>
      <c r="E271" s="39"/>
      <c r="F271" s="39"/>
      <c r="G271" s="39"/>
      <c r="H271" s="234"/>
      <c r="I271" s="151"/>
      <c r="J271" s="151"/>
      <c r="K271" s="235"/>
      <c r="L271" s="151"/>
      <c r="M271" s="158"/>
      <c r="N271" s="147"/>
      <c r="O271" s="147"/>
      <c r="P271" s="147"/>
      <c r="Q271" s="147"/>
      <c r="R271" s="72"/>
      <c r="S271" s="147"/>
      <c r="T271" s="159"/>
      <c r="U271" s="105"/>
      <c r="V271" s="188"/>
      <c r="W271" s="188"/>
      <c r="X271" s="188"/>
      <c r="Y271" s="188"/>
      <c r="Z271" s="188"/>
      <c r="AA271" s="189"/>
      <c r="AB271" s="190"/>
      <c r="AC271" s="191"/>
      <c r="AD271" s="192"/>
      <c r="AE271" s="192"/>
      <c r="AF271" s="192"/>
      <c r="AG271" s="179"/>
      <c r="AH271" s="192"/>
    </row>
    <row r="272" spans="1:34">
      <c r="A272" s="192"/>
      <c r="B272" s="39"/>
      <c r="C272" s="39"/>
      <c r="D272" s="39"/>
      <c r="E272" s="39"/>
      <c r="F272" s="39"/>
      <c r="G272" s="39"/>
      <c r="H272" s="234"/>
      <c r="I272" s="151"/>
      <c r="J272" s="151"/>
      <c r="K272" s="235"/>
      <c r="L272" s="151"/>
      <c r="M272" s="158"/>
      <c r="N272" s="147"/>
      <c r="O272" s="147"/>
      <c r="P272" s="147"/>
      <c r="Q272" s="147"/>
      <c r="R272" s="72"/>
      <c r="S272" s="147"/>
      <c r="T272" s="159"/>
      <c r="U272" s="105"/>
      <c r="V272" s="188"/>
      <c r="W272" s="188"/>
      <c r="X272" s="188"/>
      <c r="Y272" s="188"/>
      <c r="Z272" s="188"/>
      <c r="AA272" s="189"/>
      <c r="AB272" s="190"/>
      <c r="AC272" s="191"/>
      <c r="AD272" s="192"/>
      <c r="AE272" s="192"/>
      <c r="AF272" s="192"/>
      <c r="AG272" s="179"/>
      <c r="AH272" s="192"/>
    </row>
    <row r="273" spans="2:34">
      <c r="H273" s="184"/>
      <c r="I273" s="128"/>
      <c r="J273" s="128"/>
      <c r="K273" s="185"/>
      <c r="L273" s="128"/>
      <c r="M273" s="129"/>
      <c r="O273" s="147"/>
      <c r="P273" s="147"/>
      <c r="Q273" s="147"/>
      <c r="R273" s="72"/>
      <c r="S273" s="147"/>
      <c r="T273" s="159"/>
      <c r="U273" s="105"/>
      <c r="V273" s="188"/>
      <c r="W273" s="188"/>
      <c r="X273" s="188"/>
      <c r="Y273" s="188"/>
      <c r="Z273" s="188"/>
      <c r="AA273" s="189"/>
      <c r="AB273" s="190"/>
      <c r="AC273" s="191"/>
      <c r="AD273" s="192"/>
      <c r="AE273" s="192"/>
      <c r="AF273" s="192"/>
      <c r="AG273" s="179"/>
      <c r="AH273" s="192"/>
    </row>
    <row r="274" spans="2:34">
      <c r="H274" s="184"/>
      <c r="I274" s="128"/>
      <c r="J274" s="128"/>
      <c r="K274" s="185"/>
      <c r="L274" s="128"/>
      <c r="M274" s="129"/>
      <c r="O274" s="147"/>
      <c r="P274" s="147"/>
      <c r="Q274" s="147"/>
      <c r="R274" s="72"/>
      <c r="S274" s="147"/>
      <c r="T274" s="159"/>
      <c r="U274" s="105"/>
      <c r="V274" s="188"/>
      <c r="W274" s="188"/>
      <c r="X274" s="188"/>
      <c r="Y274" s="188"/>
      <c r="Z274" s="188"/>
      <c r="AA274" s="189"/>
      <c r="AB274" s="190"/>
      <c r="AC274" s="191"/>
      <c r="AD274" s="192"/>
      <c r="AE274" s="192"/>
      <c r="AF274" s="192"/>
      <c r="AG274" s="179"/>
      <c r="AH274" s="192"/>
    </row>
    <row r="275" spans="2:34">
      <c r="H275" s="184"/>
      <c r="I275" s="128"/>
      <c r="J275" s="128"/>
      <c r="K275" s="185"/>
      <c r="L275" s="128"/>
      <c r="M275" s="129"/>
      <c r="O275" s="147"/>
      <c r="P275" s="147"/>
      <c r="Q275" s="147"/>
      <c r="R275" s="72"/>
      <c r="S275" s="147"/>
      <c r="T275" s="159"/>
      <c r="U275" s="105"/>
      <c r="V275" s="188"/>
      <c r="W275" s="188"/>
      <c r="X275" s="188"/>
      <c r="Y275" s="188"/>
      <c r="Z275" s="188"/>
      <c r="AA275" s="189"/>
      <c r="AB275" s="190"/>
      <c r="AC275" s="191"/>
      <c r="AD275" s="192"/>
      <c r="AE275" s="192"/>
      <c r="AF275" s="192"/>
      <c r="AG275" s="179"/>
      <c r="AH275" s="192"/>
    </row>
    <row r="276" spans="2:34">
      <c r="H276" s="184"/>
      <c r="I276" s="128"/>
      <c r="J276" s="128"/>
      <c r="K276" s="185"/>
      <c r="L276" s="128"/>
      <c r="M276" s="129"/>
      <c r="O276" s="147"/>
      <c r="P276" s="147"/>
      <c r="Q276" s="147"/>
      <c r="R276" s="72"/>
      <c r="S276" s="147"/>
      <c r="T276" s="159"/>
      <c r="U276" s="105"/>
      <c r="V276" s="188"/>
      <c r="W276" s="188"/>
      <c r="X276" s="188"/>
      <c r="Y276" s="188"/>
      <c r="Z276" s="188"/>
      <c r="AA276" s="189"/>
      <c r="AB276" s="190"/>
      <c r="AC276" s="191"/>
      <c r="AD276" s="192"/>
      <c r="AE276" s="192"/>
      <c r="AF276" s="192"/>
      <c r="AG276" s="179"/>
      <c r="AH276" s="192"/>
    </row>
    <row r="277" spans="2:34">
      <c r="H277" s="184"/>
      <c r="I277" s="128"/>
      <c r="J277" s="128"/>
      <c r="K277" s="185"/>
      <c r="L277" s="128"/>
      <c r="M277" s="129"/>
      <c r="O277" s="147"/>
      <c r="P277" s="147"/>
      <c r="Q277" s="147"/>
      <c r="R277" s="72"/>
      <c r="S277" s="147"/>
      <c r="T277" s="159"/>
      <c r="U277" s="105"/>
      <c r="V277" s="188"/>
      <c r="W277" s="188"/>
      <c r="X277" s="188"/>
      <c r="Y277" s="188"/>
      <c r="Z277" s="188"/>
      <c r="AA277" s="189"/>
      <c r="AB277" s="190"/>
      <c r="AC277" s="191"/>
      <c r="AD277" s="192"/>
      <c r="AE277" s="192"/>
      <c r="AF277" s="192"/>
      <c r="AG277" s="179"/>
      <c r="AH277" s="192"/>
    </row>
    <row r="278" spans="2:34">
      <c r="H278" s="184"/>
      <c r="I278" s="128"/>
      <c r="J278" s="128"/>
      <c r="K278" s="185"/>
      <c r="L278" s="128"/>
      <c r="M278" s="129"/>
      <c r="O278" s="147"/>
      <c r="P278" s="147"/>
      <c r="Q278" s="147"/>
      <c r="R278" s="72"/>
      <c r="S278" s="147"/>
      <c r="T278" s="159"/>
      <c r="U278" s="105"/>
      <c r="V278" s="188"/>
      <c r="W278" s="188"/>
      <c r="X278" s="188"/>
      <c r="Y278" s="188"/>
      <c r="Z278" s="188"/>
      <c r="AA278" s="189"/>
      <c r="AB278" s="190"/>
      <c r="AC278" s="191"/>
      <c r="AD278" s="192"/>
      <c r="AE278" s="192"/>
      <c r="AF278" s="192"/>
      <c r="AG278" s="179"/>
      <c r="AH278" s="192"/>
    </row>
    <row r="279" spans="2:34">
      <c r="B279"/>
      <c r="C279"/>
      <c r="D279"/>
      <c r="E279"/>
      <c r="F279"/>
      <c r="G279"/>
      <c r="H279" s="184"/>
      <c r="I279" s="128"/>
      <c r="J279" s="128"/>
      <c r="K279" s="185"/>
      <c r="L279" s="128"/>
      <c r="M279" s="129"/>
      <c r="O279" s="147"/>
      <c r="P279" s="147"/>
      <c r="Q279" s="147"/>
      <c r="R279" s="72"/>
      <c r="S279" s="147"/>
      <c r="T279" s="159"/>
      <c r="U279" s="105"/>
      <c r="V279" s="188"/>
      <c r="W279" s="188"/>
      <c r="X279" s="188"/>
      <c r="Y279" s="188"/>
      <c r="Z279" s="188"/>
      <c r="AA279" s="189"/>
      <c r="AB279" s="190"/>
      <c r="AC279" s="191"/>
      <c r="AD279" s="192"/>
      <c r="AE279" s="192"/>
      <c r="AF279" s="192"/>
      <c r="AG279" s="179"/>
      <c r="AH279" s="192"/>
    </row>
    <row r="280" spans="2:34">
      <c r="B280"/>
      <c r="C280"/>
      <c r="D280"/>
      <c r="E280"/>
      <c r="F280"/>
      <c r="G280"/>
      <c r="H280" s="184"/>
      <c r="I280" s="128"/>
      <c r="J280" s="128"/>
      <c r="K280" s="185"/>
      <c r="L280" s="128"/>
      <c r="M280" s="129"/>
      <c r="O280" s="147"/>
      <c r="P280" s="147"/>
      <c r="Q280" s="147"/>
      <c r="R280" s="72"/>
      <c r="S280" s="147"/>
      <c r="T280" s="159"/>
      <c r="U280" s="105"/>
      <c r="V280" s="188"/>
      <c r="W280" s="188"/>
      <c r="X280" s="188"/>
      <c r="Y280" s="188"/>
      <c r="Z280" s="188"/>
      <c r="AA280" s="189"/>
      <c r="AB280" s="190"/>
      <c r="AC280" s="191"/>
      <c r="AD280" s="192"/>
      <c r="AE280" s="192"/>
      <c r="AF280" s="192"/>
      <c r="AG280" s="179"/>
      <c r="AH280" s="192"/>
    </row>
    <row r="281" spans="2:34">
      <c r="B281"/>
      <c r="C281"/>
      <c r="D281"/>
      <c r="E281"/>
      <c r="F281"/>
      <c r="G281"/>
      <c r="H281" s="184"/>
      <c r="I281" s="128"/>
      <c r="J281" s="128"/>
      <c r="K281" s="185"/>
      <c r="L281" s="128"/>
      <c r="M281" s="129"/>
      <c r="O281" s="147"/>
      <c r="P281" s="147"/>
      <c r="Q281" s="147"/>
      <c r="R281" s="72"/>
      <c r="S281" s="147"/>
      <c r="T281" s="159"/>
      <c r="U281" s="105"/>
      <c r="V281" s="188"/>
      <c r="W281" s="188"/>
      <c r="X281" s="188"/>
      <c r="Y281" s="188"/>
      <c r="Z281" s="188"/>
      <c r="AA281" s="189"/>
      <c r="AB281" s="190"/>
      <c r="AC281" s="191"/>
      <c r="AD281" s="192"/>
      <c r="AE281" s="192"/>
      <c r="AF281" s="192"/>
      <c r="AG281" s="179"/>
      <c r="AH281" s="192"/>
    </row>
    <row r="282" spans="2:34">
      <c r="B282"/>
      <c r="C282"/>
      <c r="D282"/>
      <c r="E282"/>
      <c r="F282"/>
      <c r="G282"/>
      <c r="H282" s="184"/>
      <c r="I282" s="128"/>
      <c r="J282" s="128"/>
      <c r="K282" s="185"/>
      <c r="L282" s="128"/>
      <c r="M282" s="129"/>
      <c r="O282" s="147"/>
      <c r="P282" s="147"/>
      <c r="Q282" s="147"/>
      <c r="R282" s="72"/>
      <c r="S282" s="147"/>
      <c r="T282" s="159"/>
      <c r="U282" s="105"/>
      <c r="V282" s="188"/>
      <c r="W282" s="188"/>
      <c r="X282" s="188"/>
      <c r="Y282" s="188"/>
      <c r="Z282" s="188"/>
      <c r="AA282" s="189"/>
      <c r="AB282" s="190"/>
      <c r="AC282" s="191"/>
      <c r="AD282" s="192"/>
      <c r="AE282" s="192"/>
      <c r="AF282" s="192"/>
      <c r="AG282" s="179"/>
      <c r="AH282" s="192"/>
    </row>
    <row r="283" spans="2:34">
      <c r="B283"/>
      <c r="C283"/>
      <c r="D283"/>
      <c r="E283"/>
      <c r="F283"/>
      <c r="G283"/>
      <c r="O283" s="147"/>
      <c r="P283" s="147"/>
      <c r="Q283" s="147"/>
      <c r="R283" s="72"/>
      <c r="S283" s="147"/>
      <c r="T283" s="159"/>
      <c r="U283" s="105"/>
      <c r="V283" s="188"/>
      <c r="W283" s="188"/>
      <c r="X283" s="188"/>
      <c r="Y283" s="188"/>
      <c r="Z283" s="188"/>
      <c r="AA283" s="189"/>
      <c r="AB283" s="190"/>
      <c r="AC283" s="191"/>
      <c r="AD283" s="192"/>
      <c r="AE283" s="192"/>
      <c r="AF283" s="192"/>
      <c r="AG283" s="179"/>
      <c r="AH283" s="192"/>
    </row>
    <row r="284" spans="2:34">
      <c r="B284"/>
      <c r="C284"/>
      <c r="D284"/>
      <c r="E284"/>
      <c r="F284"/>
      <c r="G284"/>
      <c r="O284" s="147"/>
      <c r="P284" s="147"/>
      <c r="Q284" s="147"/>
      <c r="R284" s="72"/>
      <c r="S284" s="147"/>
      <c r="T284" s="159"/>
      <c r="U284" s="105"/>
      <c r="V284" s="188"/>
      <c r="W284" s="188"/>
      <c r="X284" s="188"/>
      <c r="Y284" s="188"/>
      <c r="Z284" s="188"/>
      <c r="AA284" s="189"/>
      <c r="AB284" s="190"/>
      <c r="AC284" s="191"/>
      <c r="AD284" s="192"/>
      <c r="AE284" s="192"/>
      <c r="AF284" s="192"/>
      <c r="AG284" s="179"/>
      <c r="AH284" s="192"/>
    </row>
    <row r="285" spans="2:34">
      <c r="B285"/>
      <c r="C285"/>
      <c r="D285"/>
      <c r="E285"/>
      <c r="F285"/>
      <c r="G285"/>
      <c r="U285" s="105"/>
      <c r="AG285" s="179"/>
      <c r="AH285" s="192"/>
    </row>
    <row r="286" spans="2:34">
      <c r="B286"/>
      <c r="C286"/>
      <c r="D286"/>
      <c r="E286"/>
      <c r="F286"/>
      <c r="G286"/>
      <c r="U286" s="105"/>
    </row>
    <row r="287" spans="2:34">
      <c r="B287"/>
      <c r="C287"/>
      <c r="D287"/>
      <c r="E287"/>
      <c r="F287"/>
      <c r="G287"/>
      <c r="U287" s="105"/>
    </row>
    <row r="288" spans="2:34">
      <c r="B288"/>
      <c r="C288"/>
      <c r="D288"/>
      <c r="E288"/>
      <c r="F288"/>
      <c r="G288"/>
      <c r="U288" s="105"/>
    </row>
    <row r="289" spans="2:33">
      <c r="B289"/>
      <c r="C289"/>
      <c r="D289"/>
      <c r="E289"/>
      <c r="F289"/>
      <c r="G289"/>
      <c r="U289" s="105"/>
    </row>
    <row r="290" spans="2:33">
      <c r="B290"/>
      <c r="C290"/>
      <c r="D290"/>
      <c r="E290"/>
      <c r="F290"/>
      <c r="G290"/>
      <c r="U290" s="105"/>
    </row>
    <row r="291" spans="2:33">
      <c r="B291"/>
      <c r="C291"/>
      <c r="D291"/>
      <c r="E291"/>
      <c r="F291"/>
      <c r="G291"/>
      <c r="U291" s="105"/>
    </row>
    <row r="292" spans="2:33">
      <c r="B292"/>
      <c r="C292"/>
      <c r="D292"/>
      <c r="E292"/>
      <c r="F292"/>
      <c r="G292"/>
      <c r="U292" s="105"/>
    </row>
    <row r="293" spans="2:33">
      <c r="B293"/>
      <c r="C293"/>
      <c r="D293"/>
      <c r="E293"/>
      <c r="F293"/>
      <c r="G293"/>
      <c r="U293" s="105"/>
    </row>
    <row r="294" spans="2:33">
      <c r="B294"/>
      <c r="C294"/>
      <c r="D294"/>
      <c r="E294"/>
      <c r="F294"/>
      <c r="G294"/>
      <c r="U294" s="105"/>
    </row>
    <row r="295" spans="2:33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 s="105"/>
      <c r="V295"/>
      <c r="W295"/>
      <c r="X295"/>
      <c r="Y295"/>
      <c r="Z295"/>
      <c r="AA295"/>
      <c r="AB295"/>
      <c r="AC295"/>
    </row>
    <row r="296" spans="2:33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 s="105"/>
      <c r="V296"/>
      <c r="W296"/>
      <c r="X296"/>
      <c r="Y296"/>
      <c r="Z296"/>
      <c r="AA296"/>
      <c r="AB296"/>
      <c r="AC296"/>
      <c r="AG296"/>
    </row>
    <row r="297" spans="2:33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 s="105"/>
      <c r="V297"/>
      <c r="W297"/>
      <c r="X297"/>
      <c r="Y297"/>
      <c r="Z297"/>
      <c r="AA297"/>
      <c r="AB297"/>
      <c r="AC297"/>
      <c r="AG297"/>
    </row>
    <row r="298" spans="2:33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 s="105"/>
      <c r="V298"/>
      <c r="W298"/>
      <c r="X298"/>
      <c r="Y298"/>
      <c r="Z298"/>
      <c r="AA298"/>
      <c r="AB298"/>
      <c r="AC298"/>
      <c r="AG298"/>
    </row>
    <row r="299" spans="2:33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 s="105"/>
      <c r="V299"/>
      <c r="W299"/>
      <c r="X299"/>
      <c r="Y299"/>
      <c r="Z299"/>
      <c r="AA299"/>
      <c r="AB299"/>
      <c r="AC299"/>
      <c r="AG299"/>
    </row>
    <row r="300" spans="2:33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 s="105"/>
      <c r="V300"/>
      <c r="W300"/>
      <c r="X300"/>
      <c r="Y300"/>
      <c r="Z300"/>
      <c r="AA300"/>
      <c r="AB300"/>
      <c r="AC300"/>
      <c r="AG300"/>
    </row>
    <row r="301" spans="2:33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 s="105"/>
      <c r="V301"/>
      <c r="W301"/>
      <c r="X301"/>
      <c r="Y301"/>
      <c r="Z301"/>
      <c r="AA301"/>
      <c r="AB301"/>
      <c r="AC301"/>
      <c r="AG301"/>
    </row>
    <row r="302" spans="2:33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 s="105"/>
      <c r="V302"/>
      <c r="W302"/>
      <c r="X302"/>
      <c r="Y302"/>
      <c r="Z302"/>
      <c r="AA302"/>
      <c r="AB302"/>
      <c r="AC302"/>
      <c r="AG302"/>
    </row>
    <row r="303" spans="2:33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 s="105"/>
      <c r="V303"/>
      <c r="W303"/>
      <c r="X303"/>
      <c r="Y303"/>
      <c r="Z303"/>
      <c r="AA303"/>
      <c r="AB303"/>
      <c r="AC303"/>
      <c r="AG303"/>
    </row>
    <row r="304" spans="2:33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 s="105"/>
      <c r="V304"/>
      <c r="W304"/>
      <c r="X304"/>
      <c r="Y304"/>
      <c r="Z304"/>
      <c r="AA304"/>
      <c r="AB304"/>
      <c r="AC304"/>
      <c r="AG304"/>
    </row>
    <row r="305" spans="2:33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 s="105"/>
      <c r="V305"/>
      <c r="W305"/>
      <c r="X305"/>
      <c r="Y305"/>
      <c r="Z305"/>
      <c r="AA305"/>
      <c r="AB305"/>
      <c r="AC305"/>
      <c r="AG305"/>
    </row>
    <row r="306" spans="2:33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 s="105"/>
      <c r="V306"/>
      <c r="W306"/>
      <c r="X306"/>
      <c r="Y306"/>
      <c r="Z306"/>
      <c r="AA306"/>
      <c r="AB306"/>
      <c r="AC306"/>
      <c r="AG306"/>
    </row>
    <row r="307" spans="2:33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 s="105"/>
      <c r="V307"/>
      <c r="W307"/>
      <c r="X307"/>
      <c r="Y307"/>
      <c r="Z307"/>
      <c r="AA307"/>
      <c r="AB307"/>
      <c r="AC307"/>
      <c r="AG307"/>
    </row>
    <row r="308" spans="2:33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 s="105"/>
      <c r="V308"/>
      <c r="W308"/>
      <c r="X308"/>
      <c r="Y308"/>
      <c r="Z308"/>
      <c r="AA308"/>
      <c r="AB308"/>
      <c r="AC308"/>
      <c r="AG308"/>
    </row>
    <row r="309" spans="2:33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 s="105"/>
      <c r="V309"/>
      <c r="W309"/>
      <c r="X309"/>
      <c r="Y309"/>
      <c r="Z309"/>
      <c r="AA309"/>
      <c r="AB309"/>
      <c r="AC309"/>
      <c r="AG309"/>
    </row>
    <row r="310" spans="2:33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 s="105"/>
      <c r="V310"/>
      <c r="W310"/>
      <c r="X310"/>
      <c r="Y310"/>
      <c r="Z310"/>
      <c r="AA310"/>
      <c r="AB310"/>
      <c r="AC310"/>
      <c r="AG310"/>
    </row>
    <row r="311" spans="2:33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 s="105"/>
      <c r="V311"/>
      <c r="W311"/>
      <c r="X311"/>
      <c r="Y311"/>
      <c r="Z311"/>
      <c r="AA311"/>
      <c r="AB311"/>
      <c r="AC311"/>
      <c r="AG311"/>
    </row>
    <row r="312" spans="2:33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 s="105"/>
      <c r="V312"/>
      <c r="W312"/>
      <c r="X312"/>
      <c r="Y312"/>
      <c r="Z312"/>
      <c r="AA312"/>
      <c r="AB312"/>
      <c r="AC312"/>
      <c r="AG312"/>
    </row>
    <row r="313" spans="2:33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 s="105"/>
      <c r="V313"/>
      <c r="W313"/>
      <c r="X313"/>
      <c r="Y313"/>
      <c r="Z313"/>
      <c r="AA313"/>
      <c r="AB313"/>
      <c r="AC313"/>
      <c r="AG313"/>
    </row>
    <row r="314" spans="2:33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 s="105"/>
      <c r="V314"/>
      <c r="W314"/>
      <c r="X314"/>
      <c r="Y314"/>
      <c r="Z314"/>
      <c r="AA314"/>
      <c r="AB314"/>
      <c r="AC314"/>
      <c r="AG314"/>
    </row>
    <row r="315" spans="2:33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 s="105"/>
      <c r="V315"/>
      <c r="W315"/>
      <c r="X315"/>
      <c r="Y315"/>
      <c r="Z315"/>
      <c r="AA315"/>
      <c r="AB315"/>
      <c r="AC315"/>
      <c r="AG315"/>
    </row>
    <row r="316" spans="2:33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 s="105"/>
      <c r="V316"/>
      <c r="W316"/>
      <c r="X316"/>
      <c r="Y316"/>
      <c r="Z316"/>
      <c r="AA316"/>
      <c r="AB316"/>
      <c r="AC316"/>
      <c r="AG316"/>
    </row>
    <row r="317" spans="2:33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 s="105"/>
      <c r="V317"/>
      <c r="W317"/>
      <c r="X317"/>
      <c r="Y317"/>
      <c r="Z317"/>
      <c r="AA317"/>
      <c r="AB317"/>
      <c r="AC317"/>
      <c r="AG317"/>
    </row>
    <row r="318" spans="2:33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 s="105"/>
      <c r="V318"/>
      <c r="W318"/>
      <c r="X318"/>
      <c r="Y318"/>
      <c r="Z318"/>
      <c r="AA318"/>
      <c r="AB318"/>
      <c r="AC318"/>
      <c r="AG318"/>
    </row>
    <row r="319" spans="2:33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 s="105"/>
      <c r="V319"/>
      <c r="W319"/>
      <c r="X319"/>
      <c r="Y319"/>
      <c r="Z319"/>
      <c r="AA319"/>
      <c r="AB319"/>
      <c r="AC319"/>
      <c r="AG319"/>
    </row>
    <row r="320" spans="2:33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 s="105"/>
      <c r="V320"/>
      <c r="W320"/>
      <c r="X320"/>
      <c r="Y320"/>
      <c r="Z320"/>
      <c r="AA320"/>
      <c r="AB320"/>
      <c r="AC320"/>
      <c r="AG320"/>
    </row>
    <row r="321" spans="2:33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 s="105"/>
      <c r="V321"/>
      <c r="W321"/>
      <c r="X321"/>
      <c r="Y321"/>
      <c r="Z321"/>
      <c r="AA321"/>
      <c r="AB321"/>
      <c r="AC321"/>
      <c r="AG321"/>
    </row>
    <row r="322" spans="2:33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 s="105"/>
      <c r="V322"/>
      <c r="W322"/>
      <c r="X322"/>
      <c r="Y322"/>
      <c r="Z322"/>
      <c r="AA322"/>
      <c r="AB322"/>
      <c r="AC322"/>
      <c r="AG322"/>
    </row>
    <row r="323" spans="2:33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 s="105"/>
      <c r="V323"/>
      <c r="W323"/>
      <c r="X323"/>
      <c r="Y323"/>
      <c r="Z323"/>
      <c r="AA323"/>
      <c r="AB323"/>
      <c r="AC323"/>
      <c r="AG323"/>
    </row>
    <row r="324" spans="2:33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 s="105"/>
      <c r="V324"/>
      <c r="W324"/>
      <c r="X324"/>
      <c r="Y324"/>
      <c r="Z324"/>
      <c r="AA324"/>
      <c r="AB324"/>
      <c r="AC324"/>
      <c r="AG324"/>
    </row>
    <row r="325" spans="2:33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 s="105"/>
      <c r="V325"/>
      <c r="W325"/>
      <c r="X325"/>
      <c r="Y325"/>
      <c r="Z325"/>
      <c r="AA325"/>
      <c r="AB325"/>
      <c r="AC325"/>
      <c r="AG325"/>
    </row>
    <row r="326" spans="2:33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 s="105"/>
      <c r="V326"/>
      <c r="W326"/>
      <c r="X326"/>
      <c r="Y326"/>
      <c r="Z326"/>
      <c r="AA326"/>
      <c r="AB326"/>
      <c r="AC326"/>
      <c r="AG326"/>
    </row>
    <row r="327" spans="2:33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 s="105"/>
      <c r="V327"/>
      <c r="W327"/>
      <c r="X327"/>
      <c r="Y327"/>
      <c r="Z327"/>
      <c r="AA327"/>
      <c r="AB327"/>
      <c r="AC327"/>
      <c r="AG327"/>
    </row>
    <row r="328" spans="2:33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 s="105"/>
      <c r="V328"/>
      <c r="W328"/>
      <c r="X328"/>
      <c r="Y328"/>
      <c r="Z328"/>
      <c r="AA328"/>
      <c r="AB328"/>
      <c r="AC328"/>
      <c r="AG328"/>
    </row>
    <row r="329" spans="2:33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 s="105"/>
      <c r="V329"/>
      <c r="W329"/>
      <c r="X329"/>
      <c r="Y329"/>
      <c r="Z329"/>
      <c r="AA329"/>
      <c r="AB329"/>
      <c r="AC329"/>
      <c r="AG329"/>
    </row>
    <row r="330" spans="2:33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 s="105"/>
      <c r="V330"/>
      <c r="W330"/>
      <c r="X330"/>
      <c r="Y330"/>
      <c r="Z330"/>
      <c r="AA330"/>
      <c r="AB330"/>
      <c r="AC330"/>
      <c r="AG330"/>
    </row>
    <row r="331" spans="2:33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 s="105"/>
      <c r="V331"/>
      <c r="W331"/>
      <c r="X331"/>
      <c r="Y331"/>
      <c r="Z331"/>
      <c r="AA331"/>
      <c r="AB331"/>
      <c r="AC331"/>
      <c r="AG331"/>
    </row>
    <row r="332" spans="2:33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 s="105"/>
      <c r="V332"/>
      <c r="W332"/>
      <c r="X332"/>
      <c r="Y332"/>
      <c r="Z332"/>
      <c r="AA332"/>
      <c r="AB332"/>
      <c r="AC332"/>
      <c r="AG332"/>
    </row>
    <row r="333" spans="2:33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 s="105"/>
      <c r="V333"/>
      <c r="W333"/>
      <c r="X333"/>
      <c r="Y333"/>
      <c r="Z333"/>
      <c r="AA333"/>
      <c r="AB333"/>
      <c r="AC333"/>
      <c r="AG333"/>
    </row>
    <row r="334" spans="2:33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 s="105"/>
      <c r="V334"/>
      <c r="W334"/>
      <c r="X334"/>
      <c r="Y334"/>
      <c r="Z334"/>
      <c r="AA334"/>
      <c r="AB334"/>
      <c r="AC334"/>
      <c r="AG334"/>
    </row>
    <row r="335" spans="2:33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 s="105"/>
      <c r="V335"/>
      <c r="W335"/>
      <c r="X335"/>
      <c r="Y335"/>
      <c r="Z335"/>
      <c r="AA335"/>
      <c r="AB335"/>
      <c r="AC335"/>
      <c r="AG335"/>
    </row>
    <row r="336" spans="2:33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 s="105"/>
      <c r="V336"/>
      <c r="W336"/>
      <c r="X336"/>
      <c r="Y336"/>
      <c r="Z336"/>
      <c r="AA336"/>
      <c r="AB336"/>
      <c r="AC336"/>
      <c r="AG336"/>
    </row>
    <row r="337" spans="2:33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 s="105"/>
      <c r="V337"/>
      <c r="W337"/>
      <c r="X337"/>
      <c r="Y337"/>
      <c r="Z337"/>
      <c r="AA337"/>
      <c r="AB337"/>
      <c r="AC337"/>
      <c r="AG337"/>
    </row>
    <row r="338" spans="2:33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 s="105"/>
      <c r="V338"/>
      <c r="W338"/>
      <c r="X338"/>
      <c r="Y338"/>
      <c r="Z338"/>
      <c r="AA338"/>
      <c r="AB338"/>
      <c r="AC338"/>
      <c r="AG338"/>
    </row>
    <row r="339" spans="2:33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 s="105"/>
      <c r="V339"/>
      <c r="W339"/>
      <c r="X339"/>
      <c r="Y339"/>
      <c r="Z339"/>
      <c r="AA339"/>
      <c r="AB339"/>
      <c r="AC339"/>
      <c r="AG339"/>
    </row>
    <row r="340" spans="2:33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 s="105"/>
      <c r="V340"/>
      <c r="W340"/>
      <c r="X340"/>
      <c r="Y340"/>
      <c r="Z340"/>
      <c r="AA340"/>
      <c r="AB340"/>
      <c r="AC340"/>
      <c r="AG340"/>
    </row>
    <row r="341" spans="2:33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 s="105"/>
      <c r="V341"/>
      <c r="W341"/>
      <c r="X341"/>
      <c r="Y341"/>
      <c r="Z341"/>
      <c r="AA341"/>
      <c r="AB341"/>
      <c r="AC341"/>
      <c r="AG341"/>
    </row>
    <row r="342" spans="2:33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 s="105"/>
      <c r="V342"/>
      <c r="W342"/>
      <c r="X342"/>
      <c r="Y342"/>
      <c r="Z342"/>
      <c r="AA342"/>
      <c r="AB342"/>
      <c r="AC342"/>
      <c r="AG342"/>
    </row>
    <row r="343" spans="2:33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 s="105"/>
      <c r="V343"/>
      <c r="W343"/>
      <c r="X343"/>
      <c r="Y343"/>
      <c r="Z343"/>
      <c r="AA343"/>
      <c r="AB343"/>
      <c r="AC343"/>
      <c r="AG343"/>
    </row>
    <row r="344" spans="2:33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 s="105"/>
      <c r="V344"/>
      <c r="W344"/>
      <c r="X344"/>
      <c r="Y344"/>
      <c r="Z344"/>
      <c r="AA344"/>
      <c r="AB344"/>
      <c r="AC344"/>
      <c r="AG344"/>
    </row>
    <row r="345" spans="2:33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 s="105"/>
      <c r="V345"/>
      <c r="W345"/>
      <c r="X345"/>
      <c r="Y345"/>
      <c r="Z345"/>
      <c r="AA345"/>
      <c r="AB345"/>
      <c r="AC345"/>
      <c r="AG345"/>
    </row>
    <row r="346" spans="2:33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 s="105"/>
      <c r="V346"/>
      <c r="W346"/>
      <c r="X346"/>
      <c r="Y346"/>
      <c r="Z346"/>
      <c r="AA346"/>
      <c r="AB346"/>
      <c r="AC346"/>
      <c r="AG346"/>
    </row>
    <row r="347" spans="2:33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 s="105"/>
      <c r="V347"/>
      <c r="W347"/>
      <c r="X347"/>
      <c r="Y347"/>
      <c r="Z347"/>
      <c r="AA347"/>
      <c r="AB347"/>
      <c r="AC347"/>
      <c r="AG347"/>
    </row>
    <row r="348" spans="2:33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 s="105"/>
      <c r="V348"/>
      <c r="W348"/>
      <c r="X348"/>
      <c r="Y348"/>
      <c r="Z348"/>
      <c r="AA348"/>
      <c r="AB348"/>
      <c r="AC348"/>
      <c r="AG348"/>
    </row>
    <row r="349" spans="2:33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 s="105"/>
      <c r="V349"/>
      <c r="W349"/>
      <c r="X349"/>
      <c r="Y349"/>
      <c r="Z349"/>
      <c r="AA349"/>
      <c r="AB349"/>
      <c r="AC349"/>
      <c r="AG349"/>
    </row>
    <row r="350" spans="2:33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 s="105"/>
      <c r="V350"/>
      <c r="W350"/>
      <c r="X350"/>
      <c r="Y350"/>
      <c r="Z350"/>
      <c r="AA350"/>
      <c r="AB350"/>
      <c r="AC350"/>
      <c r="AG350"/>
    </row>
    <row r="351" spans="2:33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 s="105"/>
      <c r="V351"/>
      <c r="W351"/>
      <c r="X351"/>
      <c r="Y351"/>
      <c r="Z351"/>
      <c r="AA351"/>
      <c r="AB351"/>
      <c r="AC351"/>
      <c r="AG351"/>
    </row>
    <row r="352" spans="2:33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 s="105"/>
      <c r="V352"/>
      <c r="W352"/>
      <c r="X352"/>
      <c r="Y352"/>
      <c r="Z352"/>
      <c r="AA352"/>
      <c r="AB352"/>
      <c r="AC352"/>
      <c r="AG352"/>
    </row>
    <row r="353" spans="2:33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 s="105"/>
      <c r="V353"/>
      <c r="W353"/>
      <c r="X353"/>
      <c r="Y353"/>
      <c r="Z353"/>
      <c r="AA353"/>
      <c r="AB353"/>
      <c r="AC353"/>
      <c r="AG353"/>
    </row>
    <row r="354" spans="2:33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 s="105"/>
      <c r="V354"/>
      <c r="W354"/>
      <c r="X354"/>
      <c r="Y354"/>
      <c r="Z354"/>
      <c r="AA354"/>
      <c r="AB354"/>
      <c r="AC354"/>
      <c r="AG354"/>
    </row>
    <row r="355" spans="2:33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 s="105"/>
      <c r="V355"/>
      <c r="W355"/>
      <c r="X355"/>
      <c r="Y355"/>
      <c r="Z355"/>
      <c r="AA355"/>
      <c r="AB355"/>
      <c r="AC355"/>
      <c r="AG355"/>
    </row>
    <row r="356" spans="2:33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 s="105"/>
      <c r="V356"/>
      <c r="W356"/>
      <c r="X356"/>
      <c r="Y356"/>
      <c r="Z356"/>
      <c r="AA356"/>
      <c r="AB356"/>
      <c r="AC356"/>
      <c r="AG356"/>
    </row>
    <row r="357" spans="2:33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 s="105"/>
      <c r="V357"/>
      <c r="W357"/>
      <c r="X357"/>
      <c r="Y357"/>
      <c r="Z357"/>
      <c r="AA357"/>
      <c r="AB357"/>
      <c r="AC357"/>
      <c r="AG357"/>
    </row>
    <row r="358" spans="2:33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 s="105"/>
      <c r="V358"/>
      <c r="W358"/>
      <c r="X358"/>
      <c r="Y358"/>
      <c r="Z358"/>
      <c r="AA358"/>
      <c r="AB358"/>
      <c r="AC358"/>
      <c r="AG358"/>
    </row>
    <row r="359" spans="2:33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 s="105"/>
      <c r="V359"/>
      <c r="W359"/>
      <c r="X359"/>
      <c r="Y359"/>
      <c r="Z359"/>
      <c r="AA359"/>
      <c r="AB359"/>
      <c r="AC359"/>
      <c r="AG359"/>
    </row>
    <row r="360" spans="2:33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 s="105"/>
      <c r="V360"/>
      <c r="W360"/>
      <c r="X360"/>
      <c r="Y360"/>
      <c r="Z360"/>
      <c r="AA360"/>
      <c r="AB360"/>
      <c r="AC360"/>
      <c r="AG360"/>
    </row>
    <row r="361" spans="2:33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 s="105"/>
      <c r="V361"/>
      <c r="W361"/>
      <c r="X361"/>
      <c r="Y361"/>
      <c r="Z361"/>
      <c r="AA361"/>
      <c r="AB361"/>
      <c r="AC361"/>
      <c r="AG361"/>
    </row>
    <row r="362" spans="2:33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 s="105"/>
      <c r="V362"/>
      <c r="W362"/>
      <c r="X362"/>
      <c r="Y362"/>
      <c r="Z362"/>
      <c r="AA362"/>
      <c r="AB362"/>
      <c r="AC362"/>
      <c r="AG362"/>
    </row>
    <row r="363" spans="2:33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 s="105"/>
      <c r="V363"/>
      <c r="W363"/>
      <c r="X363"/>
      <c r="Y363"/>
      <c r="Z363"/>
      <c r="AA363"/>
      <c r="AB363"/>
      <c r="AC363"/>
      <c r="AG363"/>
    </row>
    <row r="364" spans="2:33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 s="105"/>
      <c r="V364"/>
      <c r="W364"/>
      <c r="X364"/>
      <c r="Y364"/>
      <c r="Z364"/>
      <c r="AA364"/>
      <c r="AB364"/>
      <c r="AC364"/>
      <c r="AG364"/>
    </row>
    <row r="365" spans="2:33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 s="105"/>
      <c r="V365"/>
      <c r="W365"/>
      <c r="X365"/>
      <c r="Y365"/>
      <c r="Z365"/>
      <c r="AA365"/>
      <c r="AB365"/>
      <c r="AC365"/>
      <c r="AG365"/>
    </row>
    <row r="366" spans="2:33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 s="105"/>
      <c r="V366"/>
      <c r="W366"/>
      <c r="X366"/>
      <c r="Y366"/>
      <c r="Z366"/>
      <c r="AA366"/>
      <c r="AB366"/>
      <c r="AC366"/>
      <c r="AG366"/>
    </row>
    <row r="367" spans="2:33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 s="105"/>
      <c r="V367"/>
      <c r="W367"/>
      <c r="X367"/>
      <c r="Y367"/>
      <c r="Z367"/>
      <c r="AA367"/>
      <c r="AB367"/>
      <c r="AC367"/>
      <c r="AG367"/>
    </row>
    <row r="368" spans="2:33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 s="105"/>
      <c r="V368"/>
      <c r="W368"/>
      <c r="X368"/>
      <c r="Y368"/>
      <c r="Z368"/>
      <c r="AA368"/>
      <c r="AB368"/>
      <c r="AC368"/>
      <c r="AG368"/>
    </row>
    <row r="369" spans="2:33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 s="105"/>
      <c r="V369"/>
      <c r="W369"/>
      <c r="X369"/>
      <c r="Y369"/>
      <c r="Z369"/>
      <c r="AA369"/>
      <c r="AB369"/>
      <c r="AC369"/>
      <c r="AG369"/>
    </row>
    <row r="370" spans="2:33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 s="105"/>
      <c r="V370"/>
      <c r="W370"/>
      <c r="X370"/>
      <c r="Y370"/>
      <c r="Z370"/>
      <c r="AA370"/>
      <c r="AB370"/>
      <c r="AC370"/>
      <c r="AG370"/>
    </row>
    <row r="371" spans="2:33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 s="105"/>
      <c r="V371"/>
      <c r="W371"/>
      <c r="X371"/>
      <c r="Y371"/>
      <c r="Z371"/>
      <c r="AA371"/>
      <c r="AB371"/>
      <c r="AC371"/>
      <c r="AG371"/>
    </row>
    <row r="372" spans="2:33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 s="105"/>
      <c r="V372"/>
      <c r="W372"/>
      <c r="X372"/>
      <c r="Y372"/>
      <c r="Z372"/>
      <c r="AA372"/>
      <c r="AB372"/>
      <c r="AC372"/>
      <c r="AG372"/>
    </row>
    <row r="373" spans="2:33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 s="105"/>
      <c r="V373"/>
      <c r="W373"/>
      <c r="X373"/>
      <c r="Y373"/>
      <c r="Z373"/>
      <c r="AA373"/>
      <c r="AB373"/>
      <c r="AC373"/>
      <c r="AG373"/>
    </row>
    <row r="374" spans="2:33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 s="105"/>
      <c r="V374"/>
      <c r="W374"/>
      <c r="X374"/>
      <c r="Y374"/>
      <c r="Z374"/>
      <c r="AA374"/>
      <c r="AB374"/>
      <c r="AC374"/>
      <c r="AG374"/>
    </row>
    <row r="375" spans="2:33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 s="105"/>
      <c r="V375"/>
      <c r="W375"/>
      <c r="X375"/>
      <c r="Y375"/>
      <c r="Z375"/>
      <c r="AA375"/>
      <c r="AB375"/>
      <c r="AC375"/>
      <c r="AG375"/>
    </row>
    <row r="376" spans="2:33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 s="105"/>
      <c r="V376"/>
      <c r="W376"/>
      <c r="X376"/>
      <c r="Y376"/>
      <c r="Z376"/>
      <c r="AA376"/>
      <c r="AB376"/>
      <c r="AC376"/>
      <c r="AG376"/>
    </row>
    <row r="377" spans="2:33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 s="105"/>
      <c r="V377"/>
      <c r="W377"/>
      <c r="X377"/>
      <c r="Y377"/>
      <c r="Z377"/>
      <c r="AA377"/>
      <c r="AB377"/>
      <c r="AC377"/>
      <c r="AG377"/>
    </row>
    <row r="378" spans="2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 s="105"/>
      <c r="V378"/>
      <c r="W378"/>
      <c r="X378"/>
      <c r="Y378"/>
      <c r="Z378"/>
      <c r="AA378"/>
      <c r="AB378"/>
      <c r="AC378"/>
      <c r="AG378"/>
    </row>
    <row r="379" spans="2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 s="105"/>
      <c r="V379"/>
      <c r="W379"/>
      <c r="X379"/>
      <c r="Y379"/>
      <c r="Z379"/>
      <c r="AA379"/>
      <c r="AB379"/>
      <c r="AC379"/>
      <c r="AG379"/>
    </row>
    <row r="380" spans="2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 s="105"/>
      <c r="V380"/>
      <c r="W380"/>
      <c r="X380"/>
      <c r="Y380"/>
      <c r="Z380"/>
      <c r="AA380"/>
      <c r="AB380"/>
      <c r="AC380"/>
      <c r="AG380"/>
    </row>
    <row r="381" spans="2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 s="105"/>
      <c r="V381"/>
      <c r="W381"/>
      <c r="X381"/>
      <c r="Y381"/>
      <c r="Z381"/>
      <c r="AA381"/>
      <c r="AB381"/>
      <c r="AC381"/>
      <c r="AG381"/>
    </row>
    <row r="382" spans="2:33">
      <c r="AG38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G47"/>
  <sheetViews>
    <sheetView zoomScale="75" zoomScaleNormal="75" workbookViewId="0">
      <selection activeCell="B4" sqref="B4:C47"/>
    </sheetView>
  </sheetViews>
  <sheetFormatPr defaultRowHeight="14.4"/>
  <cols>
    <col min="2" max="2" width="11.33203125" customWidth="1"/>
    <col min="3" max="3" width="8" customWidth="1"/>
    <col min="4" max="4" width="11.5546875" customWidth="1"/>
    <col min="5" max="6" width="8" customWidth="1"/>
    <col min="7" max="7" width="9.6640625" customWidth="1"/>
    <col min="8" max="8" width="9.33203125" customWidth="1"/>
    <col min="9" max="17" width="5.6640625" customWidth="1"/>
    <col min="18" max="20" width="7.5546875" customWidth="1"/>
    <col min="21" max="21" width="11.44140625" style="352" customWidth="1"/>
    <col min="22" max="22" width="2.6640625" customWidth="1"/>
    <col min="23" max="23" width="2.88671875" customWidth="1"/>
  </cols>
  <sheetData>
    <row r="1" spans="1:31">
      <c r="A1" s="142" t="s">
        <v>58</v>
      </c>
      <c r="X1" s="746"/>
      <c r="Y1" s="329" t="s">
        <v>462</v>
      </c>
      <c r="Z1" s="329"/>
      <c r="AA1" s="329"/>
      <c r="AB1" s="329"/>
      <c r="AC1" s="329"/>
      <c r="AD1" s="329"/>
      <c r="AE1" s="332"/>
    </row>
    <row r="2" spans="1:31">
      <c r="B2" s="170" t="s">
        <v>197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6"/>
      <c r="U2" s="396" t="s">
        <v>196</v>
      </c>
      <c r="X2" s="6"/>
      <c r="Y2" s="1"/>
      <c r="Z2" s="1"/>
      <c r="AA2" s="1"/>
      <c r="AB2" s="1"/>
      <c r="AC2" s="1"/>
      <c r="AD2" s="1"/>
      <c r="AE2" s="135"/>
    </row>
    <row r="3" spans="1:31">
      <c r="A3" s="142"/>
      <c r="B3" s="6" t="s">
        <v>66</v>
      </c>
      <c r="C3" s="1"/>
      <c r="D3" s="1"/>
      <c r="E3" s="1" t="s">
        <v>177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397" t="s">
        <v>96</v>
      </c>
      <c r="X3" s="746"/>
      <c r="Y3" s="329" t="s">
        <v>462</v>
      </c>
      <c r="Z3" s="329"/>
      <c r="AA3" s="329"/>
      <c r="AB3" s="329"/>
      <c r="AC3" s="329"/>
      <c r="AD3" s="329"/>
      <c r="AE3" s="332"/>
    </row>
    <row r="4" spans="1:31">
      <c r="B4" s="392" t="s">
        <v>39</v>
      </c>
      <c r="C4" s="340" t="s">
        <v>36</v>
      </c>
      <c r="D4" s="131"/>
      <c r="E4" s="131"/>
      <c r="F4" s="131"/>
      <c r="G4" s="131"/>
      <c r="H4" s="131"/>
      <c r="I4" s="125" t="s">
        <v>181</v>
      </c>
      <c r="J4" s="121"/>
      <c r="K4" s="121"/>
      <c r="L4" s="121"/>
      <c r="M4" s="121"/>
      <c r="N4" s="122"/>
      <c r="O4" s="10"/>
      <c r="P4" s="11" t="s">
        <v>170</v>
      </c>
      <c r="Q4" s="11"/>
      <c r="R4" s="11"/>
      <c r="S4" s="11"/>
      <c r="T4" s="11"/>
      <c r="U4" s="398" t="s">
        <v>195</v>
      </c>
      <c r="X4" s="6"/>
      <c r="Y4" s="1" t="s">
        <v>627</v>
      </c>
      <c r="Z4" s="1"/>
      <c r="AA4" s="6"/>
      <c r="AB4" s="1" t="s">
        <v>626</v>
      </c>
      <c r="AC4" s="1"/>
      <c r="AD4" s="1"/>
      <c r="AE4" s="135"/>
    </row>
    <row r="5" spans="1:31" ht="15.6">
      <c r="B5" s="12" t="s">
        <v>190</v>
      </c>
      <c r="C5" s="400" t="s">
        <v>135</v>
      </c>
      <c r="D5" s="38" t="s">
        <v>67</v>
      </c>
      <c r="E5" s="111"/>
      <c r="F5" s="38"/>
      <c r="G5" s="38"/>
      <c r="H5" s="38"/>
      <c r="I5" s="127">
        <v>1</v>
      </c>
      <c r="J5" s="128">
        <v>2</v>
      </c>
      <c r="K5" s="128">
        <v>3</v>
      </c>
      <c r="L5" s="128">
        <v>4</v>
      </c>
      <c r="M5" s="128">
        <v>5</v>
      </c>
      <c r="N5" s="129">
        <v>6</v>
      </c>
      <c r="O5" s="6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" t="s">
        <v>5</v>
      </c>
      <c r="U5" s="399" t="s">
        <v>136</v>
      </c>
      <c r="X5" s="6"/>
      <c r="Y5" s="145" t="s">
        <v>7</v>
      </c>
      <c r="Z5" s="145"/>
      <c r="AA5" s="137"/>
      <c r="AB5" s="145" t="s">
        <v>7</v>
      </c>
      <c r="AC5" s="1"/>
      <c r="AD5" s="1"/>
      <c r="AE5" s="135"/>
    </row>
    <row r="6" spans="1:31">
      <c r="B6" s="341" t="s">
        <v>182</v>
      </c>
      <c r="C6" s="401" t="s">
        <v>192</v>
      </c>
      <c r="D6" s="394" t="s">
        <v>163</v>
      </c>
      <c r="E6" s="395" t="s">
        <v>164</v>
      </c>
      <c r="F6" s="394" t="s">
        <v>147</v>
      </c>
      <c r="G6" s="394" t="s">
        <v>185</v>
      </c>
      <c r="H6" s="394" t="s">
        <v>148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03" t="s">
        <v>0</v>
      </c>
      <c r="X6" s="951" t="s">
        <v>25</v>
      </c>
      <c r="Y6" s="952" t="s">
        <v>26</v>
      </c>
      <c r="Z6" s="952" t="s">
        <v>434</v>
      </c>
      <c r="AA6" s="538" t="s">
        <v>25</v>
      </c>
      <c r="AB6" s="539" t="s">
        <v>26</v>
      </c>
      <c r="AC6" s="539" t="s">
        <v>434</v>
      </c>
      <c r="AD6" s="851" t="s">
        <v>621</v>
      </c>
      <c r="AE6" s="954" t="s">
        <v>622</v>
      </c>
    </row>
    <row r="7" spans="1:31">
      <c r="B7" s="138">
        <v>0</v>
      </c>
      <c r="C7" s="133">
        <v>0</v>
      </c>
      <c r="D7" s="3">
        <v>0.29099999999999998</v>
      </c>
      <c r="E7" s="216">
        <v>0</v>
      </c>
      <c r="F7" s="136">
        <v>4.3999999999999997E-2</v>
      </c>
      <c r="G7" s="136">
        <v>3.1150000000000002</v>
      </c>
      <c r="H7" s="136">
        <v>0.05</v>
      </c>
      <c r="I7" s="130">
        <v>0</v>
      </c>
      <c r="J7" s="118">
        <v>0</v>
      </c>
      <c r="K7" s="118">
        <v>0</v>
      </c>
      <c r="L7" s="118">
        <v>0</v>
      </c>
      <c r="M7" s="118">
        <v>0</v>
      </c>
      <c r="N7" s="119">
        <v>0</v>
      </c>
      <c r="O7" s="173">
        <v>0</v>
      </c>
      <c r="P7" s="171">
        <v>0</v>
      </c>
      <c r="Q7" s="171">
        <v>0</v>
      </c>
      <c r="R7" s="152">
        <v>0</v>
      </c>
      <c r="S7" s="152">
        <v>0</v>
      </c>
      <c r="T7" s="28">
        <v>0</v>
      </c>
      <c r="U7" s="363" t="s">
        <v>194</v>
      </c>
      <c r="V7" s="142"/>
      <c r="W7" s="142"/>
      <c r="X7" s="2">
        <v>-4.0000000000000001E-3</v>
      </c>
      <c r="Y7" s="3">
        <v>1.4999999999999999E-2</v>
      </c>
      <c r="Z7" s="3">
        <v>2E-3</v>
      </c>
      <c r="AA7" s="959">
        <f>X7--0.004</f>
        <v>0</v>
      </c>
      <c r="AB7" s="120">
        <f>Y7-0.015</f>
        <v>0</v>
      </c>
      <c r="AC7" s="120">
        <f>Z7-0.002</f>
        <v>0</v>
      </c>
      <c r="AD7" s="953" t="s">
        <v>625</v>
      </c>
      <c r="AE7" s="955" t="s">
        <v>625</v>
      </c>
    </row>
    <row r="8" spans="1:31">
      <c r="B8" s="137">
        <v>50</v>
      </c>
      <c r="C8" s="402">
        <v>50</v>
      </c>
      <c r="D8" s="27">
        <v>0.34100000000000003</v>
      </c>
      <c r="E8" s="75">
        <f t="shared" ref="E8:E19" si="0">D8-RepX110</f>
        <v>5.0000000000000044E-2</v>
      </c>
      <c r="F8" s="132">
        <v>4.2999999999999997E-2</v>
      </c>
      <c r="G8" s="132">
        <v>3.1160000000000001</v>
      </c>
      <c r="H8" s="132">
        <v>4.9000000000000002E-2</v>
      </c>
      <c r="I8" s="127">
        <v>-25</v>
      </c>
      <c r="J8" s="128">
        <v>25</v>
      </c>
      <c r="K8" s="128">
        <v>0</v>
      </c>
      <c r="L8" s="128">
        <v>-25</v>
      </c>
      <c r="M8" s="128">
        <v>25</v>
      </c>
      <c r="N8" s="129">
        <v>0</v>
      </c>
      <c r="O8" s="6">
        <v>51</v>
      </c>
      <c r="P8" s="151">
        <v>0</v>
      </c>
      <c r="Q8" s="151">
        <v>0</v>
      </c>
      <c r="R8" s="147">
        <v>0</v>
      </c>
      <c r="S8" s="147">
        <v>0</v>
      </c>
      <c r="T8" s="17">
        <v>0</v>
      </c>
      <c r="U8" s="364">
        <f>ABS(E8*1000-C8)</f>
        <v>4.2632564145606011E-14</v>
      </c>
      <c r="X8" s="6">
        <v>4.5999999999999999E-2</v>
      </c>
      <c r="Y8" s="1">
        <v>1.4999999999999999E-2</v>
      </c>
      <c r="Z8" s="1">
        <v>1E-3</v>
      </c>
      <c r="AA8" s="78">
        <f t="shared" ref="AA8:AA19" si="1">X8--0.004</f>
        <v>0.05</v>
      </c>
      <c r="AB8" s="8">
        <f t="shared" ref="AB8:AB19" si="2">Y8-0.015</f>
        <v>0</v>
      </c>
      <c r="AC8" s="8">
        <f t="shared" ref="AC8:AC19" si="3">Z8-0.002</f>
        <v>-1E-3</v>
      </c>
      <c r="AD8" s="354">
        <f>1000*AA8-B8</f>
        <v>0</v>
      </c>
      <c r="AE8" s="850">
        <f t="shared" ref="AE8:AE19" si="4">1000*STDEV(AB8,AC8)</f>
        <v>0.70710678118654746</v>
      </c>
    </row>
    <row r="9" spans="1:31">
      <c r="B9" s="137">
        <v>0</v>
      </c>
      <c r="C9" s="402">
        <v>-1</v>
      </c>
      <c r="D9" s="27">
        <v>0.29099999999999998</v>
      </c>
      <c r="E9" s="75">
        <f t="shared" si="0"/>
        <v>0</v>
      </c>
      <c r="F9" s="132">
        <v>4.5999999999999999E-2</v>
      </c>
      <c r="G9" s="132">
        <v>3.1160000000000001</v>
      </c>
      <c r="H9" s="132">
        <v>4.9000000000000002E-2</v>
      </c>
      <c r="I9" s="127">
        <v>0</v>
      </c>
      <c r="J9" s="128">
        <v>0</v>
      </c>
      <c r="K9" s="128">
        <v>0</v>
      </c>
      <c r="L9" s="128">
        <v>0</v>
      </c>
      <c r="M9" s="128">
        <v>0</v>
      </c>
      <c r="N9" s="129">
        <v>0</v>
      </c>
      <c r="O9" s="6">
        <v>-1</v>
      </c>
      <c r="P9" s="151">
        <v>0</v>
      </c>
      <c r="Q9" s="151">
        <v>0</v>
      </c>
      <c r="R9" s="17">
        <v>0</v>
      </c>
      <c r="S9" s="17">
        <v>0</v>
      </c>
      <c r="T9" s="17">
        <v>0</v>
      </c>
      <c r="U9" s="364">
        <f t="shared" ref="U9:U19" si="5">ABS(E9*1000-C9)</f>
        <v>1</v>
      </c>
      <c r="X9" s="6">
        <v>-5.0000000000000001E-3</v>
      </c>
      <c r="Y9" s="1">
        <v>1.4E-2</v>
      </c>
      <c r="Z9" s="1">
        <v>1E-3</v>
      </c>
      <c r="AA9" s="78">
        <f t="shared" si="1"/>
        <v>-1E-3</v>
      </c>
      <c r="AB9" s="8">
        <f t="shared" si="2"/>
        <v>-9.9999999999999915E-4</v>
      </c>
      <c r="AC9" s="8">
        <f t="shared" si="3"/>
        <v>-1E-3</v>
      </c>
      <c r="AD9" s="354">
        <f t="shared" ref="AD9:AD19" si="6">1000*AA9-B9</f>
        <v>-1</v>
      </c>
      <c r="AE9" s="850">
        <f t="shared" si="4"/>
        <v>6.1331736667334966E-16</v>
      </c>
    </row>
    <row r="10" spans="1:31">
      <c r="B10" s="137">
        <v>-50</v>
      </c>
      <c r="C10" s="402">
        <v>-51</v>
      </c>
      <c r="D10" s="27">
        <v>0.24299999999999999</v>
      </c>
      <c r="E10" s="75">
        <f t="shared" si="0"/>
        <v>-4.7999999999999987E-2</v>
      </c>
      <c r="F10" s="132">
        <v>4.4999999999999998E-2</v>
      </c>
      <c r="G10" s="132">
        <v>3.1150000000000002</v>
      </c>
      <c r="H10" s="132">
        <v>5.0999999999999997E-2</v>
      </c>
      <c r="I10" s="127">
        <v>25</v>
      </c>
      <c r="J10" s="128">
        <v>-25</v>
      </c>
      <c r="K10" s="128">
        <v>0</v>
      </c>
      <c r="L10" s="128">
        <v>25</v>
      </c>
      <c r="M10" s="128">
        <v>-25</v>
      </c>
      <c r="N10" s="129">
        <v>0</v>
      </c>
      <c r="O10" s="6">
        <v>-51</v>
      </c>
      <c r="P10" s="151">
        <v>0</v>
      </c>
      <c r="Q10" s="151">
        <v>0</v>
      </c>
      <c r="R10" s="17">
        <v>0</v>
      </c>
      <c r="S10" s="17">
        <v>0</v>
      </c>
      <c r="T10" s="17">
        <v>0</v>
      </c>
      <c r="U10" s="364">
        <f t="shared" si="5"/>
        <v>3.0000000000000142</v>
      </c>
      <c r="X10" s="6">
        <v>-5.5E-2</v>
      </c>
      <c r="Y10" s="1">
        <v>1.2999999999999999E-2</v>
      </c>
      <c r="Z10" s="1">
        <v>0</v>
      </c>
      <c r="AA10" s="78">
        <f t="shared" si="1"/>
        <v>-5.1000000000000004E-2</v>
      </c>
      <c r="AB10" s="8">
        <f t="shared" si="2"/>
        <v>-2E-3</v>
      </c>
      <c r="AC10" s="8">
        <f t="shared" si="3"/>
        <v>-2E-3</v>
      </c>
      <c r="AD10" s="354">
        <f t="shared" si="6"/>
        <v>-1.0000000000000071</v>
      </c>
      <c r="AE10" s="850">
        <f t="shared" si="4"/>
        <v>0</v>
      </c>
    </row>
    <row r="11" spans="1:31">
      <c r="B11" s="137">
        <v>0</v>
      </c>
      <c r="C11" s="402">
        <v>0</v>
      </c>
      <c r="D11" s="27">
        <v>0.29199999999999998</v>
      </c>
      <c r="E11" s="75">
        <f t="shared" si="0"/>
        <v>1.0000000000000009E-3</v>
      </c>
      <c r="F11" s="132">
        <v>4.1000000000000002E-2</v>
      </c>
      <c r="G11" s="132">
        <v>3.1150000000000002</v>
      </c>
      <c r="H11" s="132">
        <v>5.0999999999999997E-2</v>
      </c>
      <c r="I11" s="127">
        <v>0</v>
      </c>
      <c r="J11" s="128">
        <v>0</v>
      </c>
      <c r="K11" s="128">
        <v>0</v>
      </c>
      <c r="L11" s="128">
        <v>0</v>
      </c>
      <c r="M11" s="128">
        <v>0</v>
      </c>
      <c r="N11" s="129">
        <v>0</v>
      </c>
      <c r="O11" s="6">
        <v>0</v>
      </c>
      <c r="P11" s="151">
        <v>0</v>
      </c>
      <c r="Q11" s="151">
        <v>0</v>
      </c>
      <c r="R11" s="17">
        <v>0</v>
      </c>
      <c r="S11" s="17">
        <v>0</v>
      </c>
      <c r="T11" s="17">
        <v>0</v>
      </c>
      <c r="U11" s="364">
        <f t="shared" si="5"/>
        <v>1.0000000000000009</v>
      </c>
      <c r="X11" s="6">
        <v>-3.0000000000000001E-3</v>
      </c>
      <c r="Y11" s="1">
        <v>1.4999999999999999E-2</v>
      </c>
      <c r="Z11" s="1">
        <v>2E-3</v>
      </c>
      <c r="AA11" s="78">
        <f t="shared" si="1"/>
        <v>1E-3</v>
      </c>
      <c r="AB11" s="8">
        <f t="shared" si="2"/>
        <v>0</v>
      </c>
      <c r="AC11" s="8">
        <f t="shared" si="3"/>
        <v>0</v>
      </c>
      <c r="AD11" s="354">
        <f t="shared" si="6"/>
        <v>1</v>
      </c>
      <c r="AE11" s="850">
        <f t="shared" si="4"/>
        <v>0</v>
      </c>
    </row>
    <row r="12" spans="1:31">
      <c r="B12" s="137">
        <v>50</v>
      </c>
      <c r="C12" s="402">
        <v>50</v>
      </c>
      <c r="D12" s="27">
        <v>0.34100000000000003</v>
      </c>
      <c r="E12" s="75">
        <f t="shared" si="0"/>
        <v>5.0000000000000044E-2</v>
      </c>
      <c r="F12" s="132">
        <v>4.2999999999999997E-2</v>
      </c>
      <c r="G12" s="132">
        <v>3.1160000000000001</v>
      </c>
      <c r="H12" s="132">
        <v>4.9000000000000002E-2</v>
      </c>
      <c r="I12" s="127">
        <v>-25</v>
      </c>
      <c r="J12" s="128">
        <v>25</v>
      </c>
      <c r="K12" s="128">
        <v>0</v>
      </c>
      <c r="L12" s="128">
        <v>-25</v>
      </c>
      <c r="M12" s="128">
        <v>25</v>
      </c>
      <c r="N12" s="129">
        <v>0</v>
      </c>
      <c r="O12" s="6">
        <v>51</v>
      </c>
      <c r="P12" s="151">
        <v>0</v>
      </c>
      <c r="Q12" s="151">
        <v>0</v>
      </c>
      <c r="R12" s="17">
        <v>0</v>
      </c>
      <c r="S12" s="17">
        <v>0</v>
      </c>
      <c r="T12" s="17">
        <v>0</v>
      </c>
      <c r="U12" s="364">
        <f t="shared" si="5"/>
        <v>4.2632564145606011E-14</v>
      </c>
      <c r="X12" s="6">
        <v>4.5999999999999999E-2</v>
      </c>
      <c r="Y12" s="1">
        <v>1.4999999999999999E-2</v>
      </c>
      <c r="Z12" s="1">
        <v>0</v>
      </c>
      <c r="AA12" s="78">
        <f t="shared" si="1"/>
        <v>0.05</v>
      </c>
      <c r="AB12" s="8">
        <f t="shared" si="2"/>
        <v>0</v>
      </c>
      <c r="AC12" s="8">
        <f t="shared" si="3"/>
        <v>-2E-3</v>
      </c>
      <c r="AD12" s="354">
        <f t="shared" si="6"/>
        <v>0</v>
      </c>
      <c r="AE12" s="850">
        <f t="shared" si="4"/>
        <v>1.4142135623730949</v>
      </c>
    </row>
    <row r="13" spans="1:31">
      <c r="B13" s="137">
        <v>0</v>
      </c>
      <c r="C13" s="402">
        <v>-1</v>
      </c>
      <c r="D13" s="27">
        <v>0.29099999999999998</v>
      </c>
      <c r="E13" s="75">
        <f t="shared" si="0"/>
        <v>0</v>
      </c>
      <c r="F13" s="132">
        <v>4.5999999999999999E-2</v>
      </c>
      <c r="G13" s="132">
        <v>3.1160000000000001</v>
      </c>
      <c r="H13" s="132">
        <v>4.9000000000000002E-2</v>
      </c>
      <c r="I13" s="127">
        <v>0</v>
      </c>
      <c r="J13" s="128">
        <v>0</v>
      </c>
      <c r="K13" s="128">
        <v>0</v>
      </c>
      <c r="L13" s="128">
        <v>0</v>
      </c>
      <c r="M13" s="128">
        <v>0</v>
      </c>
      <c r="N13" s="129">
        <v>0</v>
      </c>
      <c r="O13" s="6">
        <v>-1</v>
      </c>
      <c r="P13" s="151">
        <v>0</v>
      </c>
      <c r="Q13" s="151">
        <v>0</v>
      </c>
      <c r="R13" s="17">
        <v>0</v>
      </c>
      <c r="S13" s="17">
        <v>0</v>
      </c>
      <c r="T13" s="17">
        <v>0</v>
      </c>
      <c r="U13" s="364">
        <f t="shared" si="5"/>
        <v>1</v>
      </c>
      <c r="X13" s="6">
        <v>-5.0000000000000001E-3</v>
      </c>
      <c r="Y13" s="1">
        <v>1.4999999999999999E-2</v>
      </c>
      <c r="Z13" s="1">
        <v>1E-3</v>
      </c>
      <c r="AA13" s="78">
        <f t="shared" si="1"/>
        <v>-1E-3</v>
      </c>
      <c r="AB13" s="8">
        <f t="shared" si="2"/>
        <v>0</v>
      </c>
      <c r="AC13" s="8">
        <f>Z13-0.002</f>
        <v>-1E-3</v>
      </c>
      <c r="AD13" s="354">
        <f t="shared" si="6"/>
        <v>-1</v>
      </c>
      <c r="AE13" s="850">
        <f t="shared" si="4"/>
        <v>0.70710678118654746</v>
      </c>
    </row>
    <row r="14" spans="1:31">
      <c r="B14" s="137">
        <v>-50</v>
      </c>
      <c r="C14" s="402">
        <v>-51</v>
      </c>
      <c r="D14" s="27">
        <v>0.24299999999999999</v>
      </c>
      <c r="E14" s="75">
        <f t="shared" si="0"/>
        <v>-4.7999999999999987E-2</v>
      </c>
      <c r="F14" s="132">
        <v>4.4999999999999998E-2</v>
      </c>
      <c r="G14" s="132">
        <v>3.1150000000000002</v>
      </c>
      <c r="H14" s="132">
        <v>5.0999999999999997E-2</v>
      </c>
      <c r="I14" s="127">
        <v>25</v>
      </c>
      <c r="J14" s="128">
        <v>-25</v>
      </c>
      <c r="K14" s="128">
        <v>0</v>
      </c>
      <c r="L14" s="128">
        <v>25</v>
      </c>
      <c r="M14" s="128">
        <v>-25</v>
      </c>
      <c r="N14" s="129">
        <v>0</v>
      </c>
      <c r="O14" s="6">
        <v>-51</v>
      </c>
      <c r="P14" s="151">
        <v>0</v>
      </c>
      <c r="Q14" s="151">
        <v>0</v>
      </c>
      <c r="R14" s="17">
        <v>0</v>
      </c>
      <c r="S14" s="17">
        <v>0</v>
      </c>
      <c r="T14" s="17">
        <v>0</v>
      </c>
      <c r="U14" s="364">
        <f t="shared" si="5"/>
        <v>3.0000000000000142</v>
      </c>
      <c r="X14" s="6">
        <v>-5.5E-2</v>
      </c>
      <c r="Y14" s="1">
        <v>1.4E-2</v>
      </c>
      <c r="Z14" s="1">
        <v>0</v>
      </c>
      <c r="AA14" s="78">
        <f t="shared" si="1"/>
        <v>-5.1000000000000004E-2</v>
      </c>
      <c r="AB14" s="8">
        <f t="shared" si="2"/>
        <v>-9.9999999999999915E-4</v>
      </c>
      <c r="AC14" s="8">
        <f t="shared" si="3"/>
        <v>-2E-3</v>
      </c>
      <c r="AD14" s="354">
        <f t="shared" si="6"/>
        <v>-1.0000000000000071</v>
      </c>
      <c r="AE14" s="850">
        <f t="shared" si="4"/>
        <v>0.70710678118654813</v>
      </c>
    </row>
    <row r="15" spans="1:31">
      <c r="B15" s="137">
        <v>0</v>
      </c>
      <c r="C15" s="402">
        <v>0</v>
      </c>
      <c r="D15" s="27">
        <v>0.29199999999999998</v>
      </c>
      <c r="E15" s="75">
        <f t="shared" si="0"/>
        <v>1.0000000000000009E-3</v>
      </c>
      <c r="F15" s="132">
        <v>4.1000000000000002E-2</v>
      </c>
      <c r="G15" s="132">
        <v>3.1150000000000002</v>
      </c>
      <c r="H15" s="132">
        <v>5.0999999999999997E-2</v>
      </c>
      <c r="I15" s="127">
        <v>0</v>
      </c>
      <c r="J15" s="128">
        <v>0</v>
      </c>
      <c r="K15" s="128">
        <v>0</v>
      </c>
      <c r="L15" s="128">
        <v>0</v>
      </c>
      <c r="M15" s="128">
        <v>0</v>
      </c>
      <c r="N15" s="129">
        <v>0</v>
      </c>
      <c r="O15" s="6">
        <v>0</v>
      </c>
      <c r="P15" s="151">
        <v>0</v>
      </c>
      <c r="Q15" s="151">
        <v>0</v>
      </c>
      <c r="R15" s="17">
        <v>0</v>
      </c>
      <c r="S15" s="17">
        <v>0</v>
      </c>
      <c r="T15" s="17">
        <v>0</v>
      </c>
      <c r="U15" s="364">
        <f t="shared" si="5"/>
        <v>1.0000000000000009</v>
      </c>
      <c r="X15" s="6">
        <v>-3.0000000000000001E-3</v>
      </c>
      <c r="Y15" s="1">
        <v>1.4999999999999999E-2</v>
      </c>
      <c r="Z15" s="1">
        <v>3.0000000000000001E-3</v>
      </c>
      <c r="AA15" s="78">
        <f t="shared" si="1"/>
        <v>1E-3</v>
      </c>
      <c r="AB15" s="8">
        <f t="shared" si="2"/>
        <v>0</v>
      </c>
      <c r="AC15" s="8">
        <f t="shared" si="3"/>
        <v>1E-3</v>
      </c>
      <c r="AD15" s="354">
        <f t="shared" si="6"/>
        <v>1</v>
      </c>
      <c r="AE15" s="850">
        <f t="shared" si="4"/>
        <v>0.70710678118654746</v>
      </c>
    </row>
    <row r="16" spans="1:31">
      <c r="B16" s="137">
        <v>50</v>
      </c>
      <c r="C16" s="402">
        <v>50</v>
      </c>
      <c r="D16" s="27">
        <v>0.34100000000000003</v>
      </c>
      <c r="E16" s="75">
        <f t="shared" si="0"/>
        <v>5.0000000000000044E-2</v>
      </c>
      <c r="F16" s="132">
        <v>4.2000000000000003E-2</v>
      </c>
      <c r="G16" s="132">
        <v>3.1160000000000001</v>
      </c>
      <c r="H16" s="132">
        <v>4.8000000000000001E-2</v>
      </c>
      <c r="I16" s="127">
        <v>-25</v>
      </c>
      <c r="J16" s="128">
        <v>25</v>
      </c>
      <c r="K16" s="128">
        <v>0</v>
      </c>
      <c r="L16" s="128">
        <v>-25</v>
      </c>
      <c r="M16" s="128">
        <v>25</v>
      </c>
      <c r="N16" s="129">
        <v>0</v>
      </c>
      <c r="O16" s="6">
        <v>51</v>
      </c>
      <c r="P16" s="151">
        <v>0</v>
      </c>
      <c r="Q16" s="151">
        <v>0</v>
      </c>
      <c r="R16" s="17">
        <v>0</v>
      </c>
      <c r="S16" s="17">
        <v>0</v>
      </c>
      <c r="T16" s="17">
        <v>0</v>
      </c>
      <c r="U16" s="364">
        <f t="shared" si="5"/>
        <v>4.2632564145606011E-14</v>
      </c>
      <c r="X16" s="6">
        <v>4.7E-2</v>
      </c>
      <c r="Y16" s="1">
        <v>1.4999999999999999E-2</v>
      </c>
      <c r="Z16" s="1">
        <v>1E-3</v>
      </c>
      <c r="AA16" s="78">
        <f t="shared" si="1"/>
        <v>5.1000000000000004E-2</v>
      </c>
      <c r="AB16" s="8">
        <f t="shared" si="2"/>
        <v>0</v>
      </c>
      <c r="AC16" s="8">
        <f t="shared" si="3"/>
        <v>-1E-3</v>
      </c>
      <c r="AD16" s="354">
        <f t="shared" si="6"/>
        <v>1.0000000000000071</v>
      </c>
      <c r="AE16" s="850">
        <f t="shared" si="4"/>
        <v>0.70710678118654746</v>
      </c>
    </row>
    <row r="17" spans="2:33">
      <c r="B17" s="137">
        <v>0</v>
      </c>
      <c r="C17" s="402">
        <v>-1</v>
      </c>
      <c r="D17" s="27">
        <v>0.29099999999999998</v>
      </c>
      <c r="E17" s="75">
        <f t="shared" si="0"/>
        <v>0</v>
      </c>
      <c r="F17" s="132">
        <v>4.4999999999999998E-2</v>
      </c>
      <c r="G17" s="132">
        <v>3.1160000000000001</v>
      </c>
      <c r="H17" s="132">
        <v>4.9000000000000002E-2</v>
      </c>
      <c r="I17" s="127">
        <v>0</v>
      </c>
      <c r="J17" s="128">
        <v>0</v>
      </c>
      <c r="K17" s="128">
        <v>0</v>
      </c>
      <c r="L17" s="128">
        <v>0</v>
      </c>
      <c r="M17" s="128">
        <v>0</v>
      </c>
      <c r="N17" s="129">
        <v>0</v>
      </c>
      <c r="O17" s="6">
        <v>-1</v>
      </c>
      <c r="P17" s="151">
        <v>0</v>
      </c>
      <c r="Q17" s="151">
        <v>0</v>
      </c>
      <c r="R17" s="17">
        <v>0</v>
      </c>
      <c r="S17" s="17">
        <v>0</v>
      </c>
      <c r="T17" s="17">
        <v>0</v>
      </c>
      <c r="U17" s="364">
        <f t="shared" si="5"/>
        <v>1</v>
      </c>
      <c r="X17" s="6">
        <v>-5.0000000000000001E-3</v>
      </c>
      <c r="Y17" s="1">
        <v>1.4E-2</v>
      </c>
      <c r="Z17" s="1">
        <v>2E-3</v>
      </c>
      <c r="AA17" s="78">
        <f t="shared" si="1"/>
        <v>-1E-3</v>
      </c>
      <c r="AB17" s="8">
        <f t="shared" si="2"/>
        <v>-9.9999999999999915E-4</v>
      </c>
      <c r="AC17" s="8">
        <f t="shared" si="3"/>
        <v>0</v>
      </c>
      <c r="AD17" s="354">
        <f t="shared" si="6"/>
        <v>-1</v>
      </c>
      <c r="AE17" s="850">
        <f t="shared" si="4"/>
        <v>0.70710678118654691</v>
      </c>
    </row>
    <row r="18" spans="2:33">
      <c r="B18" s="137">
        <v>-50</v>
      </c>
      <c r="C18" s="402">
        <v>-51</v>
      </c>
      <c r="D18" s="27">
        <v>0.24299999999999999</v>
      </c>
      <c r="E18" s="75">
        <f t="shared" si="0"/>
        <v>-4.7999999999999987E-2</v>
      </c>
      <c r="F18" s="132">
        <v>4.4999999999999998E-2</v>
      </c>
      <c r="G18" s="132">
        <v>3.1150000000000002</v>
      </c>
      <c r="H18" s="132">
        <v>5.0999999999999997E-2</v>
      </c>
      <c r="I18" s="127">
        <v>25</v>
      </c>
      <c r="J18" s="128">
        <v>-25</v>
      </c>
      <c r="K18" s="128">
        <v>0</v>
      </c>
      <c r="L18" s="128">
        <v>25</v>
      </c>
      <c r="M18" s="128">
        <v>-25</v>
      </c>
      <c r="N18" s="129">
        <v>0</v>
      </c>
      <c r="O18" s="6">
        <v>-51</v>
      </c>
      <c r="P18" s="151">
        <v>0</v>
      </c>
      <c r="Q18" s="151">
        <v>0</v>
      </c>
      <c r="R18" s="17">
        <v>0</v>
      </c>
      <c r="S18" s="17">
        <v>0</v>
      </c>
      <c r="T18" s="17">
        <v>0</v>
      </c>
      <c r="U18" s="364">
        <f t="shared" si="5"/>
        <v>3.0000000000000142</v>
      </c>
      <c r="X18" s="6">
        <v>-5.5E-2</v>
      </c>
      <c r="Y18" s="1">
        <v>1.2999999999999999E-2</v>
      </c>
      <c r="Z18" s="1">
        <v>1E-3</v>
      </c>
      <c r="AA18" s="78">
        <f t="shared" si="1"/>
        <v>-5.1000000000000004E-2</v>
      </c>
      <c r="AB18" s="8">
        <f t="shared" si="2"/>
        <v>-2E-3</v>
      </c>
      <c r="AC18" s="8">
        <f t="shared" si="3"/>
        <v>-1E-3</v>
      </c>
      <c r="AD18" s="354">
        <f t="shared" si="6"/>
        <v>-1.0000000000000071</v>
      </c>
      <c r="AE18" s="850">
        <f t="shared" si="4"/>
        <v>0.70710678118654746</v>
      </c>
    </row>
    <row r="19" spans="2:33">
      <c r="B19" s="137">
        <v>0</v>
      </c>
      <c r="C19" s="402">
        <v>0</v>
      </c>
      <c r="D19" s="27">
        <v>0.29199999999999998</v>
      </c>
      <c r="E19" s="75">
        <f t="shared" si="0"/>
        <v>1.0000000000000009E-3</v>
      </c>
      <c r="F19" s="132">
        <v>4.1000000000000002E-2</v>
      </c>
      <c r="G19" s="132">
        <v>3.1150000000000002</v>
      </c>
      <c r="H19" s="132">
        <v>5.0999999999999997E-2</v>
      </c>
      <c r="I19" s="127">
        <v>0</v>
      </c>
      <c r="J19" s="128">
        <v>0</v>
      </c>
      <c r="K19" s="128">
        <v>0</v>
      </c>
      <c r="L19" s="128">
        <v>0</v>
      </c>
      <c r="M19" s="128">
        <v>0</v>
      </c>
      <c r="N19" s="129">
        <v>0</v>
      </c>
      <c r="O19" s="6">
        <v>0</v>
      </c>
      <c r="P19" s="151">
        <v>0</v>
      </c>
      <c r="Q19" s="151">
        <v>0</v>
      </c>
      <c r="R19" s="17">
        <v>0</v>
      </c>
      <c r="S19" s="17">
        <v>0</v>
      </c>
      <c r="T19" s="17">
        <v>0</v>
      </c>
      <c r="U19" s="364">
        <f t="shared" si="5"/>
        <v>1.0000000000000009</v>
      </c>
      <c r="X19" s="6">
        <v>-4.0000000000000001E-3</v>
      </c>
      <c r="Y19" s="1">
        <v>1.4999999999999999E-2</v>
      </c>
      <c r="Z19" s="1">
        <v>3.0000000000000001E-3</v>
      </c>
      <c r="AA19" s="78">
        <f t="shared" si="1"/>
        <v>0</v>
      </c>
      <c r="AB19" s="8">
        <f t="shared" si="2"/>
        <v>0</v>
      </c>
      <c r="AC19" s="8">
        <f t="shared" si="3"/>
        <v>1E-3</v>
      </c>
      <c r="AD19" s="354">
        <f t="shared" si="6"/>
        <v>0</v>
      </c>
      <c r="AE19" s="850">
        <f t="shared" si="4"/>
        <v>0.70710678118654746</v>
      </c>
      <c r="AF19" s="956">
        <f>STDEV(AD8:AD19)</f>
        <v>0.86602540378444126</v>
      </c>
      <c r="AG19" s="957">
        <f>AVERAGE(AE8:AE19)</f>
        <v>0.58925565098878963</v>
      </c>
    </row>
    <row r="20" spans="2:33">
      <c r="B20" s="341" t="s">
        <v>183</v>
      </c>
      <c r="C20" s="401" t="s">
        <v>160</v>
      </c>
      <c r="D20" s="133" t="s">
        <v>178</v>
      </c>
      <c r="E20" s="395" t="s">
        <v>132</v>
      </c>
      <c r="F20" s="393" t="s">
        <v>188</v>
      </c>
      <c r="G20" s="394" t="s">
        <v>185</v>
      </c>
      <c r="H20" s="394" t="s">
        <v>187</v>
      </c>
      <c r="I20" s="130"/>
      <c r="J20" s="118"/>
      <c r="K20" s="118"/>
      <c r="L20" s="118"/>
      <c r="M20" s="118"/>
      <c r="N20" s="119"/>
      <c r="O20" s="2"/>
      <c r="P20" s="171"/>
      <c r="Q20" s="171"/>
      <c r="R20" s="28"/>
      <c r="S20" s="28"/>
      <c r="T20" s="28"/>
      <c r="U20" s="403" t="s">
        <v>1</v>
      </c>
      <c r="X20" s="6"/>
      <c r="Y20" s="1"/>
      <c r="Z20" s="1"/>
      <c r="AA20" s="7"/>
      <c r="AB20" s="8"/>
      <c r="AC20" s="8"/>
      <c r="AD20" s="953" t="s">
        <v>623</v>
      </c>
      <c r="AE20" s="955" t="s">
        <v>622</v>
      </c>
    </row>
    <row r="21" spans="2:33">
      <c r="B21" s="138">
        <v>0</v>
      </c>
      <c r="C21" s="133">
        <v>0</v>
      </c>
      <c r="D21" s="136">
        <v>4.1000000000000002E-2</v>
      </c>
      <c r="E21" s="120">
        <v>0</v>
      </c>
      <c r="F21" s="136">
        <v>0.29199999999999998</v>
      </c>
      <c r="G21" s="136">
        <v>3.1150000000000002</v>
      </c>
      <c r="H21" s="136">
        <v>5.0999999999999997E-2</v>
      </c>
      <c r="I21" s="130">
        <v>0</v>
      </c>
      <c r="J21" s="118">
        <v>0</v>
      </c>
      <c r="K21" s="118">
        <v>0</v>
      </c>
      <c r="L21" s="118">
        <v>0</v>
      </c>
      <c r="M21" s="118">
        <v>0</v>
      </c>
      <c r="N21" s="119">
        <v>0</v>
      </c>
      <c r="O21" s="2">
        <v>0</v>
      </c>
      <c r="P21" s="171">
        <v>0</v>
      </c>
      <c r="Q21" s="171">
        <v>0</v>
      </c>
      <c r="R21" s="28">
        <v>0</v>
      </c>
      <c r="S21" s="28">
        <v>0</v>
      </c>
      <c r="T21" s="28">
        <v>0</v>
      </c>
      <c r="U21" s="363" t="s">
        <v>194</v>
      </c>
      <c r="X21" s="2">
        <v>-4.0000000000000001E-3</v>
      </c>
      <c r="Y21" s="3">
        <v>1.4999999999999999E-2</v>
      </c>
      <c r="Z21" s="3">
        <v>3.0000000000000001E-3</v>
      </c>
      <c r="AA21" s="149">
        <f>X21--0.004</f>
        <v>0</v>
      </c>
      <c r="AB21" s="120">
        <f>Y21-0.015</f>
        <v>0</v>
      </c>
      <c r="AC21" s="120">
        <f>Z21-0.003</f>
        <v>0</v>
      </c>
      <c r="AD21" s="953" t="s">
        <v>625</v>
      </c>
      <c r="AE21" s="955" t="s">
        <v>625</v>
      </c>
    </row>
    <row r="22" spans="2:33">
      <c r="B22" s="137">
        <v>50</v>
      </c>
      <c r="C22" s="402">
        <v>51</v>
      </c>
      <c r="D22" s="27">
        <v>9.0999999999999998E-2</v>
      </c>
      <c r="E22" s="75">
        <f t="shared" ref="E22:E33" si="7">D22-RepY110</f>
        <v>4.9999999999999996E-2</v>
      </c>
      <c r="F22" s="132">
        <v>0.3</v>
      </c>
      <c r="G22" s="132">
        <v>3.121</v>
      </c>
      <c r="H22" s="132">
        <v>5.0999999999999997E-2</v>
      </c>
      <c r="I22" s="127">
        <v>14</v>
      </c>
      <c r="J22" s="128">
        <v>15</v>
      </c>
      <c r="K22" s="128">
        <v>-29</v>
      </c>
      <c r="L22" s="128">
        <v>15</v>
      </c>
      <c r="M22" s="128">
        <v>15</v>
      </c>
      <c r="N22" s="129">
        <v>-29</v>
      </c>
      <c r="O22" s="6">
        <v>1</v>
      </c>
      <c r="P22" s="151">
        <v>51</v>
      </c>
      <c r="Q22" s="151">
        <v>0</v>
      </c>
      <c r="R22" s="17">
        <v>0</v>
      </c>
      <c r="S22" s="17">
        <v>0</v>
      </c>
      <c r="T22" s="17">
        <v>0</v>
      </c>
      <c r="U22" s="364">
        <f t="shared" ref="U22:U33" si="8">ABS(E22*1000-C22)</f>
        <v>1.0000000000000071</v>
      </c>
      <c r="V22" s="142"/>
      <c r="W22" s="142"/>
      <c r="X22" s="6">
        <v>-2E-3</v>
      </c>
      <c r="Y22" s="1">
        <v>6.4000000000000001E-2</v>
      </c>
      <c r="Z22" s="1">
        <v>2E-3</v>
      </c>
      <c r="AA22" s="7">
        <f t="shared" ref="AA22:AA33" si="9">X22--0.004</f>
        <v>2E-3</v>
      </c>
      <c r="AB22" s="75">
        <f t="shared" ref="AB22:AB33" si="10">Y22-0.015</f>
        <v>4.9000000000000002E-2</v>
      </c>
      <c r="AC22" s="8">
        <f t="shared" ref="AC22:AC33" si="11">Z22-0.003</f>
        <v>-1E-3</v>
      </c>
      <c r="AD22" s="354">
        <f>1000*AB22-B22</f>
        <v>-1</v>
      </c>
      <c r="AE22" s="850">
        <f>1000*STDEV(AA22,AC22)</f>
        <v>2.1213203435596424</v>
      </c>
    </row>
    <row r="23" spans="2:33">
      <c r="B23" s="137">
        <v>0</v>
      </c>
      <c r="C23" s="402">
        <v>-1</v>
      </c>
      <c r="D23" s="27">
        <v>4.1000000000000002E-2</v>
      </c>
      <c r="E23" s="75">
        <f t="shared" si="7"/>
        <v>0</v>
      </c>
      <c r="F23" s="132">
        <v>0.29099999999999998</v>
      </c>
      <c r="G23" s="132">
        <v>3.1139999999999999</v>
      </c>
      <c r="H23" s="132">
        <v>0.05</v>
      </c>
      <c r="I23" s="127">
        <v>0</v>
      </c>
      <c r="J23" s="128">
        <v>0</v>
      </c>
      <c r="K23" s="128">
        <v>0</v>
      </c>
      <c r="L23" s="128">
        <v>0</v>
      </c>
      <c r="M23" s="128">
        <v>0</v>
      </c>
      <c r="N23" s="129">
        <v>0</v>
      </c>
      <c r="O23" s="6">
        <v>-1</v>
      </c>
      <c r="P23" s="151">
        <v>-1</v>
      </c>
      <c r="Q23" s="151">
        <v>0</v>
      </c>
      <c r="R23" s="17">
        <v>0</v>
      </c>
      <c r="S23" s="17">
        <v>0</v>
      </c>
      <c r="T23" s="17">
        <v>0</v>
      </c>
      <c r="U23" s="364">
        <f t="shared" si="8"/>
        <v>1</v>
      </c>
      <c r="X23" s="6">
        <v>-8.0000000000000002E-3</v>
      </c>
      <c r="Y23" s="1">
        <v>1.2999999999999999E-2</v>
      </c>
      <c r="Z23" s="1">
        <v>1E-3</v>
      </c>
      <c r="AA23" s="7">
        <f t="shared" si="9"/>
        <v>-4.0000000000000001E-3</v>
      </c>
      <c r="AB23" s="75">
        <f t="shared" si="10"/>
        <v>-2E-3</v>
      </c>
      <c r="AC23" s="8">
        <f t="shared" si="11"/>
        <v>-2E-3</v>
      </c>
      <c r="AD23" s="354">
        <f t="shared" ref="AD23:AD33" si="12">1000*AB23-B23</f>
        <v>-2</v>
      </c>
      <c r="AE23" s="850">
        <f t="shared" ref="AE23:AE33" si="13">1000*STDEV(AA23,AC23)</f>
        <v>1.4142135623730949</v>
      </c>
    </row>
    <row r="24" spans="2:33">
      <c r="B24" s="137">
        <v>-50</v>
      </c>
      <c r="C24" s="402">
        <v>-51</v>
      </c>
      <c r="D24" s="27">
        <v>-6.0000000000000001E-3</v>
      </c>
      <c r="E24" s="75">
        <f t="shared" si="7"/>
        <v>-4.7E-2</v>
      </c>
      <c r="F24" s="132">
        <v>0.28599999999999998</v>
      </c>
      <c r="G24" s="132">
        <v>3.1150000000000002</v>
      </c>
      <c r="H24" s="132">
        <v>4.9000000000000002E-2</v>
      </c>
      <c r="I24" s="127">
        <v>-15</v>
      </c>
      <c r="J24" s="128">
        <v>-15</v>
      </c>
      <c r="K24" s="128">
        <v>29</v>
      </c>
      <c r="L24" s="128">
        <v>-15</v>
      </c>
      <c r="M24" s="128">
        <v>-15</v>
      </c>
      <c r="N24" s="129">
        <v>29</v>
      </c>
      <c r="O24" s="6">
        <v>-1</v>
      </c>
      <c r="P24" s="151">
        <v>-51</v>
      </c>
      <c r="Q24" s="151">
        <v>0</v>
      </c>
      <c r="R24" s="17">
        <v>0</v>
      </c>
      <c r="S24" s="17">
        <v>0</v>
      </c>
      <c r="T24" s="17">
        <v>0</v>
      </c>
      <c r="U24" s="364">
        <f t="shared" si="8"/>
        <v>4</v>
      </c>
      <c r="X24" s="6">
        <v>-0.01</v>
      </c>
      <c r="Y24" s="1">
        <v>-3.9E-2</v>
      </c>
      <c r="Z24" s="1">
        <v>-3.0000000000000001E-3</v>
      </c>
      <c r="AA24" s="7">
        <f t="shared" si="9"/>
        <v>-6.0000000000000001E-3</v>
      </c>
      <c r="AB24" s="75">
        <f t="shared" si="10"/>
        <v>-5.3999999999999999E-2</v>
      </c>
      <c r="AC24" s="8">
        <f t="shared" si="11"/>
        <v>-6.0000000000000001E-3</v>
      </c>
      <c r="AD24" s="354">
        <f t="shared" si="12"/>
        <v>-4</v>
      </c>
      <c r="AE24" s="850">
        <f t="shared" si="13"/>
        <v>0</v>
      </c>
    </row>
    <row r="25" spans="2:33">
      <c r="B25" s="137">
        <v>0</v>
      </c>
      <c r="C25" s="402">
        <v>1</v>
      </c>
      <c r="D25" s="27">
        <v>4.2999999999999997E-2</v>
      </c>
      <c r="E25" s="75">
        <f t="shared" si="7"/>
        <v>1.9999999999999948E-3</v>
      </c>
      <c r="F25" s="132">
        <v>0.29299999999999998</v>
      </c>
      <c r="G25" s="132">
        <v>3.1179999999999999</v>
      </c>
      <c r="H25" s="132">
        <v>0.05</v>
      </c>
      <c r="I25" s="127">
        <v>0</v>
      </c>
      <c r="J25" s="128">
        <v>0</v>
      </c>
      <c r="K25" s="128">
        <v>0</v>
      </c>
      <c r="L25" s="128">
        <v>0</v>
      </c>
      <c r="M25" s="128">
        <v>0</v>
      </c>
      <c r="N25" s="129">
        <v>0</v>
      </c>
      <c r="O25" s="6">
        <v>1</v>
      </c>
      <c r="P25" s="151">
        <v>1</v>
      </c>
      <c r="Q25" s="151">
        <v>0</v>
      </c>
      <c r="R25" s="17">
        <v>0</v>
      </c>
      <c r="S25" s="17">
        <v>0</v>
      </c>
      <c r="T25" s="17">
        <v>0</v>
      </c>
      <c r="U25" s="364">
        <f t="shared" si="8"/>
        <v>0.99999999999999489</v>
      </c>
      <c r="X25" s="6">
        <v>-2E-3</v>
      </c>
      <c r="Y25" s="1">
        <v>1.6E-2</v>
      </c>
      <c r="Z25" s="1">
        <v>2E-3</v>
      </c>
      <c r="AA25" s="7">
        <f t="shared" si="9"/>
        <v>2E-3</v>
      </c>
      <c r="AB25" s="75">
        <f t="shared" si="10"/>
        <v>1.0000000000000009E-3</v>
      </c>
      <c r="AC25" s="8">
        <f t="shared" si="11"/>
        <v>-1E-3</v>
      </c>
      <c r="AD25" s="354">
        <f t="shared" si="12"/>
        <v>1.0000000000000009</v>
      </c>
      <c r="AE25" s="850">
        <f t="shared" si="13"/>
        <v>2.1213203435596424</v>
      </c>
    </row>
    <row r="26" spans="2:33">
      <c r="B26" s="137">
        <v>50</v>
      </c>
      <c r="C26" s="402">
        <v>51</v>
      </c>
      <c r="D26" s="27">
        <v>9.1999999999999998E-2</v>
      </c>
      <c r="E26" s="75">
        <f t="shared" si="7"/>
        <v>5.0999999999999997E-2</v>
      </c>
      <c r="F26" s="132">
        <v>0.3</v>
      </c>
      <c r="G26" s="132">
        <v>3.121</v>
      </c>
      <c r="H26" s="132">
        <v>5.0999999999999997E-2</v>
      </c>
      <c r="I26" s="127">
        <v>14</v>
      </c>
      <c r="J26" s="128">
        <v>15</v>
      </c>
      <c r="K26" s="128">
        <v>-29</v>
      </c>
      <c r="L26" s="128">
        <v>15</v>
      </c>
      <c r="M26" s="128">
        <v>15</v>
      </c>
      <c r="N26" s="129">
        <v>-29</v>
      </c>
      <c r="O26" s="6">
        <v>1</v>
      </c>
      <c r="P26" s="151">
        <v>51</v>
      </c>
      <c r="Q26" s="151">
        <v>0</v>
      </c>
      <c r="R26" s="17">
        <v>0</v>
      </c>
      <c r="S26" s="17">
        <v>0</v>
      </c>
      <c r="T26" s="17">
        <v>0</v>
      </c>
      <c r="U26" s="364">
        <f t="shared" si="8"/>
        <v>0</v>
      </c>
      <c r="X26" s="6">
        <v>-2E-3</v>
      </c>
      <c r="Y26" s="1">
        <v>6.5000000000000002E-2</v>
      </c>
      <c r="Z26" s="1">
        <v>2E-3</v>
      </c>
      <c r="AA26" s="7">
        <f t="shared" si="9"/>
        <v>2E-3</v>
      </c>
      <c r="AB26" s="75">
        <f t="shared" si="10"/>
        <v>0.05</v>
      </c>
      <c r="AC26" s="8">
        <f t="shared" si="11"/>
        <v>-1E-3</v>
      </c>
      <c r="AD26" s="354">
        <f t="shared" si="12"/>
        <v>0</v>
      </c>
      <c r="AE26" s="850">
        <f t="shared" si="13"/>
        <v>2.1213203435596424</v>
      </c>
    </row>
    <row r="27" spans="2:33">
      <c r="B27" s="137">
        <v>0</v>
      </c>
      <c r="C27" s="402">
        <v>-1</v>
      </c>
      <c r="D27" s="27">
        <v>4.2000000000000003E-2</v>
      </c>
      <c r="E27" s="75">
        <f t="shared" si="7"/>
        <v>1.0000000000000009E-3</v>
      </c>
      <c r="F27" s="132">
        <v>0.29099999999999998</v>
      </c>
      <c r="G27" s="132">
        <v>3.1139999999999999</v>
      </c>
      <c r="H27" s="132">
        <v>0.05</v>
      </c>
      <c r="I27" s="127">
        <v>0</v>
      </c>
      <c r="J27" s="128">
        <v>0</v>
      </c>
      <c r="K27" s="128">
        <v>0</v>
      </c>
      <c r="L27" s="128">
        <v>0</v>
      </c>
      <c r="M27" s="128">
        <v>0</v>
      </c>
      <c r="N27" s="129">
        <v>0</v>
      </c>
      <c r="O27" s="6">
        <v>-1</v>
      </c>
      <c r="P27" s="151">
        <v>-1</v>
      </c>
      <c r="Q27" s="151">
        <v>0</v>
      </c>
      <c r="R27" s="17">
        <v>0</v>
      </c>
      <c r="S27" s="17">
        <v>0</v>
      </c>
      <c r="T27" s="17">
        <v>0</v>
      </c>
      <c r="U27" s="364">
        <f t="shared" si="8"/>
        <v>2.0000000000000009</v>
      </c>
      <c r="X27" s="6">
        <v>-7.0000000000000001E-3</v>
      </c>
      <c r="Y27" s="1">
        <v>1.4E-2</v>
      </c>
      <c r="Z27" s="1">
        <v>1E-3</v>
      </c>
      <c r="AA27" s="7">
        <f t="shared" si="9"/>
        <v>-3.0000000000000001E-3</v>
      </c>
      <c r="AB27" s="75">
        <f t="shared" si="10"/>
        <v>-9.9999999999999915E-4</v>
      </c>
      <c r="AC27" s="8">
        <f t="shared" si="11"/>
        <v>-2E-3</v>
      </c>
      <c r="AD27" s="354">
        <f t="shared" si="12"/>
        <v>-0.99999999999999911</v>
      </c>
      <c r="AE27" s="850">
        <f t="shared" si="13"/>
        <v>0.70710678118654746</v>
      </c>
    </row>
    <row r="28" spans="2:33">
      <c r="B28" s="137">
        <v>-50</v>
      </c>
      <c r="C28" s="402">
        <v>-51</v>
      </c>
      <c r="D28" s="27">
        <v>-6.0000000000000001E-3</v>
      </c>
      <c r="E28" s="75">
        <f t="shared" si="7"/>
        <v>-4.7E-2</v>
      </c>
      <c r="F28" s="132">
        <v>0.28599999999999998</v>
      </c>
      <c r="G28" s="132">
        <v>3.1150000000000002</v>
      </c>
      <c r="H28" s="132">
        <v>4.9000000000000002E-2</v>
      </c>
      <c r="I28" s="127">
        <v>-15</v>
      </c>
      <c r="J28" s="128">
        <v>-15</v>
      </c>
      <c r="K28" s="128">
        <v>29</v>
      </c>
      <c r="L28" s="128">
        <v>-15</v>
      </c>
      <c r="M28" s="128">
        <v>-15</v>
      </c>
      <c r="N28" s="129">
        <v>29</v>
      </c>
      <c r="O28" s="6">
        <v>-1</v>
      </c>
      <c r="P28" s="151">
        <v>-51</v>
      </c>
      <c r="Q28" s="151">
        <v>0</v>
      </c>
      <c r="R28" s="17">
        <v>0</v>
      </c>
      <c r="S28" s="17">
        <v>0</v>
      </c>
      <c r="T28" s="17">
        <v>0</v>
      </c>
      <c r="U28" s="364">
        <f t="shared" si="8"/>
        <v>4</v>
      </c>
      <c r="X28" s="6">
        <v>-8.9999999999999993E-3</v>
      </c>
      <c r="Y28" s="1">
        <v>-3.7999999999999999E-2</v>
      </c>
      <c r="Z28" s="1">
        <v>-3.0000000000000001E-3</v>
      </c>
      <c r="AA28" s="7">
        <f t="shared" si="9"/>
        <v>-4.9999999999999992E-3</v>
      </c>
      <c r="AB28" s="75">
        <f t="shared" si="10"/>
        <v>-5.2999999999999999E-2</v>
      </c>
      <c r="AC28" s="8">
        <f t="shared" si="11"/>
        <v>-6.0000000000000001E-3</v>
      </c>
      <c r="AD28" s="354">
        <f t="shared" si="12"/>
        <v>-3</v>
      </c>
      <c r="AE28" s="850">
        <f t="shared" si="13"/>
        <v>0.70710678118654813</v>
      </c>
    </row>
    <row r="29" spans="2:33">
      <c r="B29" s="137">
        <v>0</v>
      </c>
      <c r="C29" s="402">
        <v>1</v>
      </c>
      <c r="D29" s="27">
        <v>4.2999999999999997E-2</v>
      </c>
      <c r="E29" s="75">
        <f t="shared" si="7"/>
        <v>1.9999999999999948E-3</v>
      </c>
      <c r="F29" s="132">
        <v>0.29299999999999998</v>
      </c>
      <c r="G29" s="132">
        <v>3.1179999999999999</v>
      </c>
      <c r="H29" s="132">
        <v>0.05</v>
      </c>
      <c r="I29" s="127">
        <v>0</v>
      </c>
      <c r="J29" s="128">
        <v>0</v>
      </c>
      <c r="K29" s="128">
        <v>0</v>
      </c>
      <c r="L29" s="128">
        <v>0</v>
      </c>
      <c r="M29" s="128">
        <v>0</v>
      </c>
      <c r="N29" s="129">
        <v>0</v>
      </c>
      <c r="O29" s="6">
        <v>1</v>
      </c>
      <c r="P29" s="151">
        <v>1</v>
      </c>
      <c r="Q29" s="151">
        <v>0</v>
      </c>
      <c r="R29" s="17">
        <v>0</v>
      </c>
      <c r="S29" s="17">
        <v>0</v>
      </c>
      <c r="T29" s="17">
        <v>0</v>
      </c>
      <c r="U29" s="364">
        <f t="shared" si="8"/>
        <v>0.99999999999999489</v>
      </c>
      <c r="X29" s="6">
        <v>-2E-3</v>
      </c>
      <c r="Y29" s="1">
        <v>1.6E-2</v>
      </c>
      <c r="Z29" s="1">
        <v>2E-3</v>
      </c>
      <c r="AA29" s="7">
        <f t="shared" si="9"/>
        <v>2E-3</v>
      </c>
      <c r="AB29" s="75">
        <f t="shared" si="10"/>
        <v>1.0000000000000009E-3</v>
      </c>
      <c r="AC29" s="8">
        <f t="shared" si="11"/>
        <v>-1E-3</v>
      </c>
      <c r="AD29" s="354">
        <f t="shared" si="12"/>
        <v>1.0000000000000009</v>
      </c>
      <c r="AE29" s="850">
        <f t="shared" si="13"/>
        <v>2.1213203435596424</v>
      </c>
    </row>
    <row r="30" spans="2:33">
      <c r="B30" s="137">
        <v>50</v>
      </c>
      <c r="C30" s="402">
        <v>51</v>
      </c>
      <c r="D30" s="27">
        <v>9.7000000000000003E-2</v>
      </c>
      <c r="E30" s="75">
        <f t="shared" si="7"/>
        <v>5.6000000000000001E-2</v>
      </c>
      <c r="F30" s="132">
        <v>0.30399999999999999</v>
      </c>
      <c r="G30" s="132">
        <v>3.12</v>
      </c>
      <c r="H30" s="132">
        <v>5.0999999999999997E-2</v>
      </c>
      <c r="I30" s="127">
        <v>15</v>
      </c>
      <c r="J30" s="128">
        <v>14</v>
      </c>
      <c r="K30" s="128">
        <v>-29</v>
      </c>
      <c r="L30" s="128">
        <v>14</v>
      </c>
      <c r="M30" s="128">
        <v>14</v>
      </c>
      <c r="N30" s="129">
        <v>-29</v>
      </c>
      <c r="O30" s="6">
        <v>0</v>
      </c>
      <c r="P30" s="151">
        <v>50</v>
      </c>
      <c r="Q30" s="151">
        <v>0</v>
      </c>
      <c r="R30" s="17">
        <v>0</v>
      </c>
      <c r="S30" s="17">
        <v>0</v>
      </c>
      <c r="T30" s="17">
        <v>0</v>
      </c>
      <c r="U30" s="364">
        <f t="shared" si="8"/>
        <v>5</v>
      </c>
      <c r="X30" s="6">
        <v>-3.0000000000000001E-3</v>
      </c>
      <c r="Y30" s="1">
        <v>6.5000000000000002E-2</v>
      </c>
      <c r="Z30" s="1">
        <v>2E-3</v>
      </c>
      <c r="AA30" s="7">
        <f t="shared" si="9"/>
        <v>1E-3</v>
      </c>
      <c r="AB30" s="75">
        <f t="shared" si="10"/>
        <v>0.05</v>
      </c>
      <c r="AC30" s="8">
        <f t="shared" si="11"/>
        <v>-1E-3</v>
      </c>
      <c r="AD30" s="354">
        <f t="shared" si="12"/>
        <v>0</v>
      </c>
      <c r="AE30" s="850">
        <f t="shared" si="13"/>
        <v>1.4142135623730949</v>
      </c>
    </row>
    <row r="31" spans="2:33">
      <c r="B31" s="137">
        <v>0</v>
      </c>
      <c r="C31" s="402">
        <v>-1</v>
      </c>
      <c r="D31" s="27">
        <v>4.3999999999999997E-2</v>
      </c>
      <c r="E31" s="75">
        <f t="shared" si="7"/>
        <v>2.9999999999999957E-3</v>
      </c>
      <c r="F31" s="132">
        <v>0.29099999999999998</v>
      </c>
      <c r="G31" s="132">
        <v>3.1139999999999999</v>
      </c>
      <c r="H31" s="132">
        <v>0.05</v>
      </c>
      <c r="I31" s="127">
        <v>0</v>
      </c>
      <c r="J31" s="128">
        <v>0</v>
      </c>
      <c r="K31" s="128">
        <v>0</v>
      </c>
      <c r="L31" s="128">
        <v>0</v>
      </c>
      <c r="M31" s="128">
        <v>0</v>
      </c>
      <c r="N31" s="129">
        <v>0</v>
      </c>
      <c r="O31" s="6">
        <v>-1</v>
      </c>
      <c r="P31" s="151">
        <v>0</v>
      </c>
      <c r="Q31" s="151">
        <v>0</v>
      </c>
      <c r="R31" s="17">
        <v>0</v>
      </c>
      <c r="S31" s="17">
        <v>0</v>
      </c>
      <c r="T31" s="17">
        <v>0</v>
      </c>
      <c r="U31" s="364">
        <f t="shared" si="8"/>
        <v>3.9999999999999956</v>
      </c>
      <c r="X31" s="6">
        <v>-7.0000000000000001E-3</v>
      </c>
      <c r="Y31" s="1">
        <v>1.4E-2</v>
      </c>
      <c r="Z31" s="1">
        <v>1E-3</v>
      </c>
      <c r="AA31" s="7">
        <f t="shared" si="9"/>
        <v>-3.0000000000000001E-3</v>
      </c>
      <c r="AB31" s="75">
        <f t="shared" si="10"/>
        <v>-9.9999999999999915E-4</v>
      </c>
      <c r="AC31" s="8">
        <f t="shared" si="11"/>
        <v>-2E-3</v>
      </c>
      <c r="AD31" s="354">
        <f t="shared" si="12"/>
        <v>-0.99999999999999911</v>
      </c>
      <c r="AE31" s="850">
        <f t="shared" si="13"/>
        <v>0.70710678118654746</v>
      </c>
    </row>
    <row r="32" spans="2:33">
      <c r="B32" s="137">
        <v>-50</v>
      </c>
      <c r="C32" s="402">
        <v>-51</v>
      </c>
      <c r="D32" s="27">
        <v>-4.0000000000000001E-3</v>
      </c>
      <c r="E32" s="75">
        <f t="shared" si="7"/>
        <v>-4.4999999999999998E-2</v>
      </c>
      <c r="F32" s="132">
        <v>0.28599999999999998</v>
      </c>
      <c r="G32" s="132">
        <v>3.1150000000000002</v>
      </c>
      <c r="H32" s="132">
        <v>4.9000000000000002E-2</v>
      </c>
      <c r="I32" s="127">
        <v>-15</v>
      </c>
      <c r="J32" s="128">
        <v>-15</v>
      </c>
      <c r="K32" s="128">
        <v>29</v>
      </c>
      <c r="L32" s="128">
        <v>-15</v>
      </c>
      <c r="M32" s="128">
        <v>-15</v>
      </c>
      <c r="N32" s="129">
        <v>29</v>
      </c>
      <c r="O32" s="6">
        <v>-1</v>
      </c>
      <c r="P32" s="151">
        <v>-50</v>
      </c>
      <c r="Q32" s="151">
        <v>0</v>
      </c>
      <c r="R32" s="147">
        <v>0</v>
      </c>
      <c r="S32" s="147">
        <v>0</v>
      </c>
      <c r="T32" s="17">
        <v>0</v>
      </c>
      <c r="U32" s="364">
        <f t="shared" si="8"/>
        <v>6</v>
      </c>
      <c r="X32" s="6">
        <v>-8.9999999999999993E-3</v>
      </c>
      <c r="Y32" s="1">
        <v>-3.7999999999999999E-2</v>
      </c>
      <c r="Z32" s="1">
        <v>-2E-3</v>
      </c>
      <c r="AA32" s="7">
        <f t="shared" si="9"/>
        <v>-4.9999999999999992E-3</v>
      </c>
      <c r="AB32" s="75">
        <f t="shared" si="10"/>
        <v>-5.2999999999999999E-2</v>
      </c>
      <c r="AC32" s="8">
        <f t="shared" si="11"/>
        <v>-5.0000000000000001E-3</v>
      </c>
      <c r="AD32" s="354">
        <f t="shared" si="12"/>
        <v>-3</v>
      </c>
      <c r="AE32" s="850">
        <f t="shared" si="13"/>
        <v>8.6736173798840355E-16</v>
      </c>
    </row>
    <row r="33" spans="2:33">
      <c r="B33" s="137">
        <v>0</v>
      </c>
      <c r="C33" s="402">
        <v>1</v>
      </c>
      <c r="D33" s="27">
        <v>4.7E-2</v>
      </c>
      <c r="E33" s="75">
        <f t="shared" si="7"/>
        <v>5.9999999999999984E-3</v>
      </c>
      <c r="F33" s="132">
        <v>0.29299999999999998</v>
      </c>
      <c r="G33" s="132">
        <v>3.1179999999999999</v>
      </c>
      <c r="H33" s="132">
        <v>0.05</v>
      </c>
      <c r="I33" s="127">
        <v>0</v>
      </c>
      <c r="J33" s="128">
        <v>0</v>
      </c>
      <c r="K33" s="128">
        <v>0</v>
      </c>
      <c r="L33" s="128">
        <v>0</v>
      </c>
      <c r="M33" s="128">
        <v>0</v>
      </c>
      <c r="N33" s="129">
        <v>0</v>
      </c>
      <c r="O33" s="6">
        <v>1</v>
      </c>
      <c r="P33" s="151">
        <v>1</v>
      </c>
      <c r="Q33" s="151">
        <v>0</v>
      </c>
      <c r="R33" s="147">
        <v>0</v>
      </c>
      <c r="S33" s="147">
        <v>0</v>
      </c>
      <c r="T33" s="17">
        <v>0</v>
      </c>
      <c r="U33" s="364">
        <f t="shared" si="8"/>
        <v>4.9999999999999982</v>
      </c>
      <c r="X33" s="6">
        <v>-2E-3</v>
      </c>
      <c r="Y33" s="1">
        <v>1.6E-2</v>
      </c>
      <c r="Z33" s="1">
        <v>2E-3</v>
      </c>
      <c r="AA33" s="7">
        <f t="shared" si="9"/>
        <v>2E-3</v>
      </c>
      <c r="AB33" s="75">
        <f t="shared" si="10"/>
        <v>1.0000000000000009E-3</v>
      </c>
      <c r="AC33" s="8">
        <f t="shared" si="11"/>
        <v>-1E-3</v>
      </c>
      <c r="AD33" s="354">
        <f t="shared" si="12"/>
        <v>1.0000000000000009</v>
      </c>
      <c r="AE33" s="850">
        <f t="shared" si="13"/>
        <v>2.1213203435596424</v>
      </c>
      <c r="AF33" s="956">
        <f>STDEV(AD22:AD33)</f>
        <v>1.7056057308448835</v>
      </c>
      <c r="AG33" s="957">
        <f>AVERAGE(AE22:AE33)</f>
        <v>1.2963624321753371</v>
      </c>
    </row>
    <row r="34" spans="2:33">
      <c r="B34" s="341" t="s">
        <v>184</v>
      </c>
      <c r="C34" s="401" t="s">
        <v>191</v>
      </c>
      <c r="D34" s="133" t="s">
        <v>179</v>
      </c>
      <c r="E34" s="395" t="s">
        <v>180</v>
      </c>
      <c r="F34" s="393" t="s">
        <v>189</v>
      </c>
      <c r="G34" s="394" t="s">
        <v>185</v>
      </c>
      <c r="H34" s="377" t="s">
        <v>186</v>
      </c>
      <c r="I34" s="130"/>
      <c r="J34" s="118"/>
      <c r="K34" s="118"/>
      <c r="L34" s="118"/>
      <c r="M34" s="118"/>
      <c r="N34" s="119"/>
      <c r="O34" s="2"/>
      <c r="P34" s="3"/>
      <c r="Q34" s="3"/>
      <c r="R34" s="3"/>
      <c r="S34" s="3"/>
      <c r="T34" s="3"/>
      <c r="U34" s="403" t="s">
        <v>2</v>
      </c>
      <c r="X34" s="6"/>
      <c r="Y34" s="1"/>
      <c r="Z34" s="1"/>
      <c r="AA34" s="7"/>
      <c r="AB34" s="8"/>
      <c r="AC34" s="8"/>
      <c r="AD34" s="953" t="s">
        <v>624</v>
      </c>
      <c r="AE34" s="955" t="s">
        <v>622</v>
      </c>
    </row>
    <row r="35" spans="2:33">
      <c r="B35" s="138">
        <v>0</v>
      </c>
      <c r="C35" s="133">
        <v>0</v>
      </c>
      <c r="D35" s="136">
        <v>4.7E-2</v>
      </c>
      <c r="E35" s="120">
        <v>0</v>
      </c>
      <c r="F35" s="136">
        <v>0.29299999999999998</v>
      </c>
      <c r="G35" s="136">
        <v>3.1160000000000001</v>
      </c>
      <c r="H35" s="133">
        <v>4.5999999999999999E-2</v>
      </c>
      <c r="I35" s="130">
        <v>0</v>
      </c>
      <c r="J35" s="118">
        <v>0</v>
      </c>
      <c r="K35" s="118">
        <v>0</v>
      </c>
      <c r="L35" s="118">
        <v>0</v>
      </c>
      <c r="M35" s="118">
        <v>0</v>
      </c>
      <c r="N35" s="119">
        <v>0</v>
      </c>
      <c r="O35" s="2">
        <v>1</v>
      </c>
      <c r="P35" s="171">
        <v>0</v>
      </c>
      <c r="Q35" s="171">
        <v>0</v>
      </c>
      <c r="R35" s="152">
        <v>0</v>
      </c>
      <c r="S35" s="152">
        <v>0</v>
      </c>
      <c r="T35" s="28">
        <v>0</v>
      </c>
      <c r="U35" s="363" t="s">
        <v>193</v>
      </c>
      <c r="X35" s="2">
        <v>-2E-3</v>
      </c>
      <c r="Y35" s="3">
        <v>1.6E-2</v>
      </c>
      <c r="Z35" s="3">
        <v>2E-3</v>
      </c>
      <c r="AA35" s="149">
        <f>X35--0.002</f>
        <v>0</v>
      </c>
      <c r="AB35" s="120">
        <f>Y35-0.016</f>
        <v>0</v>
      </c>
      <c r="AC35" s="156">
        <f>Z35-0.002</f>
        <v>0</v>
      </c>
      <c r="AD35" s="953" t="s">
        <v>625</v>
      </c>
      <c r="AE35" s="955" t="s">
        <v>625</v>
      </c>
    </row>
    <row r="36" spans="2:33">
      <c r="B36" s="137">
        <v>50</v>
      </c>
      <c r="C36" s="402">
        <v>50</v>
      </c>
      <c r="D36" s="27">
        <v>9.4E-2</v>
      </c>
      <c r="E36" s="75">
        <f>D36-RepZ110</f>
        <v>4.7E-2</v>
      </c>
      <c r="F36" s="132">
        <v>0.29099999999999998</v>
      </c>
      <c r="G36" s="132">
        <v>3.169</v>
      </c>
      <c r="H36" s="132">
        <v>4.5999999999999999E-2</v>
      </c>
      <c r="I36" s="127">
        <v>-41</v>
      </c>
      <c r="J36" s="128">
        <v>-41</v>
      </c>
      <c r="K36" s="128">
        <v>-41</v>
      </c>
      <c r="L36" s="128">
        <v>-41</v>
      </c>
      <c r="M36" s="128">
        <v>-41</v>
      </c>
      <c r="N36" s="129">
        <v>-41</v>
      </c>
      <c r="O36" s="6">
        <v>1</v>
      </c>
      <c r="P36" s="151">
        <v>0</v>
      </c>
      <c r="Q36" s="151">
        <v>50</v>
      </c>
      <c r="R36" s="147">
        <v>0</v>
      </c>
      <c r="S36" s="147">
        <v>0</v>
      </c>
      <c r="T36" s="17">
        <v>0</v>
      </c>
      <c r="U36" s="364">
        <f t="shared" ref="U36:U47" si="14">ABS(E36*1000-C36)</f>
        <v>3</v>
      </c>
      <c r="X36" s="6">
        <v>-0.01</v>
      </c>
      <c r="Y36" s="1">
        <v>1.2E-2</v>
      </c>
      <c r="Z36" s="1">
        <v>5.0999999999999997E-2</v>
      </c>
      <c r="AA36" s="7">
        <f t="shared" ref="AA36:AA47" si="15">X36--0.002</f>
        <v>-8.0000000000000002E-3</v>
      </c>
      <c r="AB36" s="8">
        <f t="shared" ref="AB36:AB47" si="16">Y36-0.016</f>
        <v>-4.0000000000000001E-3</v>
      </c>
      <c r="AC36" s="75">
        <f t="shared" ref="AC36:AC47" si="17">Z36-0.002</f>
        <v>4.8999999999999995E-2</v>
      </c>
      <c r="AD36" s="354">
        <f>1000*AC36-B36</f>
        <v>-1.0000000000000071</v>
      </c>
      <c r="AE36" s="850">
        <f>1000*STDEV(AA36,AB36)</f>
        <v>2.828427124746189</v>
      </c>
    </row>
    <row r="37" spans="2:33">
      <c r="B37" s="137">
        <v>0</v>
      </c>
      <c r="C37" s="402">
        <v>0</v>
      </c>
      <c r="D37" s="27">
        <v>4.5999999999999999E-2</v>
      </c>
      <c r="E37" s="75">
        <f t="shared" ref="E37:E47" si="18">D37-RepZ110</f>
        <v>-1.0000000000000009E-3</v>
      </c>
      <c r="F37" s="132">
        <v>0.28999999999999998</v>
      </c>
      <c r="G37" s="132">
        <v>3.1139999999999999</v>
      </c>
      <c r="H37" s="132">
        <v>4.7E-2</v>
      </c>
      <c r="I37" s="127">
        <v>0</v>
      </c>
      <c r="J37" s="128">
        <v>0</v>
      </c>
      <c r="K37" s="128">
        <v>0</v>
      </c>
      <c r="L37" s="128">
        <v>0</v>
      </c>
      <c r="M37" s="128">
        <v>0</v>
      </c>
      <c r="N37" s="129">
        <v>0</v>
      </c>
      <c r="O37" s="6">
        <v>-1</v>
      </c>
      <c r="P37" s="151">
        <v>0</v>
      </c>
      <c r="Q37" s="151">
        <v>0</v>
      </c>
      <c r="R37" s="147">
        <v>0</v>
      </c>
      <c r="S37" s="147">
        <v>0</v>
      </c>
      <c r="T37" s="17">
        <v>0</v>
      </c>
      <c r="U37" s="364">
        <f t="shared" si="14"/>
        <v>1.0000000000000009</v>
      </c>
      <c r="V37" s="142"/>
      <c r="W37" s="142"/>
      <c r="X37" s="6">
        <v>-0.01</v>
      </c>
      <c r="Y37" s="1">
        <v>1.2E-2</v>
      </c>
      <c r="Z37" s="1">
        <v>4.0000000000000001E-3</v>
      </c>
      <c r="AA37" s="7">
        <f t="shared" si="15"/>
        <v>-8.0000000000000002E-3</v>
      </c>
      <c r="AB37" s="8">
        <f t="shared" si="16"/>
        <v>-4.0000000000000001E-3</v>
      </c>
      <c r="AC37" s="75">
        <f t="shared" si="17"/>
        <v>2E-3</v>
      </c>
      <c r="AD37" s="354">
        <f t="shared" ref="AD37:AD47" si="19">1000*AC37-B37</f>
        <v>2</v>
      </c>
      <c r="AE37" s="850">
        <f t="shared" ref="AE37:AE47" si="20">1000*STDEV(AA37,AB37)</f>
        <v>2.828427124746189</v>
      </c>
    </row>
    <row r="38" spans="2:33">
      <c r="B38" s="137">
        <v>-50</v>
      </c>
      <c r="C38" s="402">
        <v>-50</v>
      </c>
      <c r="D38" s="27">
        <v>0</v>
      </c>
      <c r="E38" s="75">
        <f t="shared" si="18"/>
        <v>-4.7E-2</v>
      </c>
      <c r="F38" s="132">
        <v>0.28999999999999998</v>
      </c>
      <c r="G38" s="132">
        <v>3.0630000000000002</v>
      </c>
      <c r="H38" s="132">
        <v>4.5999999999999999E-2</v>
      </c>
      <c r="I38" s="127">
        <v>41</v>
      </c>
      <c r="J38" s="128">
        <v>41</v>
      </c>
      <c r="K38" s="128">
        <v>41</v>
      </c>
      <c r="L38" s="128">
        <v>41</v>
      </c>
      <c r="M38" s="128">
        <v>41</v>
      </c>
      <c r="N38" s="129">
        <v>41</v>
      </c>
      <c r="O38" s="6">
        <v>-1</v>
      </c>
      <c r="P38" s="151">
        <v>0</v>
      </c>
      <c r="Q38" s="151">
        <v>-50</v>
      </c>
      <c r="R38" s="147">
        <v>0</v>
      </c>
      <c r="S38" s="147">
        <v>0</v>
      </c>
      <c r="T38" s="17">
        <v>0</v>
      </c>
      <c r="U38" s="364">
        <f t="shared" si="14"/>
        <v>3</v>
      </c>
      <c r="X38" s="6">
        <v>-2E-3</v>
      </c>
      <c r="Y38" s="1">
        <v>0.01</v>
      </c>
      <c r="Z38" s="1">
        <v>-4.4999999999999998E-2</v>
      </c>
      <c r="AA38" s="7">
        <f t="shared" si="15"/>
        <v>0</v>
      </c>
      <c r="AB38" s="8">
        <f t="shared" si="16"/>
        <v>-6.0000000000000001E-3</v>
      </c>
      <c r="AC38" s="75">
        <f t="shared" si="17"/>
        <v>-4.7E-2</v>
      </c>
      <c r="AD38" s="354">
        <f t="shared" si="19"/>
        <v>3</v>
      </c>
      <c r="AE38" s="850">
        <f t="shared" si="20"/>
        <v>4.2426406871192848</v>
      </c>
    </row>
    <row r="39" spans="2:33">
      <c r="B39" s="137">
        <v>0</v>
      </c>
      <c r="C39" s="402">
        <v>0</v>
      </c>
      <c r="D39" s="27">
        <v>4.8000000000000001E-2</v>
      </c>
      <c r="E39" s="75">
        <f t="shared" si="18"/>
        <v>1.0000000000000009E-3</v>
      </c>
      <c r="F39" s="132">
        <v>0.29199999999999998</v>
      </c>
      <c r="G39" s="132">
        <v>3.1160000000000001</v>
      </c>
      <c r="H39" s="132">
        <v>4.4999999999999998E-2</v>
      </c>
      <c r="I39" s="127">
        <v>0</v>
      </c>
      <c r="J39" s="128">
        <v>0</v>
      </c>
      <c r="K39" s="128">
        <v>0</v>
      </c>
      <c r="L39" s="128">
        <v>0</v>
      </c>
      <c r="M39" s="128">
        <v>0</v>
      </c>
      <c r="N39" s="129">
        <v>0</v>
      </c>
      <c r="O39" s="6">
        <v>1</v>
      </c>
      <c r="P39" s="151">
        <v>0</v>
      </c>
      <c r="Q39" s="151">
        <v>0</v>
      </c>
      <c r="R39" s="147">
        <v>0</v>
      </c>
      <c r="S39" s="147">
        <v>0</v>
      </c>
      <c r="T39" s="17">
        <v>0</v>
      </c>
      <c r="U39" s="364">
        <f t="shared" si="14"/>
        <v>1.0000000000000009</v>
      </c>
      <c r="X39" s="6">
        <v>-4.0000000000000001E-3</v>
      </c>
      <c r="Y39" s="1">
        <v>1.2999999999999999E-2</v>
      </c>
      <c r="Z39" s="1">
        <v>4.0000000000000001E-3</v>
      </c>
      <c r="AA39" s="7">
        <f t="shared" si="15"/>
        <v>-2E-3</v>
      </c>
      <c r="AB39" s="8">
        <f t="shared" si="16"/>
        <v>-3.0000000000000009E-3</v>
      </c>
      <c r="AC39" s="75">
        <f t="shared" si="17"/>
        <v>2E-3</v>
      </c>
      <c r="AD39" s="354">
        <f t="shared" si="19"/>
        <v>2</v>
      </c>
      <c r="AE39" s="850">
        <f t="shared" si="20"/>
        <v>0.70710678118654813</v>
      </c>
    </row>
    <row r="40" spans="2:33">
      <c r="B40" s="137">
        <v>50</v>
      </c>
      <c r="C40" s="402">
        <v>50</v>
      </c>
      <c r="D40" s="27">
        <v>9.4E-2</v>
      </c>
      <c r="E40" s="75">
        <f t="shared" si="18"/>
        <v>4.7E-2</v>
      </c>
      <c r="F40" s="132">
        <v>0.29199999999999998</v>
      </c>
      <c r="G40" s="132">
        <v>3.1680000000000001</v>
      </c>
      <c r="H40" s="132">
        <v>4.4999999999999998E-2</v>
      </c>
      <c r="I40" s="127">
        <v>-41</v>
      </c>
      <c r="J40" s="128">
        <v>-41</v>
      </c>
      <c r="K40" s="128">
        <v>-41</v>
      </c>
      <c r="L40" s="128">
        <v>-41</v>
      </c>
      <c r="M40" s="128">
        <v>-41</v>
      </c>
      <c r="N40" s="129">
        <v>-41</v>
      </c>
      <c r="O40" s="6">
        <v>1</v>
      </c>
      <c r="P40" s="151">
        <v>0</v>
      </c>
      <c r="Q40" s="151">
        <v>50</v>
      </c>
      <c r="R40" s="147">
        <v>0</v>
      </c>
      <c r="S40" s="147">
        <v>0</v>
      </c>
      <c r="T40" s="17">
        <v>0</v>
      </c>
      <c r="U40" s="364">
        <f t="shared" si="14"/>
        <v>3</v>
      </c>
      <c r="X40" s="6">
        <v>-0.01</v>
      </c>
      <c r="Y40" s="1">
        <v>1.2999999999999999E-2</v>
      </c>
      <c r="Z40" s="1">
        <v>5.0999999999999997E-2</v>
      </c>
      <c r="AA40" s="7">
        <f t="shared" si="15"/>
        <v>-8.0000000000000002E-3</v>
      </c>
      <c r="AB40" s="8">
        <f t="shared" si="16"/>
        <v>-3.0000000000000009E-3</v>
      </c>
      <c r="AC40" s="75">
        <f t="shared" si="17"/>
        <v>4.8999999999999995E-2</v>
      </c>
      <c r="AD40" s="354">
        <f t="shared" si="19"/>
        <v>-1.0000000000000071</v>
      </c>
      <c r="AE40" s="850">
        <f t="shared" si="20"/>
        <v>3.5355339059327355</v>
      </c>
    </row>
    <row r="41" spans="2:33">
      <c r="B41" s="137">
        <v>0</v>
      </c>
      <c r="C41" s="402">
        <v>0</v>
      </c>
      <c r="D41" s="27">
        <v>4.5999999999999999E-2</v>
      </c>
      <c r="E41" s="75">
        <f t="shared" si="18"/>
        <v>-1.0000000000000009E-3</v>
      </c>
      <c r="F41" s="132">
        <v>0.28999999999999998</v>
      </c>
      <c r="G41" s="132">
        <v>3.1139999999999999</v>
      </c>
      <c r="H41" s="132">
        <v>4.7E-2</v>
      </c>
      <c r="I41" s="127">
        <v>0</v>
      </c>
      <c r="J41" s="128">
        <v>0</v>
      </c>
      <c r="K41" s="128">
        <v>0</v>
      </c>
      <c r="L41" s="128">
        <v>0</v>
      </c>
      <c r="M41" s="128">
        <v>0</v>
      </c>
      <c r="N41" s="129">
        <v>0</v>
      </c>
      <c r="O41" s="6">
        <v>-1</v>
      </c>
      <c r="P41" s="151">
        <v>0</v>
      </c>
      <c r="Q41" s="151">
        <v>0</v>
      </c>
      <c r="R41" s="147">
        <v>0</v>
      </c>
      <c r="S41" s="147">
        <v>0</v>
      </c>
      <c r="T41" s="17">
        <v>0</v>
      </c>
      <c r="U41" s="364">
        <f t="shared" si="14"/>
        <v>1.0000000000000009</v>
      </c>
      <c r="X41" s="6">
        <v>-8.9999999999999993E-3</v>
      </c>
      <c r="Y41" s="1">
        <v>1.4E-2</v>
      </c>
      <c r="Z41" s="1">
        <v>2E-3</v>
      </c>
      <c r="AA41" s="7">
        <f t="shared" si="15"/>
        <v>-6.9999999999999993E-3</v>
      </c>
      <c r="AB41" s="8">
        <f t="shared" si="16"/>
        <v>-2E-3</v>
      </c>
      <c r="AC41" s="75">
        <f t="shared" si="17"/>
        <v>0</v>
      </c>
      <c r="AD41" s="354">
        <f t="shared" si="19"/>
        <v>0</v>
      </c>
      <c r="AE41" s="850">
        <f t="shared" si="20"/>
        <v>3.5355339059327378</v>
      </c>
    </row>
    <row r="42" spans="2:33">
      <c r="B42" s="137">
        <v>-50</v>
      </c>
      <c r="C42" s="402">
        <v>-50</v>
      </c>
      <c r="D42" s="27">
        <v>0</v>
      </c>
      <c r="E42" s="75">
        <f t="shared" si="18"/>
        <v>-4.7E-2</v>
      </c>
      <c r="F42" s="132">
        <v>0.29099999999999998</v>
      </c>
      <c r="G42" s="132">
        <v>3.0630000000000002</v>
      </c>
      <c r="H42" s="132">
        <v>4.5999999999999999E-2</v>
      </c>
      <c r="I42" s="127">
        <v>41</v>
      </c>
      <c r="J42" s="128">
        <v>41</v>
      </c>
      <c r="K42" s="128">
        <v>41</v>
      </c>
      <c r="L42" s="128">
        <v>41</v>
      </c>
      <c r="M42" s="128">
        <v>41</v>
      </c>
      <c r="N42" s="129">
        <v>41</v>
      </c>
      <c r="O42" s="6">
        <v>-1</v>
      </c>
      <c r="P42" s="151">
        <v>0</v>
      </c>
      <c r="Q42" s="151">
        <v>-50</v>
      </c>
      <c r="R42" s="147">
        <v>0</v>
      </c>
      <c r="S42" s="147">
        <v>0</v>
      </c>
      <c r="T42" s="17">
        <v>0</v>
      </c>
      <c r="U42" s="364">
        <f t="shared" si="14"/>
        <v>3</v>
      </c>
      <c r="X42" s="6">
        <v>-2E-3</v>
      </c>
      <c r="Y42" s="1">
        <v>1.2E-2</v>
      </c>
      <c r="Z42" s="1">
        <v>-4.5999999999999999E-2</v>
      </c>
      <c r="AA42" s="7">
        <f t="shared" si="15"/>
        <v>0</v>
      </c>
      <c r="AB42" s="8">
        <f t="shared" si="16"/>
        <v>-4.0000000000000001E-3</v>
      </c>
      <c r="AC42" s="75">
        <f t="shared" si="17"/>
        <v>-4.8000000000000001E-2</v>
      </c>
      <c r="AD42" s="354">
        <f t="shared" si="19"/>
        <v>2</v>
      </c>
      <c r="AE42" s="850">
        <f t="shared" si="20"/>
        <v>2.8284271247461898</v>
      </c>
    </row>
    <row r="43" spans="2:33">
      <c r="B43" s="137">
        <v>0</v>
      </c>
      <c r="C43" s="402">
        <v>0</v>
      </c>
      <c r="D43" s="27">
        <v>4.8000000000000001E-2</v>
      </c>
      <c r="E43" s="75">
        <f t="shared" si="18"/>
        <v>1.0000000000000009E-3</v>
      </c>
      <c r="F43" s="132">
        <v>0.29199999999999998</v>
      </c>
      <c r="G43" s="132">
        <v>3.1160000000000001</v>
      </c>
      <c r="H43" s="132">
        <v>4.3999999999999997E-2</v>
      </c>
      <c r="I43" s="127">
        <v>0</v>
      </c>
      <c r="J43" s="128">
        <v>0</v>
      </c>
      <c r="K43" s="128">
        <v>0</v>
      </c>
      <c r="L43" s="128">
        <v>0</v>
      </c>
      <c r="M43" s="128">
        <v>0</v>
      </c>
      <c r="N43" s="129">
        <v>0</v>
      </c>
      <c r="O43" s="6">
        <v>0</v>
      </c>
      <c r="P43" s="151">
        <v>0</v>
      </c>
      <c r="Q43" s="151">
        <v>0</v>
      </c>
      <c r="R43" s="147">
        <v>0</v>
      </c>
      <c r="S43" s="147">
        <v>0</v>
      </c>
      <c r="T43" s="17">
        <v>0</v>
      </c>
      <c r="U43" s="364">
        <f t="shared" si="14"/>
        <v>1.0000000000000009</v>
      </c>
      <c r="X43" s="6">
        <v>-3.0000000000000001E-3</v>
      </c>
      <c r="Y43" s="1">
        <v>1.4E-2</v>
      </c>
      <c r="Z43" s="1">
        <v>3.0000000000000001E-3</v>
      </c>
      <c r="AA43" s="7">
        <f t="shared" si="15"/>
        <v>-1E-3</v>
      </c>
      <c r="AB43" s="8">
        <f t="shared" si="16"/>
        <v>-2E-3</v>
      </c>
      <c r="AC43" s="75">
        <f t="shared" si="17"/>
        <v>1E-3</v>
      </c>
      <c r="AD43" s="354">
        <f t="shared" si="19"/>
        <v>1</v>
      </c>
      <c r="AE43" s="850">
        <f t="shared" si="20"/>
        <v>0.70710678118654746</v>
      </c>
    </row>
    <row r="44" spans="2:33">
      <c r="B44" s="137">
        <v>50</v>
      </c>
      <c r="C44" s="402">
        <v>50</v>
      </c>
      <c r="D44" s="27">
        <v>9.4E-2</v>
      </c>
      <c r="E44" s="75">
        <f t="shared" si="18"/>
        <v>4.7E-2</v>
      </c>
      <c r="F44" s="132">
        <v>0.29199999999999998</v>
      </c>
      <c r="G44" s="132">
        <v>3.1680000000000001</v>
      </c>
      <c r="H44" s="132">
        <v>4.4999999999999998E-2</v>
      </c>
      <c r="I44" s="127">
        <v>-41</v>
      </c>
      <c r="J44" s="128">
        <v>-41</v>
      </c>
      <c r="K44" s="128">
        <v>-41</v>
      </c>
      <c r="L44" s="128">
        <v>-41</v>
      </c>
      <c r="M44" s="128">
        <v>-41</v>
      </c>
      <c r="N44" s="129">
        <v>-41</v>
      </c>
      <c r="O44" s="6">
        <v>1</v>
      </c>
      <c r="P44" s="151">
        <v>0</v>
      </c>
      <c r="Q44" s="151">
        <v>50</v>
      </c>
      <c r="R44" s="147">
        <v>0</v>
      </c>
      <c r="S44" s="147">
        <v>0</v>
      </c>
      <c r="T44" s="17">
        <v>0</v>
      </c>
      <c r="U44" s="364">
        <f t="shared" si="14"/>
        <v>3</v>
      </c>
      <c r="X44" s="6">
        <v>-0.01</v>
      </c>
      <c r="Y44" s="1">
        <v>1.2999999999999999E-2</v>
      </c>
      <c r="Z44" s="1">
        <v>5.0999999999999997E-2</v>
      </c>
      <c r="AA44" s="7">
        <f t="shared" si="15"/>
        <v>-8.0000000000000002E-3</v>
      </c>
      <c r="AB44" s="8">
        <f t="shared" si="16"/>
        <v>-3.0000000000000009E-3</v>
      </c>
      <c r="AC44" s="75">
        <f t="shared" si="17"/>
        <v>4.8999999999999995E-2</v>
      </c>
      <c r="AD44" s="354">
        <f t="shared" si="19"/>
        <v>-1.0000000000000071</v>
      </c>
      <c r="AE44" s="850">
        <f t="shared" si="20"/>
        <v>3.5355339059327355</v>
      </c>
    </row>
    <row r="45" spans="2:33">
      <c r="B45" s="137">
        <v>0</v>
      </c>
      <c r="C45" s="402">
        <v>0</v>
      </c>
      <c r="D45" s="27">
        <v>4.5999999999999999E-2</v>
      </c>
      <c r="E45" s="75">
        <f t="shared" si="18"/>
        <v>-1.0000000000000009E-3</v>
      </c>
      <c r="F45" s="132">
        <v>0.29099999999999998</v>
      </c>
      <c r="G45" s="132">
        <v>3.1139999999999999</v>
      </c>
      <c r="H45" s="132">
        <v>4.7E-2</v>
      </c>
      <c r="I45" s="127">
        <v>0</v>
      </c>
      <c r="J45" s="128">
        <v>0</v>
      </c>
      <c r="K45" s="128">
        <v>0</v>
      </c>
      <c r="L45" s="128">
        <v>0</v>
      </c>
      <c r="M45" s="128">
        <v>0</v>
      </c>
      <c r="N45" s="129">
        <v>0</v>
      </c>
      <c r="O45" s="6">
        <v>-1</v>
      </c>
      <c r="P45" s="151">
        <v>0</v>
      </c>
      <c r="Q45" s="151">
        <v>0</v>
      </c>
      <c r="R45" s="147">
        <v>0</v>
      </c>
      <c r="S45" s="147">
        <v>0</v>
      </c>
      <c r="T45" s="17">
        <v>0</v>
      </c>
      <c r="U45" s="364">
        <f t="shared" si="14"/>
        <v>1.0000000000000009</v>
      </c>
      <c r="X45" s="6">
        <v>-0.01</v>
      </c>
      <c r="Y45" s="1">
        <v>1.4E-2</v>
      </c>
      <c r="Z45" s="1">
        <v>2E-3</v>
      </c>
      <c r="AA45" s="7">
        <f t="shared" si="15"/>
        <v>-8.0000000000000002E-3</v>
      </c>
      <c r="AB45" s="8">
        <f t="shared" si="16"/>
        <v>-2E-3</v>
      </c>
      <c r="AC45" s="75">
        <f t="shared" si="17"/>
        <v>0</v>
      </c>
      <c r="AD45" s="354">
        <f t="shared" si="19"/>
        <v>0</v>
      </c>
      <c r="AE45" s="850">
        <f t="shared" si="20"/>
        <v>4.2426406871192848</v>
      </c>
    </row>
    <row r="46" spans="2:33">
      <c r="B46" s="137">
        <v>-50</v>
      </c>
      <c r="C46" s="402">
        <v>-50</v>
      </c>
      <c r="D46" s="27">
        <v>0</v>
      </c>
      <c r="E46" s="75">
        <f t="shared" si="18"/>
        <v>-4.7E-2</v>
      </c>
      <c r="F46" s="132">
        <v>0.29099999999999998</v>
      </c>
      <c r="G46" s="132">
        <v>3.0619999999999998</v>
      </c>
      <c r="H46" s="132">
        <v>4.5999999999999999E-2</v>
      </c>
      <c r="I46" s="127">
        <v>41</v>
      </c>
      <c r="J46" s="128">
        <v>41</v>
      </c>
      <c r="K46" s="128">
        <v>41</v>
      </c>
      <c r="L46" s="128">
        <v>41</v>
      </c>
      <c r="M46" s="128">
        <v>41</v>
      </c>
      <c r="N46" s="129">
        <v>41</v>
      </c>
      <c r="O46" s="6">
        <v>-1</v>
      </c>
      <c r="P46" s="151">
        <v>0</v>
      </c>
      <c r="Q46" s="151">
        <v>-50</v>
      </c>
      <c r="R46" s="147">
        <v>0</v>
      </c>
      <c r="S46" s="147">
        <v>0</v>
      </c>
      <c r="T46" s="17">
        <v>0</v>
      </c>
      <c r="U46" s="364">
        <f t="shared" si="14"/>
        <v>3</v>
      </c>
      <c r="X46" s="6">
        <v>-2E-3</v>
      </c>
      <c r="Y46" s="1">
        <v>1.0999999999999999E-2</v>
      </c>
      <c r="Z46" s="1">
        <v>-4.5999999999999999E-2</v>
      </c>
      <c r="AA46" s="7">
        <f t="shared" si="15"/>
        <v>0</v>
      </c>
      <c r="AB46" s="8">
        <f t="shared" si="16"/>
        <v>-5.000000000000001E-3</v>
      </c>
      <c r="AC46" s="75">
        <f t="shared" si="17"/>
        <v>-4.8000000000000001E-2</v>
      </c>
      <c r="AD46" s="354">
        <f t="shared" si="19"/>
        <v>2</v>
      </c>
      <c r="AE46" s="850">
        <f t="shared" si="20"/>
        <v>3.5355339059327386</v>
      </c>
    </row>
    <row r="47" spans="2:33">
      <c r="B47" s="139">
        <v>0</v>
      </c>
      <c r="C47" s="400">
        <v>0</v>
      </c>
      <c r="D47" s="38">
        <v>4.8000000000000001E-2</v>
      </c>
      <c r="E47" s="81">
        <f t="shared" si="18"/>
        <v>1.0000000000000009E-3</v>
      </c>
      <c r="F47" s="134">
        <v>0.29199999999999998</v>
      </c>
      <c r="G47" s="134">
        <v>3.1160000000000001</v>
      </c>
      <c r="H47" s="134">
        <v>4.4999999999999998E-2</v>
      </c>
      <c r="I47" s="126">
        <v>0</v>
      </c>
      <c r="J47" s="123">
        <v>0</v>
      </c>
      <c r="K47" s="123">
        <v>0</v>
      </c>
      <c r="L47" s="123">
        <v>0</v>
      </c>
      <c r="M47" s="123">
        <v>0</v>
      </c>
      <c r="N47" s="124">
        <v>-1</v>
      </c>
      <c r="O47" s="12">
        <v>1</v>
      </c>
      <c r="P47" s="13">
        <v>0</v>
      </c>
      <c r="Q47" s="13">
        <v>0</v>
      </c>
      <c r="R47" s="19">
        <v>0</v>
      </c>
      <c r="S47" s="19">
        <v>0</v>
      </c>
      <c r="T47" s="19">
        <v>0</v>
      </c>
      <c r="U47" s="384">
        <f t="shared" si="14"/>
        <v>1.0000000000000009</v>
      </c>
      <c r="X47" s="12">
        <v>-3.0000000000000001E-3</v>
      </c>
      <c r="Y47" s="13">
        <v>1.4999999999999999E-2</v>
      </c>
      <c r="Z47" s="13">
        <v>3.0000000000000001E-3</v>
      </c>
      <c r="AA47" s="68">
        <f t="shared" si="15"/>
        <v>-1E-3</v>
      </c>
      <c r="AB47" s="69">
        <f t="shared" si="16"/>
        <v>-1.0000000000000009E-3</v>
      </c>
      <c r="AC47" s="81">
        <f t="shared" si="17"/>
        <v>1E-3</v>
      </c>
      <c r="AD47" s="785">
        <f t="shared" si="19"/>
        <v>1</v>
      </c>
      <c r="AE47" s="357">
        <f t="shared" si="20"/>
        <v>6.1331736667334966E-16</v>
      </c>
      <c r="AF47" s="958">
        <f>STDEV(AD36:AD47)</f>
        <v>1.4034589305344765</v>
      </c>
      <c r="AG47" s="956">
        <f>AVERAGE(AE36:AE47)</f>
        <v>2.7105759945484316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V51"/>
  <sheetViews>
    <sheetView zoomScale="75" zoomScaleNormal="75" workbookViewId="0">
      <pane xSplit="6" ySplit="5" topLeftCell="G12" activePane="bottomRight" state="frozen"/>
      <selection pane="topRight" activeCell="H1" sqref="H1"/>
      <selection pane="bottomLeft" activeCell="A6" sqref="A6"/>
      <selection pane="bottomRight" activeCell="U29" sqref="U29"/>
    </sheetView>
  </sheetViews>
  <sheetFormatPr defaultRowHeight="14.4"/>
  <cols>
    <col min="1" max="1" width="3.21875" customWidth="1"/>
    <col min="2" max="2" width="6.109375" style="633" customWidth="1"/>
    <col min="3" max="3" width="58.6640625" customWidth="1"/>
    <col min="4" max="4" width="6.44140625" style="633" customWidth="1"/>
    <col min="5" max="5" width="4.44140625" customWidth="1"/>
    <col min="6" max="6" width="8" style="633" customWidth="1"/>
    <col min="7" max="7" width="12.88671875" customWidth="1"/>
    <col min="8" max="8" width="11.109375" customWidth="1"/>
    <col min="9" max="9" width="12.44140625" customWidth="1"/>
    <col min="10" max="10" width="13.44140625" customWidth="1"/>
    <col min="11" max="11" width="12.109375" customWidth="1"/>
    <col min="12" max="12" width="8.5546875" style="638" customWidth="1"/>
    <col min="13" max="13" width="2" style="892" customWidth="1"/>
    <col min="14" max="14" width="12.44140625" customWidth="1"/>
    <col min="15" max="15" width="11.5546875" customWidth="1"/>
    <col min="16" max="16" width="20.77734375" customWidth="1"/>
  </cols>
  <sheetData>
    <row r="1" spans="2:22">
      <c r="B1" s="175"/>
      <c r="C1" s="11"/>
      <c r="D1" s="1031"/>
      <c r="E1" s="11"/>
      <c r="F1" s="1031"/>
      <c r="G1" s="11"/>
      <c r="H1" s="11"/>
      <c r="I1" s="11"/>
      <c r="J1" s="370" t="s">
        <v>617</v>
      </c>
      <c r="K1" s="77"/>
      <c r="L1" s="350"/>
      <c r="M1" s="899"/>
      <c r="N1" s="370" t="s">
        <v>601</v>
      </c>
      <c r="O1" s="77"/>
      <c r="P1" s="350"/>
      <c r="Q1" s="1"/>
      <c r="R1" s="1"/>
      <c r="S1" s="1"/>
      <c r="T1" s="1"/>
      <c r="U1" s="1"/>
      <c r="V1" s="1"/>
    </row>
    <row r="2" spans="2:22" ht="15" thickBot="1">
      <c r="B2" s="137"/>
      <c r="C2" s="1"/>
      <c r="D2" s="145"/>
      <c r="E2" s="1"/>
      <c r="F2" s="145"/>
      <c r="G2" s="1"/>
      <c r="H2" s="1"/>
      <c r="I2" s="1"/>
      <c r="J2" s="343" t="s">
        <v>619</v>
      </c>
      <c r="K2" s="82"/>
      <c r="L2" s="351"/>
      <c r="M2" s="948"/>
      <c r="N2" s="343" t="s">
        <v>618</v>
      </c>
      <c r="O2" s="82"/>
      <c r="P2" s="351"/>
      <c r="Q2" s="1"/>
      <c r="R2" s="1"/>
      <c r="S2" s="1"/>
      <c r="T2" s="1"/>
      <c r="U2" s="1"/>
      <c r="V2" s="1"/>
    </row>
    <row r="3" spans="2:22" ht="18">
      <c r="B3" s="1032" t="s">
        <v>410</v>
      </c>
      <c r="C3" s="697"/>
      <c r="D3" s="698"/>
      <c r="E3" s="697"/>
      <c r="F3" s="698"/>
      <c r="G3" s="697"/>
      <c r="H3" s="697"/>
      <c r="I3" s="697"/>
      <c r="J3" s="889"/>
      <c r="K3" s="889"/>
      <c r="L3" s="889"/>
      <c r="M3" s="902"/>
      <c r="N3" s="746" t="s">
        <v>588</v>
      </c>
      <c r="O3" s="329"/>
      <c r="P3" s="332"/>
      <c r="Q3" s="1"/>
      <c r="R3" s="1"/>
      <c r="S3" s="1"/>
      <c r="T3" s="1"/>
      <c r="U3" s="1"/>
      <c r="V3" s="1"/>
    </row>
    <row r="4" spans="2:22">
      <c r="B4" s="1033" t="s">
        <v>405</v>
      </c>
      <c r="C4" s="699" t="s">
        <v>316</v>
      </c>
      <c r="D4" s="700" t="s">
        <v>317</v>
      </c>
      <c r="E4" s="701" t="s">
        <v>318</v>
      </c>
      <c r="F4" s="700" t="s">
        <v>325</v>
      </c>
      <c r="G4" s="701" t="s">
        <v>319</v>
      </c>
      <c r="H4" s="700" t="s">
        <v>320</v>
      </c>
      <c r="I4" s="702" t="s">
        <v>367</v>
      </c>
      <c r="J4" s="700" t="s">
        <v>389</v>
      </c>
      <c r="K4" s="703" t="s">
        <v>321</v>
      </c>
      <c r="L4" s="890" t="s">
        <v>380</v>
      </c>
      <c r="M4" s="903"/>
      <c r="N4" s="700" t="s">
        <v>389</v>
      </c>
      <c r="O4" s="703" t="s">
        <v>321</v>
      </c>
      <c r="P4" s="1009" t="s">
        <v>380</v>
      </c>
    </row>
    <row r="5" spans="2:22" ht="15" thickBot="1">
      <c r="B5" s="1034" t="s">
        <v>406</v>
      </c>
      <c r="C5" s="704"/>
      <c r="D5" s="690"/>
      <c r="E5" s="691"/>
      <c r="F5" s="690"/>
      <c r="G5" s="691" t="s">
        <v>376</v>
      </c>
      <c r="H5" s="690"/>
      <c r="I5" s="691" t="s">
        <v>368</v>
      </c>
      <c r="J5" s="690" t="s">
        <v>388</v>
      </c>
      <c r="K5" s="692"/>
      <c r="L5" s="891" t="s">
        <v>381</v>
      </c>
      <c r="M5" s="903"/>
      <c r="N5" s="690" t="s">
        <v>388</v>
      </c>
      <c r="O5" s="692"/>
      <c r="P5" s="1010" t="s">
        <v>381</v>
      </c>
    </row>
    <row r="6" spans="2:22" ht="36.75" customHeight="1">
      <c r="B6" s="937">
        <v>1</v>
      </c>
      <c r="C6" s="938" t="s">
        <v>401</v>
      </c>
      <c r="D6" s="939" t="s">
        <v>402</v>
      </c>
      <c r="E6" s="940" t="s">
        <v>2</v>
      </c>
      <c r="F6" s="939" t="s">
        <v>162</v>
      </c>
      <c r="G6" s="940" t="s">
        <v>324</v>
      </c>
      <c r="H6" s="939" t="s">
        <v>630</v>
      </c>
      <c r="I6" s="940" t="s">
        <v>369</v>
      </c>
      <c r="J6" s="941">
        <v>0.21</v>
      </c>
      <c r="K6" s="942" t="s">
        <v>322</v>
      </c>
      <c r="L6" s="943"/>
      <c r="M6" s="944"/>
      <c r="N6" s="1004" t="s">
        <v>587</v>
      </c>
      <c r="O6" s="1006" t="s">
        <v>677</v>
      </c>
      <c r="P6" s="949" t="s">
        <v>620</v>
      </c>
    </row>
    <row r="7" spans="2:22">
      <c r="B7" s="694">
        <v>2</v>
      </c>
      <c r="C7" s="655" t="s">
        <v>400</v>
      </c>
      <c r="D7" s="373" t="s">
        <v>21</v>
      </c>
      <c r="E7" s="374" t="s">
        <v>3</v>
      </c>
      <c r="F7" s="373" t="s">
        <v>162</v>
      </c>
      <c r="G7" s="374" t="s">
        <v>323</v>
      </c>
      <c r="H7" s="373" t="s">
        <v>630</v>
      </c>
      <c r="I7" s="374" t="s">
        <v>369</v>
      </c>
      <c r="J7" s="656">
        <v>0.13</v>
      </c>
      <c r="K7" s="657" t="s">
        <v>322</v>
      </c>
      <c r="L7" s="893"/>
      <c r="M7" s="900"/>
      <c r="N7" s="656" t="s">
        <v>674</v>
      </c>
      <c r="O7" s="657" t="s">
        <v>322</v>
      </c>
      <c r="P7" s="858" t="s">
        <v>637</v>
      </c>
    </row>
    <row r="8" spans="2:22">
      <c r="B8" s="693"/>
      <c r="C8" s="650"/>
      <c r="D8" s="651"/>
      <c r="E8" s="652" t="s">
        <v>4</v>
      </c>
      <c r="F8" s="651" t="s">
        <v>162</v>
      </c>
      <c r="G8" s="652" t="s">
        <v>323</v>
      </c>
      <c r="H8" s="651" t="s">
        <v>630</v>
      </c>
      <c r="I8" s="652" t="s">
        <v>369</v>
      </c>
      <c r="J8" s="653">
        <v>0.25</v>
      </c>
      <c r="K8" s="654" t="s">
        <v>322</v>
      </c>
      <c r="L8" s="893"/>
      <c r="M8" s="900"/>
      <c r="N8" s="653" t="s">
        <v>675</v>
      </c>
      <c r="O8" s="654" t="s">
        <v>322</v>
      </c>
      <c r="P8" s="947" t="s">
        <v>638</v>
      </c>
    </row>
    <row r="9" spans="2:22">
      <c r="B9" s="694">
        <v>3</v>
      </c>
      <c r="C9" s="672" t="s">
        <v>399</v>
      </c>
      <c r="D9" s="673" t="s">
        <v>402</v>
      </c>
      <c r="E9" s="674" t="s">
        <v>0</v>
      </c>
      <c r="F9" s="673" t="s">
        <v>162</v>
      </c>
      <c r="G9" s="674" t="s">
        <v>326</v>
      </c>
      <c r="H9" s="675" t="s">
        <v>630</v>
      </c>
      <c r="I9" s="674" t="s">
        <v>369</v>
      </c>
      <c r="J9" s="676">
        <v>0.35</v>
      </c>
      <c r="K9" s="677" t="s">
        <v>322</v>
      </c>
      <c r="L9" s="893"/>
      <c r="M9" s="900"/>
      <c r="N9" s="676">
        <v>0.12</v>
      </c>
      <c r="O9" s="677" t="s">
        <v>322</v>
      </c>
      <c r="P9" s="858" t="s">
        <v>639</v>
      </c>
    </row>
    <row r="10" spans="2:22">
      <c r="B10" s="693"/>
      <c r="C10" s="672"/>
      <c r="D10" s="673"/>
      <c r="E10" s="674" t="s">
        <v>1</v>
      </c>
      <c r="F10" s="673" t="s">
        <v>162</v>
      </c>
      <c r="G10" s="674" t="s">
        <v>326</v>
      </c>
      <c r="H10" s="669" t="s">
        <v>630</v>
      </c>
      <c r="I10" s="674" t="s">
        <v>369</v>
      </c>
      <c r="J10" s="676">
        <v>0.35</v>
      </c>
      <c r="K10" s="677" t="s">
        <v>322</v>
      </c>
      <c r="L10" s="893"/>
      <c r="M10" s="900"/>
      <c r="N10" s="676">
        <v>0.16</v>
      </c>
      <c r="O10" s="677" t="s">
        <v>322</v>
      </c>
      <c r="P10" s="858" t="s">
        <v>639</v>
      </c>
    </row>
    <row r="11" spans="2:22">
      <c r="B11" s="695">
        <v>4</v>
      </c>
      <c r="C11" s="660" t="s">
        <v>398</v>
      </c>
      <c r="D11" s="661" t="s">
        <v>21</v>
      </c>
      <c r="E11" s="662" t="s">
        <v>5</v>
      </c>
      <c r="F11" s="661" t="s">
        <v>162</v>
      </c>
      <c r="G11" s="662" t="s">
        <v>327</v>
      </c>
      <c r="H11" s="661" t="s">
        <v>630</v>
      </c>
      <c r="I11" s="662" t="s">
        <v>369</v>
      </c>
      <c r="J11" s="663">
        <v>0.32</v>
      </c>
      <c r="K11" s="664" t="s">
        <v>322</v>
      </c>
      <c r="L11" s="893"/>
      <c r="M11" s="900"/>
      <c r="N11" s="705" t="s">
        <v>342</v>
      </c>
      <c r="O11" s="705" t="s">
        <v>341</v>
      </c>
      <c r="P11" s="946" t="s">
        <v>407</v>
      </c>
    </row>
    <row r="12" spans="2:22">
      <c r="B12" s="694">
        <v>5</v>
      </c>
      <c r="C12" s="672" t="s">
        <v>397</v>
      </c>
      <c r="D12" s="673" t="s">
        <v>402</v>
      </c>
      <c r="E12" s="674" t="s">
        <v>2</v>
      </c>
      <c r="F12" s="673" t="s">
        <v>328</v>
      </c>
      <c r="G12" s="674" t="s">
        <v>347</v>
      </c>
      <c r="H12" s="673" t="s">
        <v>329</v>
      </c>
      <c r="I12" s="674" t="s">
        <v>369</v>
      </c>
      <c r="J12" s="673" t="s">
        <v>332</v>
      </c>
      <c r="K12" s="677" t="s">
        <v>322</v>
      </c>
      <c r="L12" s="893"/>
      <c r="M12" s="900"/>
      <c r="N12" s="673" t="s">
        <v>329</v>
      </c>
      <c r="O12" s="677" t="s">
        <v>322</v>
      </c>
      <c r="P12" s="858"/>
    </row>
    <row r="13" spans="2:22">
      <c r="B13" s="696"/>
      <c r="C13" s="678" t="s">
        <v>362</v>
      </c>
      <c r="D13" s="673"/>
      <c r="E13" s="674" t="s">
        <v>0</v>
      </c>
      <c r="F13" s="673" t="s">
        <v>328</v>
      </c>
      <c r="G13" s="674" t="s">
        <v>347</v>
      </c>
      <c r="H13" s="673" t="s">
        <v>330</v>
      </c>
      <c r="I13" s="674" t="s">
        <v>369</v>
      </c>
      <c r="J13" s="673" t="s">
        <v>332</v>
      </c>
      <c r="K13" s="677" t="s">
        <v>322</v>
      </c>
      <c r="L13" s="893"/>
      <c r="M13" s="900"/>
      <c r="N13" s="673" t="s">
        <v>629</v>
      </c>
      <c r="O13" s="677" t="s">
        <v>322</v>
      </c>
      <c r="P13" s="858"/>
    </row>
    <row r="14" spans="2:22">
      <c r="B14" s="696"/>
      <c r="C14" s="47"/>
      <c r="D14" s="673"/>
      <c r="E14" s="674" t="s">
        <v>1</v>
      </c>
      <c r="F14" s="673" t="s">
        <v>328</v>
      </c>
      <c r="G14" s="674" t="s">
        <v>347</v>
      </c>
      <c r="H14" s="673" t="s">
        <v>330</v>
      </c>
      <c r="I14" s="674" t="s">
        <v>369</v>
      </c>
      <c r="J14" s="673" t="s">
        <v>329</v>
      </c>
      <c r="K14" s="677" t="s">
        <v>322</v>
      </c>
      <c r="L14" s="893"/>
      <c r="M14" s="900"/>
      <c r="N14" s="673" t="s">
        <v>628</v>
      </c>
      <c r="O14" s="677" t="s">
        <v>322</v>
      </c>
      <c r="P14" s="858"/>
    </row>
    <row r="15" spans="2:22">
      <c r="B15" s="696"/>
      <c r="C15" s="678" t="s">
        <v>363</v>
      </c>
      <c r="D15" s="673" t="s">
        <v>21</v>
      </c>
      <c r="E15" s="674" t="s">
        <v>3</v>
      </c>
      <c r="F15" s="673" t="s">
        <v>328</v>
      </c>
      <c r="G15" s="674" t="s">
        <v>348</v>
      </c>
      <c r="H15" s="673" t="s">
        <v>404</v>
      </c>
      <c r="I15" s="674" t="s">
        <v>369</v>
      </c>
      <c r="J15" s="673" t="s">
        <v>333</v>
      </c>
      <c r="K15" s="677" t="s">
        <v>322</v>
      </c>
      <c r="L15" s="893"/>
      <c r="M15" s="900"/>
      <c r="N15" s="673" t="s">
        <v>632</v>
      </c>
      <c r="O15" s="677" t="s">
        <v>322</v>
      </c>
      <c r="P15" s="858"/>
    </row>
    <row r="16" spans="2:22">
      <c r="B16" s="696"/>
      <c r="C16" s="678"/>
      <c r="D16" s="673"/>
      <c r="E16" s="674" t="s">
        <v>4</v>
      </c>
      <c r="F16" s="673" t="s">
        <v>328</v>
      </c>
      <c r="G16" s="674" t="s">
        <v>348</v>
      </c>
      <c r="H16" s="673" t="s">
        <v>404</v>
      </c>
      <c r="I16" s="674" t="s">
        <v>369</v>
      </c>
      <c r="J16" s="673" t="s">
        <v>333</v>
      </c>
      <c r="K16" s="677" t="s">
        <v>322</v>
      </c>
      <c r="L16" s="893"/>
      <c r="M16" s="900"/>
      <c r="N16" s="673" t="s">
        <v>635</v>
      </c>
      <c r="O16" s="677" t="s">
        <v>322</v>
      </c>
      <c r="P16" s="858"/>
    </row>
    <row r="17" spans="2:20">
      <c r="B17" s="693"/>
      <c r="C17" s="47"/>
      <c r="D17" s="673"/>
      <c r="E17" s="674" t="s">
        <v>5</v>
      </c>
      <c r="F17" s="673" t="s">
        <v>328</v>
      </c>
      <c r="G17" s="674" t="s">
        <v>348</v>
      </c>
      <c r="H17" s="673" t="s">
        <v>331</v>
      </c>
      <c r="I17" s="674" t="s">
        <v>369</v>
      </c>
      <c r="J17" s="673" t="s">
        <v>334</v>
      </c>
      <c r="K17" s="677" t="s">
        <v>322</v>
      </c>
      <c r="L17" s="894"/>
      <c r="M17" s="900"/>
      <c r="N17" s="673" t="s">
        <v>636</v>
      </c>
      <c r="O17" s="677" t="s">
        <v>322</v>
      </c>
      <c r="P17" s="858"/>
      <c r="Q17" s="638"/>
    </row>
    <row r="18" spans="2:20">
      <c r="B18" s="694">
        <v>6</v>
      </c>
      <c r="C18" s="655" t="s">
        <v>396</v>
      </c>
      <c r="D18" s="373" t="s">
        <v>402</v>
      </c>
      <c r="E18" s="374" t="s">
        <v>2</v>
      </c>
      <c r="F18" s="373" t="s">
        <v>328</v>
      </c>
      <c r="G18" s="374" t="s">
        <v>346</v>
      </c>
      <c r="H18" s="373" t="s">
        <v>335</v>
      </c>
      <c r="I18" s="374" t="s">
        <v>299</v>
      </c>
      <c r="J18" s="373" t="s">
        <v>338</v>
      </c>
      <c r="K18" s="657" t="s">
        <v>379</v>
      </c>
      <c r="L18" s="895" t="s">
        <v>408</v>
      </c>
      <c r="M18" s="904"/>
      <c r="N18" s="373" t="s">
        <v>643</v>
      </c>
      <c r="O18" s="657" t="s">
        <v>322</v>
      </c>
      <c r="P18" s="987"/>
      <c r="T18" s="950"/>
    </row>
    <row r="19" spans="2:20">
      <c r="B19" s="696"/>
      <c r="C19" s="648" t="s">
        <v>364</v>
      </c>
      <c r="D19" s="658"/>
      <c r="E19" s="659" t="s">
        <v>0</v>
      </c>
      <c r="F19" s="658" t="s">
        <v>328</v>
      </c>
      <c r="G19" s="659" t="s">
        <v>346</v>
      </c>
      <c r="H19" s="658" t="s">
        <v>336</v>
      </c>
      <c r="I19" s="659" t="s">
        <v>299</v>
      </c>
      <c r="J19" s="658" t="s">
        <v>339</v>
      </c>
      <c r="K19" s="636" t="s">
        <v>322</v>
      </c>
      <c r="L19" s="893"/>
      <c r="M19" s="900"/>
      <c r="N19" s="658" t="s">
        <v>644</v>
      </c>
      <c r="O19" s="636" t="s">
        <v>322</v>
      </c>
      <c r="P19" s="858"/>
    </row>
    <row r="20" spans="2:20">
      <c r="B20" s="696"/>
      <c r="C20" s="6"/>
      <c r="D20" s="658"/>
      <c r="E20" s="659" t="s">
        <v>1</v>
      </c>
      <c r="F20" s="658" t="s">
        <v>328</v>
      </c>
      <c r="G20" s="659" t="s">
        <v>346</v>
      </c>
      <c r="H20" s="658" t="s">
        <v>336</v>
      </c>
      <c r="I20" s="659" t="s">
        <v>299</v>
      </c>
      <c r="J20" s="658" t="s">
        <v>337</v>
      </c>
      <c r="K20" s="636" t="s">
        <v>322</v>
      </c>
      <c r="L20" s="893"/>
      <c r="M20" s="900"/>
      <c r="N20" s="658" t="s">
        <v>645</v>
      </c>
      <c r="O20" s="636" t="s">
        <v>322</v>
      </c>
      <c r="P20" s="858"/>
    </row>
    <row r="21" spans="2:20">
      <c r="B21" s="696"/>
      <c r="C21" s="6"/>
      <c r="D21" s="658" t="s">
        <v>21</v>
      </c>
      <c r="E21" s="659" t="s">
        <v>3</v>
      </c>
      <c r="F21" s="658" t="s">
        <v>328</v>
      </c>
      <c r="G21" s="659" t="s">
        <v>349</v>
      </c>
      <c r="H21" s="658" t="s">
        <v>340</v>
      </c>
      <c r="I21" s="659" t="s">
        <v>299</v>
      </c>
      <c r="J21" s="658" t="s">
        <v>344</v>
      </c>
      <c r="K21" s="636" t="s">
        <v>322</v>
      </c>
      <c r="L21" s="893"/>
      <c r="M21" s="900"/>
      <c r="N21" s="658" t="s">
        <v>653</v>
      </c>
      <c r="O21" s="636" t="s">
        <v>322</v>
      </c>
      <c r="P21" s="858" t="s">
        <v>655</v>
      </c>
    </row>
    <row r="22" spans="2:20">
      <c r="B22" s="696"/>
      <c r="C22" s="6"/>
      <c r="D22" s="658"/>
      <c r="E22" s="659" t="s">
        <v>4</v>
      </c>
      <c r="F22" s="658" t="s">
        <v>328</v>
      </c>
      <c r="G22" s="659" t="s">
        <v>349</v>
      </c>
      <c r="H22" s="658" t="s">
        <v>340</v>
      </c>
      <c r="I22" s="659" t="s">
        <v>299</v>
      </c>
      <c r="J22" s="658" t="s">
        <v>345</v>
      </c>
      <c r="K22" s="636" t="s">
        <v>366</v>
      </c>
      <c r="L22" s="893"/>
      <c r="M22" s="900"/>
      <c r="N22" s="658" t="s">
        <v>654</v>
      </c>
      <c r="O22" s="636" t="s">
        <v>322</v>
      </c>
      <c r="P22" s="858" t="s">
        <v>656</v>
      </c>
    </row>
    <row r="23" spans="2:20">
      <c r="B23" s="693"/>
      <c r="C23" s="12"/>
      <c r="D23" s="651"/>
      <c r="E23" s="652" t="s">
        <v>5</v>
      </c>
      <c r="F23" s="651" t="s">
        <v>328</v>
      </c>
      <c r="G23" s="652" t="s">
        <v>350</v>
      </c>
      <c r="H23" s="651" t="s">
        <v>343</v>
      </c>
      <c r="I23" s="652" t="s">
        <v>299</v>
      </c>
      <c r="J23" s="665" t="s">
        <v>342</v>
      </c>
      <c r="K23" s="666" t="s">
        <v>341</v>
      </c>
      <c r="L23" s="896" t="s">
        <v>407</v>
      </c>
      <c r="M23" s="904"/>
      <c r="N23" s="665" t="s">
        <v>342</v>
      </c>
      <c r="O23" s="666" t="s">
        <v>341</v>
      </c>
      <c r="P23" s="640" t="s">
        <v>646</v>
      </c>
    </row>
    <row r="24" spans="2:20">
      <c r="B24" s="694">
        <v>7</v>
      </c>
      <c r="C24" s="672" t="s">
        <v>395</v>
      </c>
      <c r="D24" s="673" t="s">
        <v>402</v>
      </c>
      <c r="E24" s="674" t="s">
        <v>2</v>
      </c>
      <c r="F24" s="673" t="s">
        <v>328</v>
      </c>
      <c r="G24" s="674" t="s">
        <v>390</v>
      </c>
      <c r="H24" s="673" t="s">
        <v>335</v>
      </c>
      <c r="I24" s="674" t="s">
        <v>299</v>
      </c>
      <c r="J24" s="679" t="s">
        <v>338</v>
      </c>
      <c r="K24" s="680" t="s">
        <v>322</v>
      </c>
      <c r="L24" s="897" t="s">
        <v>664</v>
      </c>
      <c r="M24" s="901"/>
      <c r="N24" s="679" t="s">
        <v>666</v>
      </c>
      <c r="O24" s="680" t="s">
        <v>322</v>
      </c>
      <c r="P24" s="858"/>
    </row>
    <row r="25" spans="2:20">
      <c r="B25" s="693"/>
      <c r="C25" s="678" t="s">
        <v>358</v>
      </c>
      <c r="D25" s="673"/>
      <c r="E25" s="674"/>
      <c r="F25" s="673"/>
      <c r="G25" s="674"/>
      <c r="H25" s="673"/>
      <c r="I25" s="674"/>
      <c r="J25" s="679"/>
      <c r="K25" s="680"/>
      <c r="L25" s="894"/>
      <c r="M25" s="900"/>
      <c r="N25" s="679"/>
      <c r="O25" s="680"/>
      <c r="P25" s="858"/>
    </row>
    <row r="26" spans="2:20">
      <c r="B26" s="694">
        <v>8</v>
      </c>
      <c r="C26" s="655" t="s">
        <v>394</v>
      </c>
      <c r="D26" s="373" t="s">
        <v>402</v>
      </c>
      <c r="E26" s="374" t="s">
        <v>263</v>
      </c>
      <c r="F26" s="373" t="s">
        <v>328</v>
      </c>
      <c r="G26" s="374" t="s">
        <v>346</v>
      </c>
      <c r="H26" s="373" t="s">
        <v>336</v>
      </c>
      <c r="I26" s="374" t="s">
        <v>299</v>
      </c>
      <c r="J26" s="373" t="s">
        <v>351</v>
      </c>
      <c r="K26" s="657" t="s">
        <v>322</v>
      </c>
      <c r="L26" s="898"/>
      <c r="M26" s="900"/>
      <c r="N26" s="373" t="s">
        <v>673</v>
      </c>
      <c r="O26" s="657" t="s">
        <v>322</v>
      </c>
      <c r="P26" s="858"/>
    </row>
    <row r="27" spans="2:20" ht="15">
      <c r="B27" s="693"/>
      <c r="C27" s="637" t="s">
        <v>356</v>
      </c>
      <c r="D27" s="651"/>
      <c r="E27" s="652"/>
      <c r="F27" s="651"/>
      <c r="G27" s="652"/>
      <c r="H27" s="651"/>
      <c r="I27" s="652"/>
      <c r="J27" s="651"/>
      <c r="K27" s="654"/>
      <c r="L27" s="893"/>
      <c r="M27" s="900"/>
      <c r="N27" s="651"/>
      <c r="O27" s="654"/>
      <c r="P27" s="858"/>
    </row>
    <row r="28" spans="2:20">
      <c r="B28" s="694">
        <v>9</v>
      </c>
      <c r="C28" s="672" t="s">
        <v>393</v>
      </c>
      <c r="D28" s="673"/>
      <c r="E28" s="674" t="s">
        <v>261</v>
      </c>
      <c r="F28" s="673" t="s">
        <v>328</v>
      </c>
      <c r="G28" s="674" t="s">
        <v>349</v>
      </c>
      <c r="H28" s="673" t="s">
        <v>340</v>
      </c>
      <c r="I28" s="674" t="s">
        <v>299</v>
      </c>
      <c r="J28" s="673" t="s">
        <v>352</v>
      </c>
      <c r="K28" s="677" t="s">
        <v>322</v>
      </c>
      <c r="L28" s="893"/>
      <c r="M28" s="900"/>
      <c r="N28" s="673" t="s">
        <v>681</v>
      </c>
      <c r="O28" s="677" t="s">
        <v>322</v>
      </c>
      <c r="P28" s="858"/>
    </row>
    <row r="29" spans="2:20" ht="15">
      <c r="B29" s="693"/>
      <c r="C29" s="678" t="s">
        <v>357</v>
      </c>
      <c r="D29" s="673"/>
      <c r="E29" s="682"/>
      <c r="F29" s="673"/>
      <c r="G29" s="682"/>
      <c r="H29" s="681"/>
      <c r="I29" s="674"/>
      <c r="J29" s="681"/>
      <c r="K29" s="683"/>
      <c r="L29" s="894"/>
      <c r="M29" s="900"/>
      <c r="N29" s="681"/>
      <c r="O29" s="683"/>
      <c r="P29" s="858"/>
    </row>
    <row r="30" spans="2:20">
      <c r="B30" s="694">
        <v>10</v>
      </c>
      <c r="C30" s="655" t="s">
        <v>687</v>
      </c>
      <c r="D30" s="373" t="s">
        <v>402</v>
      </c>
      <c r="E30" s="374" t="s">
        <v>263</v>
      </c>
      <c r="F30" s="373" t="s">
        <v>328</v>
      </c>
      <c r="G30" s="374" t="s">
        <v>346</v>
      </c>
      <c r="H30" s="373" t="s">
        <v>336</v>
      </c>
      <c r="I30" s="374" t="s">
        <v>299</v>
      </c>
      <c r="J30" s="373" t="s">
        <v>360</v>
      </c>
      <c r="K30" s="657" t="s">
        <v>322</v>
      </c>
      <c r="L30" s="898"/>
      <c r="M30" s="900"/>
      <c r="N30" s="373" t="s">
        <v>685</v>
      </c>
      <c r="O30" s="657" t="s">
        <v>322</v>
      </c>
      <c r="P30" s="1011" t="s">
        <v>686</v>
      </c>
    </row>
    <row r="31" spans="2:20">
      <c r="B31" s="696"/>
      <c r="C31" s="44"/>
      <c r="D31" s="658"/>
      <c r="E31" s="659" t="s">
        <v>2</v>
      </c>
      <c r="F31" s="658" t="s">
        <v>328</v>
      </c>
      <c r="G31" s="659" t="s">
        <v>370</v>
      </c>
      <c r="H31" s="658" t="s">
        <v>335</v>
      </c>
      <c r="I31" s="659" t="s">
        <v>299</v>
      </c>
      <c r="J31" s="658" t="s">
        <v>365</v>
      </c>
      <c r="K31" s="636" t="s">
        <v>366</v>
      </c>
      <c r="L31" s="893" t="s">
        <v>409</v>
      </c>
      <c r="M31" s="900"/>
      <c r="N31" s="658" t="s">
        <v>692</v>
      </c>
      <c r="O31" s="636" t="s">
        <v>366</v>
      </c>
      <c r="P31" s="639" t="s">
        <v>688</v>
      </c>
    </row>
    <row r="32" spans="2:20">
      <c r="B32" s="696"/>
      <c r="C32" s="6"/>
      <c r="D32" s="658" t="s">
        <v>21</v>
      </c>
      <c r="E32" s="659" t="s">
        <v>261</v>
      </c>
      <c r="F32" s="658" t="s">
        <v>328</v>
      </c>
      <c r="G32" s="659" t="s">
        <v>359</v>
      </c>
      <c r="H32" s="658" t="s">
        <v>340</v>
      </c>
      <c r="I32" s="659" t="s">
        <v>299</v>
      </c>
      <c r="J32" s="658" t="s">
        <v>361</v>
      </c>
      <c r="K32" s="636" t="s">
        <v>322</v>
      </c>
      <c r="L32" s="893"/>
      <c r="M32" s="900"/>
      <c r="N32" s="658" t="s">
        <v>691</v>
      </c>
      <c r="O32" s="636" t="s">
        <v>366</v>
      </c>
      <c r="P32" s="1011" t="s">
        <v>693</v>
      </c>
    </row>
    <row r="33" spans="2:16">
      <c r="B33" s="693"/>
      <c r="C33" s="6"/>
      <c r="D33" s="658"/>
      <c r="E33" s="659" t="s">
        <v>5</v>
      </c>
      <c r="F33" s="658" t="s">
        <v>328</v>
      </c>
      <c r="G33" s="659">
        <v>0</v>
      </c>
      <c r="H33" s="658" t="s">
        <v>343</v>
      </c>
      <c r="I33" s="659" t="s">
        <v>299</v>
      </c>
      <c r="J33" s="667" t="s">
        <v>371</v>
      </c>
      <c r="K33" s="668" t="s">
        <v>341</v>
      </c>
      <c r="L33" s="894" t="s">
        <v>382</v>
      </c>
      <c r="M33" s="900"/>
      <c r="N33" s="651" t="s">
        <v>689</v>
      </c>
      <c r="O33" s="654" t="s">
        <v>322</v>
      </c>
      <c r="P33" s="858"/>
    </row>
    <row r="34" spans="2:16">
      <c r="B34" s="694">
        <v>11</v>
      </c>
      <c r="C34" s="684" t="s">
        <v>391</v>
      </c>
      <c r="D34" s="675" t="s">
        <v>403</v>
      </c>
      <c r="E34" s="686" t="s">
        <v>3</v>
      </c>
      <c r="F34" s="675" t="s">
        <v>328</v>
      </c>
      <c r="G34" s="686" t="s">
        <v>372</v>
      </c>
      <c r="H34" s="685"/>
      <c r="I34" s="687"/>
      <c r="J34" s="685"/>
      <c r="K34" s="688"/>
      <c r="L34" s="898"/>
      <c r="M34" s="900"/>
      <c r="N34" s="685"/>
      <c r="O34" s="688"/>
      <c r="P34" s="858"/>
    </row>
    <row r="35" spans="2:16">
      <c r="B35" s="693"/>
      <c r="C35" s="689" t="s">
        <v>375</v>
      </c>
      <c r="D35" s="669" t="s">
        <v>402</v>
      </c>
      <c r="E35" s="670" t="s">
        <v>1</v>
      </c>
      <c r="F35" s="669"/>
      <c r="G35" s="670" t="s">
        <v>373</v>
      </c>
      <c r="H35" s="669" t="s">
        <v>413</v>
      </c>
      <c r="I35" s="670" t="s">
        <v>299</v>
      </c>
      <c r="J35" s="669" t="s">
        <v>374</v>
      </c>
      <c r="K35" s="671" t="s">
        <v>322</v>
      </c>
      <c r="L35" s="893"/>
      <c r="M35" s="900"/>
      <c r="N35" s="669" t="s">
        <v>716</v>
      </c>
      <c r="O35" s="671" t="s">
        <v>322</v>
      </c>
      <c r="P35" s="858"/>
    </row>
    <row r="36" spans="2:16">
      <c r="B36" s="694">
        <v>12</v>
      </c>
      <c r="C36" s="655" t="s">
        <v>392</v>
      </c>
      <c r="D36" s="373" t="s">
        <v>402</v>
      </c>
      <c r="E36" s="374" t="s">
        <v>0</v>
      </c>
      <c r="F36" s="373" t="s">
        <v>328</v>
      </c>
      <c r="G36" s="374" t="s">
        <v>377</v>
      </c>
      <c r="H36" s="373" t="s">
        <v>336</v>
      </c>
      <c r="I36" s="374" t="s">
        <v>299</v>
      </c>
      <c r="J36" s="373" t="s">
        <v>339</v>
      </c>
      <c r="K36" s="657" t="s">
        <v>322</v>
      </c>
      <c r="L36" s="893"/>
      <c r="M36" s="900"/>
      <c r="N36" s="373" t="s">
        <v>701</v>
      </c>
      <c r="O36" s="657" t="s">
        <v>322</v>
      </c>
      <c r="P36" s="858"/>
    </row>
    <row r="37" spans="2:16">
      <c r="B37" s="696"/>
      <c r="C37" s="648" t="s">
        <v>378</v>
      </c>
      <c r="D37" s="658"/>
      <c r="E37" s="659" t="s">
        <v>1</v>
      </c>
      <c r="F37" s="658" t="s">
        <v>328</v>
      </c>
      <c r="G37" s="659" t="s">
        <v>377</v>
      </c>
      <c r="H37" s="658" t="s">
        <v>336</v>
      </c>
      <c r="I37" s="659" t="s">
        <v>299</v>
      </c>
      <c r="J37" s="658" t="s">
        <v>385</v>
      </c>
      <c r="K37" s="636" t="s">
        <v>322</v>
      </c>
      <c r="L37" s="893"/>
      <c r="M37" s="900"/>
      <c r="N37" s="658" t="s">
        <v>702</v>
      </c>
      <c r="O37" s="636" t="s">
        <v>322</v>
      </c>
      <c r="P37" s="858"/>
    </row>
    <row r="38" spans="2:16">
      <c r="B38" s="696"/>
      <c r="C38" s="648" t="s">
        <v>387</v>
      </c>
      <c r="D38" s="658"/>
      <c r="E38" s="659" t="s">
        <v>2</v>
      </c>
      <c r="F38" s="658" t="s">
        <v>328</v>
      </c>
      <c r="G38" s="659" t="s">
        <v>377</v>
      </c>
      <c r="H38" s="658" t="s">
        <v>335</v>
      </c>
      <c r="I38" s="659" t="s">
        <v>299</v>
      </c>
      <c r="J38" s="658" t="s">
        <v>386</v>
      </c>
      <c r="K38" s="636" t="s">
        <v>322</v>
      </c>
      <c r="L38" s="893"/>
      <c r="M38" s="900"/>
      <c r="N38" s="658" t="s">
        <v>703</v>
      </c>
      <c r="O38" s="636" t="s">
        <v>322</v>
      </c>
      <c r="P38" s="858"/>
    </row>
    <row r="39" spans="2:16">
      <c r="B39" s="696"/>
      <c r="C39" s="648"/>
      <c r="D39" s="658"/>
      <c r="E39" s="659" t="s">
        <v>3</v>
      </c>
      <c r="F39" s="658" t="s">
        <v>328</v>
      </c>
      <c r="G39" s="659" t="s">
        <v>700</v>
      </c>
      <c r="H39" s="658" t="s">
        <v>340</v>
      </c>
      <c r="I39" s="659" t="s">
        <v>299</v>
      </c>
      <c r="J39" s="667" t="s">
        <v>371</v>
      </c>
      <c r="K39" s="668" t="s">
        <v>341</v>
      </c>
      <c r="L39" s="893"/>
      <c r="M39" s="900"/>
      <c r="N39" s="658" t="s">
        <v>706</v>
      </c>
      <c r="O39" s="636" t="s">
        <v>704</v>
      </c>
      <c r="P39" s="858" t="s">
        <v>705</v>
      </c>
    </row>
    <row r="40" spans="2:16">
      <c r="B40" s="696"/>
      <c r="C40" s="648"/>
      <c r="D40" s="658"/>
      <c r="E40" s="659" t="s">
        <v>4</v>
      </c>
      <c r="F40" s="658" t="s">
        <v>328</v>
      </c>
      <c r="G40" s="659" t="s">
        <v>700</v>
      </c>
      <c r="H40" s="658" t="s">
        <v>340</v>
      </c>
      <c r="I40" s="659" t="s">
        <v>299</v>
      </c>
      <c r="J40" s="667" t="s">
        <v>371</v>
      </c>
      <c r="K40" s="668" t="s">
        <v>341</v>
      </c>
      <c r="L40" s="893"/>
      <c r="M40" s="900"/>
      <c r="N40" s="658" t="s">
        <v>344</v>
      </c>
      <c r="O40" s="636" t="s">
        <v>322</v>
      </c>
      <c r="P40" s="858"/>
    </row>
    <row r="41" spans="2:16">
      <c r="B41" s="693"/>
      <c r="C41" s="649"/>
      <c r="D41" s="651"/>
      <c r="E41" s="652" t="s">
        <v>5</v>
      </c>
      <c r="F41" s="651" t="s">
        <v>328</v>
      </c>
      <c r="G41" s="652" t="s">
        <v>700</v>
      </c>
      <c r="H41" s="651" t="s">
        <v>343</v>
      </c>
      <c r="I41" s="652" t="s">
        <v>299</v>
      </c>
      <c r="J41" s="667" t="s">
        <v>371</v>
      </c>
      <c r="K41" s="668" t="s">
        <v>341</v>
      </c>
      <c r="L41" s="894"/>
      <c r="M41" s="900"/>
      <c r="N41" s="651" t="s">
        <v>707</v>
      </c>
      <c r="O41" s="654" t="s">
        <v>322</v>
      </c>
      <c r="P41" s="858"/>
    </row>
    <row r="42" spans="2:16">
      <c r="B42" s="375">
        <v>13</v>
      </c>
      <c r="C42" s="1017" t="s">
        <v>412</v>
      </c>
      <c r="D42" s="651" t="s">
        <v>21</v>
      </c>
      <c r="E42" s="38" t="s">
        <v>5</v>
      </c>
      <c r="F42" s="651" t="s">
        <v>328</v>
      </c>
      <c r="G42" s="652" t="s">
        <v>411</v>
      </c>
      <c r="H42" s="651" t="s">
        <v>343</v>
      </c>
      <c r="I42" s="652" t="s">
        <v>299</v>
      </c>
      <c r="J42" s="705" t="s">
        <v>371</v>
      </c>
      <c r="K42" s="706" t="s">
        <v>341</v>
      </c>
      <c r="L42" s="894" t="s">
        <v>382</v>
      </c>
      <c r="M42" s="900"/>
      <c r="N42" s="665" t="s">
        <v>371</v>
      </c>
      <c r="O42" s="666" t="s">
        <v>341</v>
      </c>
      <c r="P42" s="947"/>
    </row>
    <row r="43" spans="2:16">
      <c r="B43" s="137"/>
      <c r="C43" s="1"/>
      <c r="D43" s="145"/>
      <c r="E43" s="1"/>
      <c r="F43" s="145"/>
      <c r="G43" s="1"/>
      <c r="H43" s="1"/>
      <c r="I43" s="1"/>
      <c r="J43" s="1"/>
      <c r="K43" s="1"/>
      <c r="L43" s="1035"/>
      <c r="M43" s="324"/>
      <c r="N43" s="988" t="s">
        <v>676</v>
      </c>
      <c r="O43" s="989"/>
      <c r="P43" s="990"/>
    </row>
    <row r="44" spans="2:16">
      <c r="B44" s="139"/>
      <c r="C44" s="13"/>
      <c r="D44" s="376"/>
      <c r="E44" s="13"/>
      <c r="F44" s="376"/>
      <c r="G44" s="13"/>
      <c r="H44" s="13"/>
      <c r="I44" s="13"/>
      <c r="J44" s="13"/>
      <c r="K44" s="13"/>
      <c r="L44" s="1036"/>
      <c r="M44" s="1037"/>
      <c r="N44" s="991" t="s">
        <v>678</v>
      </c>
      <c r="O44" s="992"/>
      <c r="P44" s="993"/>
    </row>
    <row r="50" spans="3:3" ht="15">
      <c r="C50" s="190" t="s">
        <v>354</v>
      </c>
    </row>
    <row r="51" spans="3:3" ht="15">
      <c r="C51" s="190" t="s">
        <v>355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V43"/>
  <sheetViews>
    <sheetView workbookViewId="0">
      <selection activeCell="C25" sqref="C25:N33"/>
    </sheetView>
  </sheetViews>
  <sheetFormatPr defaultRowHeight="14.4"/>
  <sheetData>
    <row r="1" spans="3:22">
      <c r="S1" s="370" t="s">
        <v>430</v>
      </c>
      <c r="T1" s="77"/>
      <c r="U1" s="77"/>
      <c r="V1" s="350"/>
    </row>
    <row r="2" spans="3:22">
      <c r="C2" s="170" t="s">
        <v>414</v>
      </c>
      <c r="D2" s="709" t="s">
        <v>415</v>
      </c>
      <c r="E2" s="11"/>
      <c r="F2" s="11" t="s">
        <v>416</v>
      </c>
      <c r="G2" s="11"/>
      <c r="H2" s="11"/>
      <c r="I2" s="11"/>
      <c r="J2" s="11"/>
      <c r="K2" s="11"/>
      <c r="L2" s="11"/>
      <c r="M2" s="11"/>
      <c r="N2" s="11"/>
      <c r="O2" s="86"/>
      <c r="S2" s="370" t="s">
        <v>3</v>
      </c>
      <c r="T2" s="350" t="s">
        <v>1</v>
      </c>
      <c r="U2" s="79"/>
      <c r="V2" s="323"/>
    </row>
    <row r="3" spans="3:22">
      <c r="C3" s="43"/>
      <c r="D3" s="3" t="s">
        <v>417</v>
      </c>
      <c r="E3" s="3"/>
      <c r="F3" s="3"/>
      <c r="G3" s="3"/>
      <c r="H3" s="3"/>
      <c r="I3" s="2" t="s">
        <v>418</v>
      </c>
      <c r="J3" s="3"/>
      <c r="K3" s="3"/>
      <c r="L3" s="2" t="s">
        <v>419</v>
      </c>
      <c r="M3" s="710" t="s">
        <v>420</v>
      </c>
      <c r="N3" s="377" t="s">
        <v>96</v>
      </c>
      <c r="O3" s="377" t="s">
        <v>96</v>
      </c>
      <c r="S3" s="342">
        <v>0.24</v>
      </c>
      <c r="T3" s="323">
        <v>-7.9799999999999995</v>
      </c>
      <c r="U3" s="79"/>
      <c r="V3" s="323"/>
    </row>
    <row r="4" spans="3:22">
      <c r="C4" s="711" t="s">
        <v>0</v>
      </c>
      <c r="D4" s="712" t="s">
        <v>1</v>
      </c>
      <c r="E4" s="712" t="s">
        <v>2</v>
      </c>
      <c r="F4" s="713" t="s">
        <v>3</v>
      </c>
      <c r="G4" s="712" t="s">
        <v>4</v>
      </c>
      <c r="H4" s="714" t="s">
        <v>5</v>
      </c>
      <c r="I4" s="711" t="s">
        <v>0</v>
      </c>
      <c r="J4" s="715" t="s">
        <v>1</v>
      </c>
      <c r="K4" s="712" t="s">
        <v>2</v>
      </c>
      <c r="L4" s="716" t="s">
        <v>421</v>
      </c>
      <c r="M4" s="717" t="s">
        <v>422</v>
      </c>
      <c r="N4" s="378" t="s">
        <v>7</v>
      </c>
      <c r="O4" s="378" t="s">
        <v>7</v>
      </c>
      <c r="S4" s="342">
        <v>0.17</v>
      </c>
      <c r="T4" s="323">
        <v>-5.6174999999999997</v>
      </c>
      <c r="U4" s="79"/>
      <c r="V4" s="323"/>
    </row>
    <row r="5" spans="3:22">
      <c r="C5" s="6" t="s">
        <v>423</v>
      </c>
      <c r="D5" s="1"/>
      <c r="E5" s="1"/>
      <c r="F5" s="718"/>
      <c r="G5" s="1"/>
      <c r="H5" s="1"/>
      <c r="I5" s="6"/>
      <c r="J5" s="719" t="s">
        <v>7</v>
      </c>
      <c r="K5" s="1"/>
      <c r="L5" s="649" t="s">
        <v>424</v>
      </c>
      <c r="M5" s="720" t="s">
        <v>7</v>
      </c>
      <c r="N5" s="375"/>
      <c r="O5" s="647" t="s">
        <v>425</v>
      </c>
      <c r="Q5" t="s">
        <v>432</v>
      </c>
      <c r="R5" t="s">
        <v>433</v>
      </c>
      <c r="S5" s="342">
        <v>-0.17</v>
      </c>
      <c r="T5" s="323">
        <v>5.6825000000000001</v>
      </c>
      <c r="U5" s="79"/>
      <c r="V5" s="323"/>
    </row>
    <row r="6" spans="3:22">
      <c r="C6" s="179">
        <v>0</v>
      </c>
      <c r="D6" s="39">
        <v>0</v>
      </c>
      <c r="E6" s="39">
        <v>0</v>
      </c>
      <c r="F6" s="718">
        <v>0.04</v>
      </c>
      <c r="G6" s="39">
        <v>0</v>
      </c>
      <c r="H6" s="39">
        <v>0</v>
      </c>
      <c r="I6" s="179">
        <v>0.11</v>
      </c>
      <c r="J6" s="79">
        <v>0.06</v>
      </c>
      <c r="K6" s="39">
        <v>0.09</v>
      </c>
      <c r="L6" s="721">
        <v>3.7499999999999999E-2</v>
      </c>
      <c r="M6" s="722">
        <f>-(0-33.75)*F6*3.1416/180</f>
        <v>2.3562E-2</v>
      </c>
      <c r="N6" s="132">
        <f>J6-M6</f>
        <v>3.6437999999999998E-2</v>
      </c>
      <c r="O6" s="132">
        <f>N6-0.067</f>
        <v>-3.0562000000000006E-2</v>
      </c>
      <c r="P6">
        <f>O6*O6</f>
        <v>9.3403584400000037E-4</v>
      </c>
      <c r="Q6">
        <v>0.12</v>
      </c>
      <c r="R6">
        <v>-0.12</v>
      </c>
      <c r="S6" s="342"/>
      <c r="T6" s="323"/>
      <c r="U6" s="79"/>
      <c r="V6" s="323"/>
    </row>
    <row r="7" spans="3:22">
      <c r="C7" s="179">
        <v>0</v>
      </c>
      <c r="D7" s="39">
        <v>0</v>
      </c>
      <c r="E7" s="39">
        <v>0</v>
      </c>
      <c r="F7" s="718">
        <v>0.12</v>
      </c>
      <c r="G7" s="39">
        <v>0</v>
      </c>
      <c r="H7" s="39">
        <v>0</v>
      </c>
      <c r="I7" s="179">
        <v>0.13</v>
      </c>
      <c r="J7" s="79">
        <v>0.14000000000000001</v>
      </c>
      <c r="K7" s="39">
        <v>0.08</v>
      </c>
      <c r="L7" s="721">
        <v>0.1177</v>
      </c>
      <c r="M7" s="722">
        <f>-(0-33.75)*F7*3.1416/180</f>
        <v>7.0685999999999999E-2</v>
      </c>
      <c r="N7" s="132">
        <f t="shared" ref="N7:N10" si="0">J7-M7</f>
        <v>6.9314000000000014E-2</v>
      </c>
      <c r="O7" s="132">
        <f t="shared" ref="O7:O11" si="1">N7-0.067</f>
        <v>2.3140000000000105E-3</v>
      </c>
      <c r="P7">
        <f t="shared" ref="P7:P11" si="2">O7*O7</f>
        <v>5.3545960000000485E-6</v>
      </c>
      <c r="Q7">
        <v>0.12</v>
      </c>
      <c r="R7">
        <v>-0.12</v>
      </c>
      <c r="S7" s="343">
        <v>-0.24</v>
      </c>
      <c r="T7" s="351">
        <v>7.9900000000000011</v>
      </c>
      <c r="U7" s="82"/>
      <c r="V7" s="351"/>
    </row>
    <row r="8" spans="3:22">
      <c r="C8" s="179">
        <v>0</v>
      </c>
      <c r="D8" s="39">
        <v>0</v>
      </c>
      <c r="E8" s="39">
        <v>0</v>
      </c>
      <c r="F8" s="718">
        <v>0.2</v>
      </c>
      <c r="G8" s="39">
        <v>0</v>
      </c>
      <c r="H8" s="39">
        <v>0</v>
      </c>
      <c r="I8" s="179">
        <v>0.09</v>
      </c>
      <c r="J8" s="79">
        <v>0.14000000000000001</v>
      </c>
      <c r="K8" s="39">
        <v>0.09</v>
      </c>
      <c r="L8" s="721">
        <v>0.19589999999999999</v>
      </c>
      <c r="M8" s="722">
        <f t="shared" ref="M8:M11" si="3">-(0-33.75)*F8*3.1416/180</f>
        <v>0.11781</v>
      </c>
      <c r="N8" s="132">
        <f t="shared" si="0"/>
        <v>2.2190000000000015E-2</v>
      </c>
      <c r="O8" s="132">
        <f t="shared" si="1"/>
        <v>-4.4809999999999989E-2</v>
      </c>
      <c r="P8">
        <f t="shared" si="2"/>
        <v>2.0079360999999988E-3</v>
      </c>
      <c r="Q8">
        <v>0.12</v>
      </c>
      <c r="R8">
        <v>-0.12</v>
      </c>
    </row>
    <row r="9" spans="3:22">
      <c r="C9" s="179">
        <v>0</v>
      </c>
      <c r="D9" s="39">
        <v>0</v>
      </c>
      <c r="E9" s="39">
        <v>0</v>
      </c>
      <c r="F9" s="732">
        <v>0.24</v>
      </c>
      <c r="G9" s="39">
        <v>0</v>
      </c>
      <c r="H9" s="39">
        <v>0</v>
      </c>
      <c r="I9" s="179">
        <v>0.1</v>
      </c>
      <c r="J9" s="79">
        <v>0.16</v>
      </c>
      <c r="K9" s="39">
        <v>0.08</v>
      </c>
      <c r="L9" s="721">
        <v>0.23680000000000001</v>
      </c>
      <c r="M9" s="722">
        <f t="shared" si="3"/>
        <v>0.141372</v>
      </c>
      <c r="N9" s="132">
        <f t="shared" si="0"/>
        <v>1.8628000000000006E-2</v>
      </c>
      <c r="O9" s="132">
        <f t="shared" si="1"/>
        <v>-4.8371999999999998E-2</v>
      </c>
      <c r="P9">
        <f t="shared" si="2"/>
        <v>2.3398503839999999E-3</v>
      </c>
      <c r="Q9">
        <v>0.12</v>
      </c>
      <c r="R9">
        <v>-0.12</v>
      </c>
    </row>
    <row r="10" spans="3:22">
      <c r="C10" s="179">
        <v>0</v>
      </c>
      <c r="D10" s="39">
        <v>0</v>
      </c>
      <c r="E10" s="39">
        <v>0</v>
      </c>
      <c r="F10" s="718">
        <v>-0.08</v>
      </c>
      <c r="G10" s="39">
        <v>0</v>
      </c>
      <c r="H10" s="39">
        <v>0</v>
      </c>
      <c r="I10" s="179">
        <v>0.09</v>
      </c>
      <c r="J10" s="79">
        <v>0.08</v>
      </c>
      <c r="K10" s="39">
        <v>0.08</v>
      </c>
      <c r="L10" s="721">
        <v>8.3199999999999996E-2</v>
      </c>
      <c r="M10" s="722">
        <f t="shared" si="3"/>
        <v>-4.7123999999999999E-2</v>
      </c>
      <c r="N10" s="132">
        <f t="shared" si="0"/>
        <v>0.12712400000000001</v>
      </c>
      <c r="O10" s="132">
        <f t="shared" si="1"/>
        <v>6.0124000000000011E-2</v>
      </c>
      <c r="P10">
        <f t="shared" si="2"/>
        <v>3.6148953760000014E-3</v>
      </c>
      <c r="Q10">
        <v>0.12</v>
      </c>
      <c r="R10">
        <v>-0.12</v>
      </c>
    </row>
    <row r="11" spans="3:22">
      <c r="C11" s="179">
        <v>0</v>
      </c>
      <c r="D11" s="39">
        <v>0</v>
      </c>
      <c r="E11" s="39">
        <v>0</v>
      </c>
      <c r="F11" s="732">
        <v>-0.17</v>
      </c>
      <c r="G11" s="39">
        <v>0</v>
      </c>
      <c r="H11" s="39">
        <v>0</v>
      </c>
      <c r="I11" s="179">
        <v>0.09</v>
      </c>
      <c r="J11" s="79">
        <v>0.03</v>
      </c>
      <c r="K11" s="39">
        <v>0.08</v>
      </c>
      <c r="L11" s="721">
        <v>0.17380000000000001</v>
      </c>
      <c r="M11" s="722">
        <f t="shared" si="3"/>
        <v>-0.10013850000000001</v>
      </c>
      <c r="N11" s="132">
        <f>J11-M11</f>
        <v>0.13013849999999999</v>
      </c>
      <c r="O11" s="132">
        <f t="shared" si="1"/>
        <v>6.3138499999999986E-2</v>
      </c>
      <c r="P11">
        <f t="shared" si="2"/>
        <v>3.9864701822499978E-3</v>
      </c>
      <c r="Q11">
        <v>0.12</v>
      </c>
      <c r="R11">
        <v>-0.12</v>
      </c>
    </row>
    <row r="12" spans="3:22">
      <c r="C12" s="179"/>
      <c r="D12" s="39"/>
      <c r="E12" s="39"/>
      <c r="F12" s="732">
        <v>-0.24</v>
      </c>
      <c r="G12" s="39"/>
      <c r="H12" s="39"/>
      <c r="I12" s="179"/>
      <c r="J12" s="79"/>
      <c r="K12" s="39"/>
      <c r="L12" s="721"/>
      <c r="M12" s="722">
        <f>-(0-33.75)*F12*3.1416/180</f>
        <v>-0.141372</v>
      </c>
      <c r="N12" s="132"/>
      <c r="O12" s="132"/>
      <c r="Q12">
        <v>0.12</v>
      </c>
      <c r="R12">
        <v>-0.12</v>
      </c>
    </row>
    <row r="13" spans="3:22">
      <c r="C13" s="179" t="s">
        <v>426</v>
      </c>
      <c r="D13" s="39"/>
      <c r="E13" s="39"/>
      <c r="F13" s="349"/>
      <c r="G13" s="39"/>
      <c r="H13" s="39"/>
      <c r="I13" s="179"/>
      <c r="J13" s="39"/>
      <c r="K13" s="39"/>
      <c r="L13" s="721"/>
      <c r="M13" s="723" t="s">
        <v>431</v>
      </c>
      <c r="N13" s="132">
        <f>AVERAGE(N6:N11)</f>
        <v>6.7305416666666673E-2</v>
      </c>
      <c r="O13" s="132"/>
    </row>
    <row r="14" spans="3:22">
      <c r="C14" s="179">
        <v>0</v>
      </c>
      <c r="D14" s="39">
        <v>0</v>
      </c>
      <c r="E14" s="39">
        <v>0</v>
      </c>
      <c r="F14" s="718">
        <v>0.08</v>
      </c>
      <c r="G14" s="39">
        <v>0</v>
      </c>
      <c r="H14" s="39">
        <v>0</v>
      </c>
      <c r="I14" s="179">
        <v>0.08</v>
      </c>
      <c r="J14" s="79">
        <v>-2.56</v>
      </c>
      <c r="K14" s="39">
        <v>7.0000000000000007E-2</v>
      </c>
      <c r="L14" s="721">
        <v>7.6399999999999996E-2</v>
      </c>
      <c r="M14" s="722">
        <f>-(1938-33.75)*F14*3.1416/180</f>
        <v>-2.6588408000000001</v>
      </c>
      <c r="N14" s="132">
        <f t="shared" ref="N14:N22" si="4">J14-M14</f>
        <v>9.8840800000000062E-2</v>
      </c>
      <c r="O14" s="132">
        <f>N14-0.053</f>
        <v>4.5840800000000063E-2</v>
      </c>
      <c r="P14">
        <f>O14*O14</f>
        <v>2.1013789446400056E-3</v>
      </c>
      <c r="Q14">
        <v>0.12</v>
      </c>
      <c r="R14">
        <v>-0.12</v>
      </c>
    </row>
    <row r="15" spans="3:22">
      <c r="C15" s="179">
        <v>0</v>
      </c>
      <c r="D15" s="39">
        <v>0</v>
      </c>
      <c r="E15" s="39">
        <v>0</v>
      </c>
      <c r="F15" s="718">
        <v>0.16</v>
      </c>
      <c r="G15" s="39">
        <v>0</v>
      </c>
      <c r="H15" s="39">
        <v>0</v>
      </c>
      <c r="I15" s="179">
        <v>0.06</v>
      </c>
      <c r="J15" s="79">
        <v>-5.24</v>
      </c>
      <c r="K15" s="39">
        <v>0.08</v>
      </c>
      <c r="L15" s="721">
        <v>0.15620000000000001</v>
      </c>
      <c r="M15" s="722">
        <f t="shared" ref="M15:M22" si="5">-(1938-33.75)*F15*3.1416/180</f>
        <v>-5.3176816000000002</v>
      </c>
      <c r="N15" s="132">
        <f t="shared" si="4"/>
        <v>7.7681600000000017E-2</v>
      </c>
      <c r="O15" s="132">
        <f t="shared" ref="O15:O22" si="6">N15-0.053</f>
        <v>2.4681600000000019E-2</v>
      </c>
      <c r="P15">
        <f t="shared" ref="P15:P22" si="7">O15*O15</f>
        <v>6.0918137856000093E-4</v>
      </c>
      <c r="Q15">
        <v>0.12</v>
      </c>
      <c r="R15">
        <v>-0.12</v>
      </c>
    </row>
    <row r="16" spans="3:22">
      <c r="C16" s="179"/>
      <c r="D16" s="39"/>
      <c r="E16" s="39"/>
      <c r="F16" s="732">
        <v>0.17</v>
      </c>
      <c r="G16" s="39"/>
      <c r="H16" s="39"/>
      <c r="I16" s="179"/>
      <c r="J16" s="79">
        <v>-5.6174999999999997</v>
      </c>
      <c r="K16" s="39"/>
      <c r="L16" s="721"/>
      <c r="M16" s="722">
        <f>-(1938-33.75)*F16*3.1416/180</f>
        <v>-5.6500367000000002</v>
      </c>
      <c r="N16" s="132">
        <f t="shared" si="4"/>
        <v>3.2536700000000529E-2</v>
      </c>
      <c r="O16" s="132">
        <f t="shared" si="6"/>
        <v>-2.0463299999999469E-2</v>
      </c>
      <c r="P16">
        <f t="shared" si="7"/>
        <v>4.1874664688997828E-4</v>
      </c>
      <c r="Q16">
        <v>0.12</v>
      </c>
      <c r="R16">
        <v>-0.12</v>
      </c>
    </row>
    <row r="17" spans="3:18">
      <c r="C17" s="179">
        <v>0</v>
      </c>
      <c r="D17" s="39">
        <v>0</v>
      </c>
      <c r="E17" s="39">
        <v>0</v>
      </c>
      <c r="F17" s="718">
        <v>0.2</v>
      </c>
      <c r="G17" s="39">
        <v>0</v>
      </c>
      <c r="H17" s="39">
        <v>0</v>
      </c>
      <c r="I17" s="179">
        <v>0.06</v>
      </c>
      <c r="J17" s="79">
        <v>-6.58</v>
      </c>
      <c r="K17" s="39">
        <v>0.06</v>
      </c>
      <c r="L17" s="721">
        <v>0.19389999999999999</v>
      </c>
      <c r="M17" s="722">
        <f t="shared" si="5"/>
        <v>-6.6471020000000003</v>
      </c>
      <c r="N17" s="132">
        <f t="shared" si="4"/>
        <v>6.7102000000000217E-2</v>
      </c>
      <c r="O17" s="132">
        <f t="shared" si="6"/>
        <v>1.4102000000000219E-2</v>
      </c>
      <c r="P17">
        <f t="shared" si="7"/>
        <v>1.9886640400000615E-4</v>
      </c>
      <c r="Q17">
        <v>0.12</v>
      </c>
      <c r="R17">
        <v>-0.12</v>
      </c>
    </row>
    <row r="18" spans="3:18">
      <c r="C18" s="179"/>
      <c r="D18" s="39"/>
      <c r="E18" s="39"/>
      <c r="F18" s="732">
        <v>0.24</v>
      </c>
      <c r="G18" s="39"/>
      <c r="H18" s="39"/>
      <c r="I18" s="179"/>
      <c r="J18" s="79">
        <v>-7.9799999999999995</v>
      </c>
      <c r="K18" s="39"/>
      <c r="L18" s="721"/>
      <c r="M18" s="722">
        <f>-(1938-33.75)*F18*3.1416/180</f>
        <v>-7.9765223999999986</v>
      </c>
      <c r="N18" s="132">
        <f t="shared" si="4"/>
        <v>-3.4776000000009688E-3</v>
      </c>
      <c r="O18" s="132">
        <f t="shared" si="6"/>
        <v>-5.6477600000000967E-2</v>
      </c>
      <c r="P18">
        <f t="shared" si="7"/>
        <v>3.1897193017601092E-3</v>
      </c>
      <c r="Q18">
        <v>0.12</v>
      </c>
      <c r="R18">
        <v>-0.12</v>
      </c>
    </row>
    <row r="19" spans="3:18">
      <c r="C19" s="179">
        <v>0</v>
      </c>
      <c r="D19" s="39">
        <v>0</v>
      </c>
      <c r="E19" s="39">
        <v>0</v>
      </c>
      <c r="F19" s="718">
        <v>-0.04</v>
      </c>
      <c r="G19" s="39">
        <v>0</v>
      </c>
      <c r="H19" s="39">
        <v>0</v>
      </c>
      <c r="I19" s="179">
        <v>0.1</v>
      </c>
      <c r="J19" s="79">
        <v>1.41</v>
      </c>
      <c r="K19" s="39">
        <v>0.08</v>
      </c>
      <c r="L19" s="721">
        <v>4.4400000000000002E-2</v>
      </c>
      <c r="M19" s="722">
        <f t="shared" si="5"/>
        <v>1.3294204000000001</v>
      </c>
      <c r="N19" s="132">
        <f t="shared" si="4"/>
        <v>8.0579599999999862E-2</v>
      </c>
      <c r="O19" s="132">
        <f t="shared" si="6"/>
        <v>2.7579599999999864E-2</v>
      </c>
      <c r="P19">
        <f t="shared" si="7"/>
        <v>7.6063433615999247E-4</v>
      </c>
      <c r="Q19">
        <v>0.12</v>
      </c>
      <c r="R19">
        <v>-0.12</v>
      </c>
    </row>
    <row r="20" spans="3:18">
      <c r="C20" s="179">
        <v>0</v>
      </c>
      <c r="D20" s="39">
        <v>0</v>
      </c>
      <c r="E20" s="39">
        <v>0</v>
      </c>
      <c r="F20" s="718">
        <v>-0.08</v>
      </c>
      <c r="G20" s="39">
        <v>0</v>
      </c>
      <c r="H20" s="39">
        <v>0</v>
      </c>
      <c r="I20" s="179">
        <v>0.1</v>
      </c>
      <c r="J20" s="79">
        <v>2.74</v>
      </c>
      <c r="K20" s="39">
        <v>0.08</v>
      </c>
      <c r="L20" s="721">
        <v>8.2600000000000007E-2</v>
      </c>
      <c r="M20" s="722">
        <f t="shared" si="5"/>
        <v>2.6588408000000001</v>
      </c>
      <c r="N20" s="132">
        <f t="shared" si="4"/>
        <v>8.1159200000000098E-2</v>
      </c>
      <c r="O20" s="132">
        <f t="shared" si="6"/>
        <v>2.8159200000000099E-2</v>
      </c>
      <c r="P20">
        <f t="shared" si="7"/>
        <v>7.9294054464000563E-4</v>
      </c>
      <c r="Q20">
        <v>0.12</v>
      </c>
      <c r="R20">
        <v>-0.12</v>
      </c>
    </row>
    <row r="21" spans="3:18">
      <c r="C21" s="179"/>
      <c r="D21" s="39"/>
      <c r="E21" s="39"/>
      <c r="F21" s="732">
        <v>-0.17</v>
      </c>
      <c r="G21" s="39"/>
      <c r="H21" s="39"/>
      <c r="I21" s="39"/>
      <c r="J21" s="79">
        <v>5.6825000000000001</v>
      </c>
      <c r="K21" s="39"/>
      <c r="L21" s="71"/>
      <c r="M21" s="75">
        <f t="shared" si="5"/>
        <v>5.6500367000000002</v>
      </c>
      <c r="N21" s="132">
        <f t="shared" si="4"/>
        <v>3.2463299999999862E-2</v>
      </c>
      <c r="O21" s="148">
        <f t="shared" si="6"/>
        <v>-2.0536700000000137E-2</v>
      </c>
      <c r="P21">
        <f t="shared" si="7"/>
        <v>4.2175604689000562E-4</v>
      </c>
      <c r="Q21">
        <v>0.12</v>
      </c>
      <c r="R21">
        <v>-0.12</v>
      </c>
    </row>
    <row r="22" spans="3:18">
      <c r="C22" s="217"/>
      <c r="D22" s="212"/>
      <c r="E22" s="212"/>
      <c r="F22" s="733">
        <v>-0.24</v>
      </c>
      <c r="G22" s="212"/>
      <c r="H22" s="212"/>
      <c r="I22" s="212"/>
      <c r="J22" s="82">
        <v>7.9900000000000011</v>
      </c>
      <c r="K22" s="212"/>
      <c r="L22" s="211"/>
      <c r="M22" s="81">
        <f t="shared" si="5"/>
        <v>7.9765223999999986</v>
      </c>
      <c r="N22" s="134">
        <f t="shared" si="4"/>
        <v>1.3477600000002532E-2</v>
      </c>
      <c r="O22" s="70">
        <f t="shared" si="6"/>
        <v>-3.9522399999997467E-2</v>
      </c>
      <c r="P22">
        <f t="shared" si="7"/>
        <v>1.5620201017597997E-3</v>
      </c>
      <c r="Q22">
        <v>0.12</v>
      </c>
      <c r="R22">
        <v>-0.12</v>
      </c>
    </row>
    <row r="23" spans="3:18">
      <c r="C23" s="342" t="s">
        <v>429</v>
      </c>
      <c r="D23" s="79"/>
      <c r="E23" s="79"/>
      <c r="F23" s="454"/>
      <c r="G23" s="79"/>
      <c r="H23" s="79"/>
      <c r="I23" s="79"/>
      <c r="J23" s="1"/>
      <c r="K23" s="1"/>
      <c r="L23" s="1"/>
      <c r="M23" s="1" t="s">
        <v>431</v>
      </c>
      <c r="N23" s="731">
        <f>AVERAGE(N14:N22)</f>
        <v>5.3373688888889131E-2</v>
      </c>
      <c r="O23" s="135">
        <f>STDEV(O6:O20)</f>
        <v>4.1465303814173064E-2</v>
      </c>
      <c r="Q23" s="9"/>
    </row>
    <row r="24" spans="3:18">
      <c r="C24" s="12"/>
      <c r="D24" s="13"/>
      <c r="E24" s="13"/>
      <c r="F24" s="727"/>
      <c r="G24" s="13"/>
      <c r="H24" s="13"/>
      <c r="I24" s="13"/>
      <c r="J24" s="13"/>
      <c r="K24" s="13"/>
      <c r="L24" s="13"/>
      <c r="M24" s="13"/>
      <c r="N24" s="341" t="s">
        <v>427</v>
      </c>
      <c r="O24" s="174">
        <f>SQRT(SUM(P6:P22)/11)</f>
        <v>4.5670545697667313E-2</v>
      </c>
    </row>
    <row r="25" spans="3:18">
      <c r="C25" s="2"/>
      <c r="D25" s="3" t="s">
        <v>417</v>
      </c>
      <c r="E25" s="3"/>
      <c r="F25" s="728"/>
      <c r="G25" s="3"/>
      <c r="H25" s="3"/>
      <c r="I25" s="2" t="s">
        <v>418</v>
      </c>
      <c r="J25" s="3"/>
      <c r="K25" s="3"/>
      <c r="L25" s="2" t="s">
        <v>419</v>
      </c>
      <c r="M25" s="710" t="s">
        <v>420</v>
      </c>
      <c r="N25" s="377" t="s">
        <v>96</v>
      </c>
    </row>
    <row r="26" spans="3:18">
      <c r="C26" s="711" t="s">
        <v>0</v>
      </c>
      <c r="D26" s="712" t="s">
        <v>1</v>
      </c>
      <c r="E26" s="712" t="s">
        <v>2</v>
      </c>
      <c r="F26" s="713" t="s">
        <v>3</v>
      </c>
      <c r="G26" s="712" t="s">
        <v>4</v>
      </c>
      <c r="H26" s="714" t="s">
        <v>5</v>
      </c>
      <c r="I26" s="711" t="s">
        <v>0</v>
      </c>
      <c r="J26" s="715" t="s">
        <v>1</v>
      </c>
      <c r="K26" s="712" t="s">
        <v>2</v>
      </c>
      <c r="L26" s="716" t="s">
        <v>421</v>
      </c>
      <c r="M26" s="717" t="s">
        <v>422</v>
      </c>
      <c r="N26" s="378" t="s">
        <v>7</v>
      </c>
    </row>
    <row r="27" spans="3:18">
      <c r="C27" s="6" t="s">
        <v>423</v>
      </c>
      <c r="D27" s="1"/>
      <c r="E27" s="1"/>
      <c r="F27" s="718"/>
      <c r="G27" s="1"/>
      <c r="H27" s="1"/>
      <c r="I27" s="6"/>
      <c r="J27" s="719" t="s">
        <v>7</v>
      </c>
      <c r="K27" s="1"/>
      <c r="L27" s="649" t="s">
        <v>424</v>
      </c>
      <c r="M27" s="720" t="s">
        <v>7</v>
      </c>
      <c r="N27" s="646" t="s">
        <v>425</v>
      </c>
    </row>
    <row r="28" spans="3:18">
      <c r="C28" s="179">
        <v>0</v>
      </c>
      <c r="D28" s="39">
        <v>0</v>
      </c>
      <c r="E28" s="39">
        <v>0</v>
      </c>
      <c r="F28" s="718">
        <v>0.04</v>
      </c>
      <c r="G28" s="39">
        <v>0</v>
      </c>
      <c r="H28" s="39">
        <v>0</v>
      </c>
      <c r="I28" s="179">
        <v>0.11</v>
      </c>
      <c r="J28" s="79">
        <v>0.06</v>
      </c>
      <c r="K28" s="39">
        <v>0.09</v>
      </c>
      <c r="L28" s="721">
        <v>3.7499999999999999E-2</v>
      </c>
      <c r="M28" s="722">
        <f>-(0-33.75)*F28*3.1416/180</f>
        <v>2.3562E-2</v>
      </c>
      <c r="N28" s="132">
        <v>-3.0562000000000006E-2</v>
      </c>
    </row>
    <row r="29" spans="3:18">
      <c r="C29" s="179">
        <v>0</v>
      </c>
      <c r="D29" s="39">
        <v>0</v>
      </c>
      <c r="E29" s="39">
        <v>0</v>
      </c>
      <c r="F29" s="718">
        <v>0.12</v>
      </c>
      <c r="G29" s="39">
        <v>0</v>
      </c>
      <c r="H29" s="39">
        <v>0</v>
      </c>
      <c r="I29" s="179">
        <v>0.13</v>
      </c>
      <c r="J29" s="79">
        <v>0.14000000000000001</v>
      </c>
      <c r="K29" s="39">
        <v>0.08</v>
      </c>
      <c r="L29" s="721">
        <v>0.1177</v>
      </c>
      <c r="M29" s="722">
        <f t="shared" ref="M29:M33" si="8">-(0-33.75)*F29*3.1416/180</f>
        <v>7.0685999999999999E-2</v>
      </c>
      <c r="N29" s="132">
        <v>2.3140000000000105E-3</v>
      </c>
    </row>
    <row r="30" spans="3:18">
      <c r="C30" s="179">
        <v>0</v>
      </c>
      <c r="D30" s="39">
        <v>0</v>
      </c>
      <c r="E30" s="39">
        <v>0</v>
      </c>
      <c r="F30" s="718">
        <v>0.2</v>
      </c>
      <c r="G30" s="39">
        <v>0</v>
      </c>
      <c r="H30" s="39">
        <v>0</v>
      </c>
      <c r="I30" s="179">
        <v>0.09</v>
      </c>
      <c r="J30" s="79">
        <v>0.14000000000000001</v>
      </c>
      <c r="K30" s="39">
        <v>0.09</v>
      </c>
      <c r="L30" s="721">
        <v>0.19589999999999999</v>
      </c>
      <c r="M30" s="722">
        <f t="shared" si="8"/>
        <v>0.11781</v>
      </c>
      <c r="N30" s="132">
        <v>-4.4809999999999989E-2</v>
      </c>
    </row>
    <row r="31" spans="3:18">
      <c r="C31" s="179">
        <v>0</v>
      </c>
      <c r="D31" s="39">
        <v>0</v>
      </c>
      <c r="E31" s="39">
        <v>0</v>
      </c>
      <c r="F31" s="718">
        <v>0.24</v>
      </c>
      <c r="G31" s="39">
        <v>0</v>
      </c>
      <c r="H31" s="39">
        <v>0</v>
      </c>
      <c r="I31" s="179">
        <v>0.1</v>
      </c>
      <c r="J31" s="79">
        <v>0.16</v>
      </c>
      <c r="K31" s="39">
        <v>0.08</v>
      </c>
      <c r="L31" s="721">
        <v>0.23680000000000001</v>
      </c>
      <c r="M31" s="722">
        <f t="shared" si="8"/>
        <v>0.141372</v>
      </c>
      <c r="N31" s="132">
        <v>-4.8371999999999998E-2</v>
      </c>
    </row>
    <row r="32" spans="3:18">
      <c r="C32" s="179">
        <v>0</v>
      </c>
      <c r="D32" s="39">
        <v>0</v>
      </c>
      <c r="E32" s="39">
        <v>0</v>
      </c>
      <c r="F32" s="718">
        <v>-0.08</v>
      </c>
      <c r="G32" s="39">
        <v>0</v>
      </c>
      <c r="H32" s="39">
        <v>0</v>
      </c>
      <c r="I32" s="179">
        <v>0.09</v>
      </c>
      <c r="J32" s="79">
        <v>0.08</v>
      </c>
      <c r="K32" s="39">
        <v>0.08</v>
      </c>
      <c r="L32" s="721">
        <v>8.3199999999999996E-2</v>
      </c>
      <c r="M32" s="722">
        <f t="shared" si="8"/>
        <v>-4.7123999999999999E-2</v>
      </c>
      <c r="N32" s="132">
        <v>6.0124000000000011E-2</v>
      </c>
    </row>
    <row r="33" spans="3:14">
      <c r="C33" s="179">
        <v>0</v>
      </c>
      <c r="D33" s="39">
        <v>0</v>
      </c>
      <c r="E33" s="39">
        <v>0</v>
      </c>
      <c r="F33" s="718">
        <v>-0.17</v>
      </c>
      <c r="G33" s="39">
        <v>0</v>
      </c>
      <c r="H33" s="39">
        <v>0</v>
      </c>
      <c r="I33" s="179">
        <v>0.09</v>
      </c>
      <c r="J33" s="79">
        <v>0.03</v>
      </c>
      <c r="K33" s="39">
        <v>0.08</v>
      </c>
      <c r="L33" s="721">
        <v>0.17380000000000001</v>
      </c>
      <c r="M33" s="722">
        <f t="shared" si="8"/>
        <v>-0.10013850000000001</v>
      </c>
      <c r="N33" s="132">
        <v>6.3138499999999986E-2</v>
      </c>
    </row>
    <row r="34" spans="3:14">
      <c r="C34" s="179" t="s">
        <v>426</v>
      </c>
      <c r="D34" s="39"/>
      <c r="E34" s="39"/>
      <c r="F34" s="349"/>
      <c r="G34" s="39"/>
      <c r="H34" s="39"/>
      <c r="I34" s="179"/>
      <c r="J34" s="39"/>
      <c r="K34" s="39"/>
      <c r="L34" s="721"/>
      <c r="M34" s="723"/>
      <c r="N34" s="132"/>
    </row>
    <row r="35" spans="3:14">
      <c r="C35" s="179">
        <v>0</v>
      </c>
      <c r="D35" s="39">
        <v>0</v>
      </c>
      <c r="E35" s="39">
        <v>0</v>
      </c>
      <c r="F35" s="718">
        <v>0.08</v>
      </c>
      <c r="G35" s="39">
        <v>0</v>
      </c>
      <c r="H35" s="39">
        <v>0</v>
      </c>
      <c r="I35" s="179">
        <v>0.08</v>
      </c>
      <c r="J35" s="79">
        <v>-2.56</v>
      </c>
      <c r="K35" s="39">
        <v>7.0000000000000007E-2</v>
      </c>
      <c r="L35" s="721">
        <v>7.6399999999999996E-2</v>
      </c>
      <c r="M35" s="722">
        <f>-(1938-33.75)*F35*3.1416/180</f>
        <v>-2.6588408000000001</v>
      </c>
      <c r="N35" s="132">
        <v>1.7840800000000059E-2</v>
      </c>
    </row>
    <row r="36" spans="3:14">
      <c r="C36" s="179">
        <v>0</v>
      </c>
      <c r="D36" s="39">
        <v>0</v>
      </c>
      <c r="E36" s="39">
        <v>0</v>
      </c>
      <c r="F36" s="718">
        <v>0.16</v>
      </c>
      <c r="G36" s="39">
        <v>0</v>
      </c>
      <c r="H36" s="39">
        <v>0</v>
      </c>
      <c r="I36" s="179">
        <v>0.06</v>
      </c>
      <c r="J36" s="79">
        <v>-5.24</v>
      </c>
      <c r="K36" s="39">
        <v>0.08</v>
      </c>
      <c r="L36" s="721">
        <v>0.15620000000000001</v>
      </c>
      <c r="M36" s="722">
        <f t="shared" ref="M36:M39" si="9">-(1938-33.75)*F36*3.1416/180</f>
        <v>-5.3176816000000002</v>
      </c>
      <c r="N36" s="132">
        <v>-3.3183999999999853E-3</v>
      </c>
    </row>
    <row r="37" spans="3:14">
      <c r="C37" s="179">
        <v>0</v>
      </c>
      <c r="D37" s="39">
        <v>0</v>
      </c>
      <c r="E37" s="39">
        <v>0</v>
      </c>
      <c r="F37" s="718">
        <v>0.2</v>
      </c>
      <c r="G37" s="39">
        <v>0</v>
      </c>
      <c r="H37" s="39">
        <v>0</v>
      </c>
      <c r="I37" s="179">
        <v>0.06</v>
      </c>
      <c r="J37" s="79">
        <v>-6.58</v>
      </c>
      <c r="K37" s="39">
        <v>0.06</v>
      </c>
      <c r="L37" s="721">
        <v>0.19389999999999999</v>
      </c>
      <c r="M37" s="722">
        <f t="shared" si="9"/>
        <v>-6.6471020000000003</v>
      </c>
      <c r="N37" s="132">
        <v>-1.3897999999999786E-2</v>
      </c>
    </row>
    <row r="38" spans="3:14">
      <c r="C38" s="179">
        <v>0</v>
      </c>
      <c r="D38" s="39">
        <v>0</v>
      </c>
      <c r="E38" s="39">
        <v>0</v>
      </c>
      <c r="F38" s="718">
        <v>-0.04</v>
      </c>
      <c r="G38" s="39">
        <v>0</v>
      </c>
      <c r="H38" s="39">
        <v>0</v>
      </c>
      <c r="I38" s="179">
        <v>0.1</v>
      </c>
      <c r="J38" s="79">
        <v>1.41</v>
      </c>
      <c r="K38" s="39">
        <v>0.08</v>
      </c>
      <c r="L38" s="721">
        <v>4.4400000000000002E-2</v>
      </c>
      <c r="M38" s="722">
        <f t="shared" si="9"/>
        <v>1.3294204000000001</v>
      </c>
      <c r="N38" s="132">
        <v>-4.2040000000014011E-4</v>
      </c>
    </row>
    <row r="39" spans="3:14">
      <c r="C39" s="217">
        <v>0</v>
      </c>
      <c r="D39" s="212">
        <v>0</v>
      </c>
      <c r="E39" s="212">
        <v>0</v>
      </c>
      <c r="F39" s="724">
        <v>-0.08</v>
      </c>
      <c r="G39" s="212">
        <v>0</v>
      </c>
      <c r="H39" s="212">
        <v>0</v>
      </c>
      <c r="I39" s="217">
        <v>0.1</v>
      </c>
      <c r="J39" s="82">
        <v>2.74</v>
      </c>
      <c r="K39" s="212">
        <v>0.08</v>
      </c>
      <c r="L39" s="725">
        <v>8.2600000000000007E-2</v>
      </c>
      <c r="M39" s="726">
        <f t="shared" si="9"/>
        <v>2.6588408000000001</v>
      </c>
      <c r="N39" s="134">
        <v>1.5920000000009538E-4</v>
      </c>
    </row>
    <row r="40" spans="3:14">
      <c r="F40" s="729"/>
    </row>
    <row r="43" spans="3:14">
      <c r="C43" t="s">
        <v>428</v>
      </c>
      <c r="I43" s="73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82"/>
  <sheetViews>
    <sheetView zoomScaleNormal="100" workbookViewId="0">
      <pane xSplit="7" ySplit="2" topLeftCell="H15" activePane="bottomRight" state="frozen"/>
      <selection pane="topRight" activeCell="H1" sqref="H1"/>
      <selection pane="bottomLeft" activeCell="A3" sqref="A3"/>
      <selection pane="bottomRight" activeCell="H40" sqref="H40"/>
    </sheetView>
  </sheetViews>
  <sheetFormatPr defaultColWidth="9.6640625" defaultRowHeight="14.4"/>
  <cols>
    <col min="1" max="12" width="9.6640625" style="39"/>
    <col min="13" max="13" width="11.33203125" style="39" customWidth="1"/>
    <col min="14" max="16384" width="9.6640625" style="39"/>
  </cols>
  <sheetData>
    <row r="1" spans="1:30">
      <c r="A1" s="1025"/>
      <c r="B1" s="428"/>
      <c r="C1" s="208"/>
      <c r="D1" s="208"/>
      <c r="E1" s="208"/>
      <c r="F1" s="208" t="s">
        <v>710</v>
      </c>
      <c r="G1" s="208" t="s">
        <v>711</v>
      </c>
      <c r="H1" s="199"/>
      <c r="I1" s="199"/>
      <c r="J1" s="199"/>
      <c r="K1" s="1026"/>
      <c r="L1" s="1026"/>
      <c r="M1" s="1027"/>
      <c r="N1" s="1020"/>
      <c r="O1" s="1020"/>
      <c r="P1" s="1020"/>
      <c r="Q1" s="1020"/>
      <c r="R1" s="1020"/>
      <c r="S1" s="1020"/>
      <c r="T1" s="1020"/>
      <c r="V1" s="71"/>
      <c r="W1" s="71"/>
      <c r="X1" s="71"/>
      <c r="Z1" s="147"/>
      <c r="AA1" s="147"/>
    </row>
    <row r="2" spans="1:30">
      <c r="A2" s="179"/>
      <c r="B2" s="440"/>
      <c r="C2" s="440"/>
      <c r="D2" s="440"/>
      <c r="E2" s="440"/>
      <c r="F2" s="440"/>
      <c r="G2" s="440"/>
      <c r="H2" s="62"/>
      <c r="I2" s="62"/>
      <c r="J2" s="62"/>
      <c r="K2" s="1019"/>
      <c r="L2" s="1019"/>
      <c r="M2" s="1028"/>
      <c r="N2" s="62"/>
      <c r="O2" s="62"/>
      <c r="P2" s="62"/>
      <c r="Q2" s="62"/>
      <c r="R2" s="62"/>
      <c r="S2" s="62"/>
      <c r="T2" s="62"/>
      <c r="V2" s="71"/>
      <c r="W2" s="71"/>
      <c r="X2" s="71"/>
      <c r="Z2" s="147"/>
      <c r="AA2" s="147"/>
    </row>
    <row r="3" spans="1:30">
      <c r="A3" s="179"/>
      <c r="B3" s="2"/>
      <c r="C3" s="3" t="s">
        <v>417</v>
      </c>
      <c r="D3" s="3"/>
      <c r="E3" s="728"/>
      <c r="F3" s="3"/>
      <c r="G3" s="3"/>
      <c r="H3" s="2" t="s">
        <v>418</v>
      </c>
      <c r="I3" s="3"/>
      <c r="J3" s="3"/>
      <c r="K3" s="2" t="s">
        <v>419</v>
      </c>
      <c r="L3" s="710" t="s">
        <v>420</v>
      </c>
      <c r="M3" s="377" t="s">
        <v>96</v>
      </c>
      <c r="N3" s="62"/>
      <c r="O3" s="62"/>
      <c r="P3" s="62"/>
      <c r="Q3" s="62"/>
      <c r="R3" s="62"/>
      <c r="S3" s="62"/>
      <c r="T3" s="62"/>
      <c r="V3" s="71"/>
      <c r="W3" s="71"/>
      <c r="X3" s="71"/>
      <c r="Z3" s="147"/>
      <c r="AA3" s="147"/>
      <c r="AD3" s="147"/>
    </row>
    <row r="4" spans="1:30">
      <c r="A4" s="179"/>
      <c r="B4" s="711" t="s">
        <v>0</v>
      </c>
      <c r="C4" s="712" t="s">
        <v>1</v>
      </c>
      <c r="D4" s="712" t="s">
        <v>2</v>
      </c>
      <c r="E4" s="713" t="s">
        <v>3</v>
      </c>
      <c r="F4" s="712" t="s">
        <v>4</v>
      </c>
      <c r="G4" s="714" t="s">
        <v>5</v>
      </c>
      <c r="H4" s="711" t="s">
        <v>0</v>
      </c>
      <c r="I4" s="715" t="s">
        <v>1</v>
      </c>
      <c r="J4" s="712" t="s">
        <v>2</v>
      </c>
      <c r="K4" s="716" t="s">
        <v>708</v>
      </c>
      <c r="L4" s="717" t="s">
        <v>709</v>
      </c>
      <c r="M4" s="378" t="s">
        <v>7</v>
      </c>
      <c r="N4" s="62"/>
      <c r="O4" s="62"/>
      <c r="P4" s="62"/>
      <c r="Q4" s="62"/>
      <c r="R4" s="62"/>
      <c r="S4" s="62"/>
      <c r="T4" s="62"/>
      <c r="V4" s="71"/>
      <c r="W4" s="71"/>
      <c r="X4" s="71"/>
      <c r="Z4" s="147"/>
      <c r="AA4" s="147"/>
    </row>
    <row r="5" spans="1:30">
      <c r="A5" s="179"/>
      <c r="B5" s="6" t="s">
        <v>423</v>
      </c>
      <c r="C5" s="1"/>
      <c r="D5" s="1"/>
      <c r="E5" s="718"/>
      <c r="F5" s="1"/>
      <c r="G5" s="1"/>
      <c r="H5" s="6"/>
      <c r="I5" s="719" t="s">
        <v>7</v>
      </c>
      <c r="J5" s="1"/>
      <c r="K5" s="649" t="s">
        <v>424</v>
      </c>
      <c r="L5" s="720" t="s">
        <v>7</v>
      </c>
      <c r="M5" s="646" t="s">
        <v>425</v>
      </c>
      <c r="N5" s="62"/>
      <c r="O5" s="62"/>
      <c r="P5" s="62"/>
      <c r="Q5" s="62"/>
      <c r="R5" s="62"/>
      <c r="S5" s="62"/>
      <c r="T5" s="62"/>
      <c r="V5" s="71"/>
      <c r="W5" s="71"/>
      <c r="X5" s="71"/>
      <c r="Z5" s="147"/>
      <c r="AA5" s="147"/>
    </row>
    <row r="6" spans="1:30">
      <c r="A6" s="179"/>
      <c r="B6" s="179">
        <v>0</v>
      </c>
      <c r="C6" s="39">
        <v>0</v>
      </c>
      <c r="D6" s="39">
        <v>0</v>
      </c>
      <c r="E6" s="718">
        <v>0.04</v>
      </c>
      <c r="F6" s="39">
        <v>0</v>
      </c>
      <c r="G6" s="39">
        <v>0</v>
      </c>
      <c r="H6" s="179">
        <v>0.11</v>
      </c>
      <c r="I6" s="79">
        <v>0.06</v>
      </c>
      <c r="J6" s="39">
        <v>0.09</v>
      </c>
      <c r="K6" s="721">
        <v>3.7499999999999999E-2</v>
      </c>
      <c r="L6" s="722">
        <v>2.3562E-2</v>
      </c>
      <c r="M6" s="132">
        <v>-3.0562000000000006E-2</v>
      </c>
      <c r="N6" s="62"/>
      <c r="O6" s="62"/>
      <c r="P6" s="62"/>
      <c r="Q6" s="62"/>
      <c r="R6" s="62"/>
      <c r="S6" s="62"/>
      <c r="T6" s="62"/>
      <c r="V6" s="71"/>
      <c r="W6" s="71"/>
      <c r="X6" s="71"/>
      <c r="Z6" s="147"/>
      <c r="AA6" s="147"/>
    </row>
    <row r="7" spans="1:30">
      <c r="A7" s="1029"/>
      <c r="B7" s="179">
        <v>0</v>
      </c>
      <c r="C7" s="39">
        <v>0</v>
      </c>
      <c r="D7" s="39">
        <v>0</v>
      </c>
      <c r="E7" s="718">
        <v>0.12</v>
      </c>
      <c r="F7" s="39">
        <v>0</v>
      </c>
      <c r="G7" s="39">
        <v>0</v>
      </c>
      <c r="H7" s="179">
        <v>0.13</v>
      </c>
      <c r="I7" s="79">
        <v>0.14000000000000001</v>
      </c>
      <c r="J7" s="39">
        <v>0.08</v>
      </c>
      <c r="K7" s="721">
        <v>0.1177</v>
      </c>
      <c r="L7" s="722">
        <v>7.0685999999999999E-2</v>
      </c>
      <c r="M7" s="132">
        <v>2.3140000000000105E-3</v>
      </c>
      <c r="N7" s="62"/>
      <c r="O7" s="62"/>
      <c r="P7" s="62"/>
      <c r="Q7" s="62"/>
      <c r="R7" s="62"/>
      <c r="S7" s="308"/>
      <c r="T7" s="62"/>
      <c r="V7" s="71"/>
      <c r="W7" s="71"/>
      <c r="X7" s="71"/>
      <c r="Z7" s="147"/>
      <c r="AA7" s="147"/>
    </row>
    <row r="8" spans="1:30">
      <c r="A8" s="179"/>
      <c r="B8" s="179">
        <v>0</v>
      </c>
      <c r="C8" s="39">
        <v>0</v>
      </c>
      <c r="D8" s="39">
        <v>0</v>
      </c>
      <c r="E8" s="718">
        <v>0.2</v>
      </c>
      <c r="F8" s="39">
        <v>0</v>
      </c>
      <c r="G8" s="39">
        <v>0</v>
      </c>
      <c r="H8" s="179">
        <v>0.09</v>
      </c>
      <c r="I8" s="79">
        <v>0.14000000000000001</v>
      </c>
      <c r="J8" s="39">
        <v>0.09</v>
      </c>
      <c r="K8" s="721">
        <v>0.19589999999999999</v>
      </c>
      <c r="L8" s="722">
        <v>0.11781</v>
      </c>
      <c r="M8" s="132">
        <v>-4.4809999999999989E-2</v>
      </c>
      <c r="N8" s="62"/>
      <c r="O8" s="62"/>
      <c r="P8" s="62"/>
      <c r="Q8" s="62"/>
      <c r="R8" s="62"/>
      <c r="S8" s="62"/>
      <c r="T8" s="62"/>
      <c r="V8" s="71"/>
      <c r="W8" s="71"/>
      <c r="X8" s="71"/>
      <c r="Z8" s="147"/>
      <c r="AA8" s="147"/>
    </row>
    <row r="9" spans="1:30">
      <c r="A9" s="179"/>
      <c r="B9" s="179">
        <v>0</v>
      </c>
      <c r="C9" s="39">
        <v>0</v>
      </c>
      <c r="D9" s="39">
        <v>0</v>
      </c>
      <c r="E9" s="718">
        <v>0.24</v>
      </c>
      <c r="F9" s="39">
        <v>0</v>
      </c>
      <c r="G9" s="39">
        <v>0</v>
      </c>
      <c r="H9" s="179">
        <v>0.1</v>
      </c>
      <c r="I9" s="79">
        <v>0.16</v>
      </c>
      <c r="J9" s="39">
        <v>0.08</v>
      </c>
      <c r="K9" s="721">
        <v>0.23680000000000001</v>
      </c>
      <c r="L9" s="722">
        <v>0.141372</v>
      </c>
      <c r="M9" s="132">
        <v>-4.8371999999999998E-2</v>
      </c>
      <c r="N9" s="62"/>
      <c r="O9" s="62"/>
      <c r="P9" s="62"/>
      <c r="Q9" s="62"/>
      <c r="R9" s="62"/>
      <c r="S9" s="62"/>
      <c r="T9" s="62"/>
      <c r="U9" s="147"/>
      <c r="V9" s="71"/>
      <c r="W9" s="71"/>
      <c r="X9" s="71"/>
      <c r="Z9" s="147"/>
      <c r="AA9" s="147"/>
    </row>
    <row r="10" spans="1:30">
      <c r="A10" s="179"/>
      <c r="B10" s="179">
        <v>0</v>
      </c>
      <c r="C10" s="39">
        <v>0</v>
      </c>
      <c r="D10" s="39">
        <v>0</v>
      </c>
      <c r="E10" s="718">
        <v>-0.08</v>
      </c>
      <c r="F10" s="39">
        <v>0</v>
      </c>
      <c r="G10" s="39">
        <v>0</v>
      </c>
      <c r="H10" s="179">
        <v>0.09</v>
      </c>
      <c r="I10" s="79">
        <v>0.08</v>
      </c>
      <c r="J10" s="39">
        <v>0.08</v>
      </c>
      <c r="K10" s="721">
        <v>8.3199999999999996E-2</v>
      </c>
      <c r="L10" s="722">
        <v>-4.7123999999999999E-2</v>
      </c>
      <c r="M10" s="132">
        <v>6.0124000000000011E-2</v>
      </c>
      <c r="N10" s="62"/>
      <c r="O10" s="62"/>
      <c r="P10" s="62"/>
      <c r="Q10" s="62"/>
      <c r="R10" s="62"/>
      <c r="S10" s="62"/>
      <c r="T10" s="62"/>
      <c r="V10" s="71"/>
      <c r="W10" s="71"/>
      <c r="X10" s="71"/>
      <c r="Z10" s="147"/>
      <c r="AA10" s="147"/>
    </row>
    <row r="11" spans="1:30">
      <c r="A11" s="217"/>
      <c r="B11" s="217">
        <v>0</v>
      </c>
      <c r="C11" s="212">
        <v>0</v>
      </c>
      <c r="D11" s="212">
        <v>0</v>
      </c>
      <c r="E11" s="724">
        <v>-0.17</v>
      </c>
      <c r="F11" s="212">
        <v>0</v>
      </c>
      <c r="G11" s="212">
        <v>0</v>
      </c>
      <c r="H11" s="217">
        <v>0.09</v>
      </c>
      <c r="I11" s="82">
        <v>0.03</v>
      </c>
      <c r="J11" s="212">
        <v>0.08</v>
      </c>
      <c r="K11" s="725">
        <v>0.17380000000000001</v>
      </c>
      <c r="L11" s="726">
        <v>-0.10013850000000001</v>
      </c>
      <c r="M11" s="134">
        <v>6.3138499999999986E-2</v>
      </c>
      <c r="N11" s="62"/>
      <c r="O11" s="62"/>
      <c r="P11" s="62"/>
      <c r="Q11" s="62"/>
      <c r="R11" s="62"/>
      <c r="S11" s="62"/>
      <c r="T11" s="62"/>
      <c r="V11" s="71"/>
      <c r="W11" s="71"/>
      <c r="X11" s="71"/>
      <c r="Z11" s="147"/>
      <c r="AA11" s="147"/>
    </row>
    <row r="12" spans="1:30">
      <c r="H12" s="219"/>
      <c r="I12" s="219"/>
      <c r="J12" s="219"/>
      <c r="K12" s="219"/>
      <c r="L12" s="231"/>
      <c r="M12" s="219"/>
      <c r="N12" s="62"/>
      <c r="O12" s="62"/>
      <c r="P12" s="62"/>
      <c r="Q12" s="62"/>
      <c r="R12" s="62"/>
      <c r="S12" s="62"/>
      <c r="T12" s="62"/>
      <c r="V12" s="71"/>
      <c r="W12" s="71"/>
      <c r="X12" s="71"/>
      <c r="Z12" s="147"/>
      <c r="AA12" s="147"/>
    </row>
    <row r="13" spans="1:30">
      <c r="F13" s="39" t="s">
        <v>712</v>
      </c>
      <c r="H13" s="219"/>
      <c r="I13" s="219"/>
      <c r="J13" s="219"/>
      <c r="K13" s="219"/>
      <c r="L13" s="231"/>
      <c r="M13" s="219"/>
      <c r="N13" s="62"/>
      <c r="O13" s="62"/>
      <c r="P13" s="62"/>
      <c r="Q13" s="62"/>
      <c r="R13" s="62"/>
      <c r="S13" s="62"/>
      <c r="T13" s="62"/>
      <c r="V13" s="71"/>
      <c r="W13" s="71"/>
      <c r="X13" s="71"/>
      <c r="Z13" s="147"/>
      <c r="AA13" s="147"/>
    </row>
    <row r="14" spans="1:30">
      <c r="A14" s="505" t="s">
        <v>652</v>
      </c>
      <c r="B14" s="208"/>
      <c r="C14" s="208"/>
      <c r="D14" s="208"/>
      <c r="E14" s="208"/>
      <c r="F14" s="208"/>
      <c r="G14" s="208"/>
      <c r="H14" s="438"/>
      <c r="I14" s="438"/>
      <c r="J14" s="438"/>
      <c r="K14" s="438"/>
      <c r="L14" s="11"/>
      <c r="M14" s="66"/>
      <c r="N14" s="66"/>
      <c r="O14" s="66"/>
      <c r="P14" s="146"/>
      <c r="Q14" s="62"/>
      <c r="R14" s="62"/>
      <c r="S14" s="62"/>
      <c r="T14" s="62"/>
      <c r="V14" s="71"/>
      <c r="W14" s="71"/>
      <c r="X14" s="71"/>
      <c r="Z14" s="147"/>
      <c r="AA14" s="147"/>
    </row>
    <row r="15" spans="1:30">
      <c r="A15" s="471" t="s">
        <v>275</v>
      </c>
      <c r="B15" s="216"/>
      <c r="C15" s="216"/>
      <c r="D15" s="3"/>
      <c r="E15" s="3"/>
      <c r="F15" s="3"/>
      <c r="G15" s="4"/>
      <c r="H15" s="66"/>
      <c r="I15" s="1002"/>
      <c r="J15" s="1002" t="s">
        <v>648</v>
      </c>
      <c r="K15" s="759"/>
      <c r="L15" s="758"/>
      <c r="M15" s="66"/>
      <c r="N15" s="66"/>
      <c r="O15" s="66"/>
      <c r="P15" s="146"/>
      <c r="Q15" s="201" t="s">
        <v>714</v>
      </c>
      <c r="R15" s="62"/>
      <c r="S15" s="62"/>
      <c r="T15" s="62"/>
      <c r="V15" s="71"/>
      <c r="W15" s="71"/>
      <c r="X15" s="71"/>
      <c r="Z15" s="147"/>
      <c r="AA15" s="147"/>
    </row>
    <row r="16" spans="1:30">
      <c r="A16" s="998" t="s">
        <v>647</v>
      </c>
      <c r="B16" s="207"/>
      <c r="C16" s="207"/>
      <c r="D16" s="11"/>
      <c r="E16" s="11"/>
      <c r="F16" s="11"/>
      <c r="G16" s="86"/>
      <c r="H16" s="8"/>
      <c r="I16" s="165" t="s">
        <v>484</v>
      </c>
      <c r="J16" s="66">
        <v>859.07751800000005</v>
      </c>
      <c r="K16" s="66">
        <v>-4.2502999999999999E-2</v>
      </c>
      <c r="L16" s="86">
        <v>-19.074154</v>
      </c>
      <c r="M16" s="8"/>
      <c r="N16" s="8"/>
      <c r="O16" s="8"/>
      <c r="P16" s="132"/>
      <c r="Q16" s="112" t="s">
        <v>715</v>
      </c>
      <c r="R16" s="62"/>
      <c r="S16" s="62"/>
      <c r="T16" s="62"/>
      <c r="V16" s="71"/>
      <c r="W16" s="71"/>
      <c r="X16" s="71"/>
      <c r="Z16" s="147"/>
      <c r="AA16" s="147"/>
    </row>
    <row r="17" spans="1:31">
      <c r="A17" s="995"/>
      <c r="B17" s="262" t="s">
        <v>257</v>
      </c>
      <c r="C17" s="262"/>
      <c r="D17" s="13"/>
      <c r="E17" s="13"/>
      <c r="F17" s="13"/>
      <c r="G17" s="87"/>
      <c r="H17" s="8"/>
      <c r="I17" s="68" t="s">
        <v>485</v>
      </c>
      <c r="J17" s="69">
        <v>-859.07577000000003</v>
      </c>
      <c r="K17" s="69">
        <v>0.88609199999999999</v>
      </c>
      <c r="L17" s="135">
        <v>-19.075368999999998</v>
      </c>
      <c r="M17" s="8"/>
      <c r="N17" s="8"/>
      <c r="O17" s="8"/>
      <c r="P17" s="132"/>
      <c r="Q17" s="189" t="s">
        <v>420</v>
      </c>
      <c r="R17" s="62"/>
      <c r="S17" s="62"/>
      <c r="T17" s="62"/>
      <c r="V17" s="71"/>
      <c r="W17" s="71"/>
      <c r="X17" s="71"/>
      <c r="Z17" s="147"/>
      <c r="AA17" s="147"/>
    </row>
    <row r="18" spans="1:31">
      <c r="A18" s="27"/>
      <c r="B18" s="1"/>
      <c r="C18" s="1" t="s">
        <v>649</v>
      </c>
      <c r="D18" s="50"/>
      <c r="E18" s="50"/>
      <c r="F18" s="1" t="s">
        <v>658</v>
      </c>
      <c r="G18" s="135"/>
      <c r="H18" s="788" t="s">
        <v>134</v>
      </c>
      <c r="I18" s="996" t="s">
        <v>660</v>
      </c>
      <c r="J18" s="996"/>
      <c r="K18" s="997"/>
      <c r="L18" s="10" t="s">
        <v>650</v>
      </c>
      <c r="M18" s="66"/>
      <c r="N18" s="66"/>
      <c r="O18" s="166"/>
      <c r="P18" s="624" t="s">
        <v>96</v>
      </c>
      <c r="Q18" s="112" t="s">
        <v>96</v>
      </c>
      <c r="R18" s="62"/>
      <c r="S18" s="62"/>
      <c r="T18" s="62"/>
      <c r="V18" s="71"/>
      <c r="W18" s="71"/>
      <c r="X18" s="71"/>
      <c r="Z18" s="147"/>
      <c r="AA18" s="147"/>
    </row>
    <row r="19" spans="1:31">
      <c r="A19" s="999" t="s">
        <v>253</v>
      </c>
      <c r="B19" s="918" t="s">
        <v>0</v>
      </c>
      <c r="C19" s="918" t="s">
        <v>1</v>
      </c>
      <c r="D19" s="918" t="s">
        <v>2</v>
      </c>
      <c r="E19" s="918" t="s">
        <v>3</v>
      </c>
      <c r="F19" s="918" t="s">
        <v>4</v>
      </c>
      <c r="G19" s="986" t="s">
        <v>5</v>
      </c>
      <c r="H19" s="1030" t="s">
        <v>713</v>
      </c>
      <c r="I19" s="806" t="s">
        <v>0</v>
      </c>
      <c r="J19" s="806" t="s">
        <v>1</v>
      </c>
      <c r="K19" s="625" t="s">
        <v>2</v>
      </c>
      <c r="L19" s="936"/>
      <c r="M19" s="772" t="s">
        <v>3</v>
      </c>
      <c r="N19" s="772" t="s">
        <v>4</v>
      </c>
      <c r="O19" s="1000" t="s">
        <v>5</v>
      </c>
      <c r="P19" s="624" t="s">
        <v>198</v>
      </c>
      <c r="Q19" s="112" t="s">
        <v>7</v>
      </c>
      <c r="R19" s="62"/>
      <c r="S19" s="62"/>
      <c r="T19" s="62"/>
      <c r="V19" s="71"/>
      <c r="W19" s="71"/>
      <c r="X19" s="71"/>
      <c r="Z19" s="147"/>
      <c r="AA19" s="147"/>
    </row>
    <row r="20" spans="1:31">
      <c r="A20" s="133"/>
      <c r="B20" s="3"/>
      <c r="C20" s="3"/>
      <c r="D20" s="3"/>
      <c r="E20" s="83">
        <v>0</v>
      </c>
      <c r="F20" s="3"/>
      <c r="G20" s="4"/>
      <c r="H20" s="788">
        <f>E20*3.1416*-1938/180</f>
        <v>0</v>
      </c>
      <c r="I20" s="120">
        <v>1.3949999998885687E-4</v>
      </c>
      <c r="J20" s="156">
        <v>-5.0000000000050004E-7</v>
      </c>
      <c r="K20" s="120">
        <v>-1.4349999999989649E-3</v>
      </c>
      <c r="L20" s="3"/>
      <c r="M20" s="156">
        <v>1.4782158289730894E-8</v>
      </c>
      <c r="N20" s="120"/>
      <c r="O20" s="120"/>
      <c r="P20" s="246">
        <v>1.4782158289730894E-8</v>
      </c>
      <c r="Q20" s="112"/>
      <c r="R20" s="62"/>
      <c r="S20" s="62"/>
      <c r="T20" s="62"/>
      <c r="V20" s="71"/>
      <c r="W20" s="71"/>
      <c r="X20" s="71"/>
      <c r="Z20" s="147"/>
      <c r="AA20" s="147"/>
    </row>
    <row r="21" spans="1:31">
      <c r="A21" s="994">
        <v>0.25</v>
      </c>
      <c r="B21" s="1"/>
      <c r="C21" s="1"/>
      <c r="D21" s="1"/>
      <c r="E21" s="79">
        <v>0.06</v>
      </c>
      <c r="F21" s="1"/>
      <c r="G21" s="135"/>
      <c r="H21" s="788">
        <f>E21*3.1416*-1938/180</f>
        <v>-2.0294736000000002</v>
      </c>
      <c r="I21" s="8">
        <v>7.5874999999996362E-3</v>
      </c>
      <c r="J21" s="75">
        <v>-2.01641</v>
      </c>
      <c r="K21" s="8">
        <v>-1.4599999999980184E-3</v>
      </c>
      <c r="L21" s="1"/>
      <c r="M21" s="75">
        <v>5.9613783593932927E-2</v>
      </c>
      <c r="N21" s="8"/>
      <c r="O21" s="8"/>
      <c r="P21" s="65">
        <v>-3.8621640606707102E-4</v>
      </c>
      <c r="Q21" s="112">
        <f>J21-H21</f>
        <v>1.3063600000000175E-2</v>
      </c>
      <c r="R21" s="62"/>
      <c r="S21" s="62"/>
      <c r="T21" s="62"/>
      <c r="V21" s="71"/>
      <c r="W21" s="71"/>
      <c r="X21" s="71"/>
      <c r="Z21" s="147"/>
      <c r="AA21" s="147"/>
    </row>
    <row r="22" spans="1:31">
      <c r="A22" s="27">
        <v>50</v>
      </c>
      <c r="B22" s="1"/>
      <c r="C22" s="1"/>
      <c r="D22" s="1"/>
      <c r="E22" s="79">
        <v>0.12</v>
      </c>
      <c r="F22" s="1"/>
      <c r="G22" s="135"/>
      <c r="H22" s="788">
        <f t="shared" ref="H22:H28" si="0">E22*3.1416*-1938/180</f>
        <v>-4.0589472000000004</v>
      </c>
      <c r="I22" s="8">
        <v>3.1522999999992862E-2</v>
      </c>
      <c r="J22" s="75">
        <v>-4.0415070000000002</v>
      </c>
      <c r="K22" s="8">
        <v>-1.1986999999999526E-2</v>
      </c>
      <c r="L22" s="1"/>
      <c r="M22" s="75">
        <v>0.11948439240599139</v>
      </c>
      <c r="N22" s="8"/>
      <c r="O22" s="8"/>
      <c r="P22" s="65">
        <v>-5.1560759400860745E-4</v>
      </c>
      <c r="Q22" s="112">
        <f t="shared" ref="Q22:Q28" si="1">J22-H22</f>
        <v>1.7440200000000239E-2</v>
      </c>
      <c r="R22" s="62"/>
      <c r="S22" s="62"/>
      <c r="T22" s="62"/>
      <c r="V22" s="71"/>
      <c r="W22" s="71"/>
      <c r="X22" s="71"/>
      <c r="Z22" s="147"/>
      <c r="AA22" s="147"/>
    </row>
    <row r="23" spans="1:31">
      <c r="A23" s="27">
        <v>75</v>
      </c>
      <c r="B23" s="1"/>
      <c r="C23" s="1"/>
      <c r="D23" s="1"/>
      <c r="E23" s="79">
        <v>0.18</v>
      </c>
      <c r="F23" s="1"/>
      <c r="G23" s="135"/>
      <c r="H23" s="788">
        <f t="shared" si="0"/>
        <v>-6.0884207999999997</v>
      </c>
      <c r="I23" s="8">
        <v>4.1216000000019903E-2</v>
      </c>
      <c r="J23" s="75">
        <v>-6.0763274999999997</v>
      </c>
      <c r="K23" s="8">
        <v>-2.9301499999998981E-2</v>
      </c>
      <c r="L23" s="1"/>
      <c r="M23" s="75">
        <v>0.17964246985030993</v>
      </c>
      <c r="N23" s="8"/>
      <c r="O23" s="8"/>
      <c r="P23" s="65">
        <v>-3.5753014969006069E-4</v>
      </c>
      <c r="Q23" s="112">
        <f t="shared" si="1"/>
        <v>1.2093300000000085E-2</v>
      </c>
      <c r="R23" s="62"/>
      <c r="S23" s="62"/>
      <c r="T23" s="62"/>
      <c r="V23" s="71"/>
      <c r="W23" s="71"/>
      <c r="X23" s="71"/>
      <c r="Z23" s="147"/>
      <c r="AA23" s="147"/>
    </row>
    <row r="24" spans="1:31">
      <c r="A24" s="27">
        <v>100</v>
      </c>
      <c r="B24" s="1"/>
      <c r="C24" s="1"/>
      <c r="D24" s="1"/>
      <c r="E24" s="79">
        <v>0.24</v>
      </c>
      <c r="F24" s="1"/>
      <c r="G24" s="135"/>
      <c r="H24" s="788">
        <f t="shared" si="0"/>
        <v>-8.1178944000000008</v>
      </c>
      <c r="I24" s="8">
        <v>2.7001999999981763E-2</v>
      </c>
      <c r="J24" s="75">
        <v>-8.1081485000000004</v>
      </c>
      <c r="K24" s="8">
        <v>-3.4170499999998327E-2</v>
      </c>
      <c r="L24" s="1"/>
      <c r="M24" s="75">
        <v>0.23971186912704853</v>
      </c>
      <c r="N24" s="8"/>
      <c r="O24" s="8"/>
      <c r="P24" s="65">
        <v>-2.8813087295145867E-4</v>
      </c>
      <c r="Q24" s="112">
        <f t="shared" si="1"/>
        <v>9.7459000000004181E-3</v>
      </c>
      <c r="R24" s="62"/>
      <c r="S24" s="62"/>
      <c r="T24" s="62"/>
      <c r="V24" s="71"/>
      <c r="W24" s="71"/>
      <c r="X24" s="71"/>
      <c r="Z24" s="147"/>
      <c r="AA24" s="147"/>
    </row>
    <row r="25" spans="1:31">
      <c r="A25" s="27">
        <v>-25</v>
      </c>
      <c r="B25" s="1"/>
      <c r="C25" s="1"/>
      <c r="D25" s="1"/>
      <c r="E25" s="79">
        <v>-0.06</v>
      </c>
      <c r="F25" s="1"/>
      <c r="G25" s="135"/>
      <c r="H25" s="788">
        <f t="shared" si="0"/>
        <v>2.0294736000000002</v>
      </c>
      <c r="I25" s="8">
        <v>2.4607500000001892E-2</v>
      </c>
      <c r="J25" s="75">
        <v>2.0395185000000002</v>
      </c>
      <c r="K25" s="8">
        <v>-6.2199999999990041E-4</v>
      </c>
      <c r="L25" s="1"/>
      <c r="M25" s="75">
        <v>-6.0296970603608738E-2</v>
      </c>
      <c r="N25" s="8"/>
      <c r="O25" s="8"/>
      <c r="P25" s="65">
        <v>-2.9697060360873995E-4</v>
      </c>
      <c r="Q25" s="112">
        <f t="shared" si="1"/>
        <v>1.0044900000000023E-2</v>
      </c>
      <c r="R25" s="62"/>
      <c r="S25" s="62"/>
      <c r="T25" s="62"/>
      <c r="V25" s="71"/>
      <c r="W25" s="71"/>
      <c r="X25" s="71"/>
      <c r="Z25" s="147"/>
      <c r="AA25" s="147"/>
    </row>
    <row r="26" spans="1:31">
      <c r="A26" s="27">
        <v>-50</v>
      </c>
      <c r="B26" s="1"/>
      <c r="C26" s="1"/>
      <c r="D26" s="1"/>
      <c r="E26" s="79">
        <v>-0.12</v>
      </c>
      <c r="F26" s="1"/>
      <c r="G26" s="135"/>
      <c r="H26" s="788">
        <f t="shared" si="0"/>
        <v>4.0589472000000004</v>
      </c>
      <c r="I26" s="8">
        <v>1.51299999999992E-2</v>
      </c>
      <c r="J26" s="75">
        <v>4.0770109999999997</v>
      </c>
      <c r="K26" s="8">
        <v>-1.2543499999999597E-2</v>
      </c>
      <c r="L26" s="1"/>
      <c r="M26" s="75">
        <v>-0.12053404390182752</v>
      </c>
      <c r="N26" s="8"/>
      <c r="O26" s="8"/>
      <c r="P26" s="65">
        <v>-5.3404390182752726E-4</v>
      </c>
      <c r="Q26" s="112">
        <f t="shared" si="1"/>
        <v>1.8063799999999297E-2</v>
      </c>
      <c r="R26" s="62"/>
      <c r="S26" s="62"/>
      <c r="T26" s="62"/>
      <c r="V26" s="71"/>
      <c r="W26" s="71"/>
      <c r="X26" s="71"/>
      <c r="Z26" s="147"/>
      <c r="AA26" s="147"/>
    </row>
    <row r="27" spans="1:31">
      <c r="A27" s="27">
        <v>-75</v>
      </c>
      <c r="B27" s="1"/>
      <c r="C27" s="1"/>
      <c r="D27" s="1"/>
      <c r="E27" s="79">
        <v>-0.18</v>
      </c>
      <c r="F27" s="1"/>
      <c r="G27" s="135"/>
      <c r="H27" s="788">
        <f t="shared" si="0"/>
        <v>6.0884207999999997</v>
      </c>
      <c r="I27" s="8">
        <v>1.982900000001564E-2</v>
      </c>
      <c r="J27" s="75">
        <v>6.1076519999999999</v>
      </c>
      <c r="K27" s="8">
        <v>-5.7010000000001781E-3</v>
      </c>
      <c r="L27" s="1"/>
      <c r="M27" s="75">
        <v>-0.18056855728500237</v>
      </c>
      <c r="N27" s="8"/>
      <c r="O27" s="8"/>
      <c r="P27" s="65">
        <v>-5.6855728500238012E-4</v>
      </c>
      <c r="Q27" s="112">
        <f t="shared" si="1"/>
        <v>1.9231200000000115E-2</v>
      </c>
      <c r="R27" s="62"/>
      <c r="S27" s="62"/>
      <c r="T27" s="62"/>
      <c r="V27" s="71"/>
      <c r="W27" s="71"/>
      <c r="X27" s="71"/>
      <c r="Z27" s="147"/>
      <c r="AA27" s="147"/>
      <c r="AE27" s="1021"/>
    </row>
    <row r="28" spans="1:31">
      <c r="A28" s="27">
        <v>-100</v>
      </c>
      <c r="B28" s="1"/>
      <c r="C28" s="1"/>
      <c r="D28" s="1"/>
      <c r="E28" s="79">
        <v>-0.24</v>
      </c>
      <c r="F28" s="1"/>
      <c r="G28" s="135"/>
      <c r="H28" s="788">
        <f t="shared" si="0"/>
        <v>8.1178944000000008</v>
      </c>
      <c r="I28" s="8">
        <v>-3.8500000016483682E-5</v>
      </c>
      <c r="J28" s="75">
        <v>8.1299899999999994</v>
      </c>
      <c r="K28" s="8">
        <v>-8.5409999999992436E-3</v>
      </c>
      <c r="L28" s="1"/>
      <c r="M28" s="75">
        <v>-0.24035759814761815</v>
      </c>
      <c r="N28" s="8"/>
      <c r="O28" s="8"/>
      <c r="P28" s="65">
        <v>-3.5759814761815445E-4</v>
      </c>
      <c r="Q28" s="112">
        <f t="shared" si="1"/>
        <v>1.2095599999998541E-2</v>
      </c>
      <c r="R28" s="62"/>
      <c r="S28" s="62"/>
      <c r="T28" s="62"/>
      <c r="V28" s="71"/>
      <c r="W28" s="71"/>
      <c r="X28" s="71"/>
      <c r="Z28" s="147"/>
      <c r="AA28" s="147"/>
    </row>
    <row r="29" spans="1:31">
      <c r="A29" s="471" t="s">
        <v>276</v>
      </c>
      <c r="B29" s="216"/>
      <c r="C29" s="216"/>
      <c r="D29" s="3"/>
      <c r="E29" s="3"/>
      <c r="F29" s="3"/>
      <c r="G29" s="4"/>
      <c r="H29" s="788"/>
      <c r="I29" s="120"/>
      <c r="J29" s="120"/>
      <c r="K29" s="120"/>
      <c r="L29" s="3"/>
      <c r="M29" s="120"/>
      <c r="N29" s="120"/>
      <c r="O29" s="120"/>
      <c r="P29" s="246"/>
      <c r="Q29" s="112"/>
      <c r="R29" s="62"/>
      <c r="S29" s="62"/>
      <c r="T29" s="62"/>
      <c r="V29" s="71"/>
      <c r="W29" s="71"/>
      <c r="X29" s="71"/>
      <c r="Z29" s="147"/>
      <c r="AA29" s="147"/>
    </row>
    <row r="30" spans="1:31">
      <c r="A30" s="133"/>
      <c r="B30" s="3"/>
      <c r="C30" s="3"/>
      <c r="D30" s="3"/>
      <c r="E30" s="3"/>
      <c r="F30" s="83">
        <v>0</v>
      </c>
      <c r="G30" s="4"/>
      <c r="H30" s="788">
        <f>-F30*3.1416*-1938/180</f>
        <v>0</v>
      </c>
      <c r="I30" s="156">
        <v>6.349999995336475E-5</v>
      </c>
      <c r="J30" s="120">
        <v>0</v>
      </c>
      <c r="K30" s="120">
        <v>-1.0000000010279564E-6</v>
      </c>
      <c r="L30" s="3"/>
      <c r="M30" s="120"/>
      <c r="N30" s="156">
        <v>1.877334101415207E-6</v>
      </c>
      <c r="O30" s="120"/>
      <c r="P30" s="246">
        <v>1.877334101415207E-6</v>
      </c>
      <c r="Q30" s="112"/>
      <c r="R30" s="62"/>
      <c r="S30" s="62"/>
      <c r="T30" s="62"/>
      <c r="V30" s="71"/>
      <c r="W30" s="71"/>
      <c r="X30" s="71"/>
      <c r="Z30" s="147"/>
      <c r="AA30" s="147"/>
    </row>
    <row r="31" spans="1:31">
      <c r="A31" s="994">
        <v>0.25</v>
      </c>
      <c r="B31" s="1"/>
      <c r="C31" s="1"/>
      <c r="D31" s="1"/>
      <c r="E31" s="1"/>
      <c r="F31" s="79">
        <v>0.06</v>
      </c>
      <c r="G31" s="135"/>
      <c r="H31" s="788">
        <f t="shared" ref="H31:H38" si="2">-F31*3.1416*-1938/180</f>
        <v>2.0294736000000002</v>
      </c>
      <c r="I31" s="75">
        <v>2.025427499999978</v>
      </c>
      <c r="J31" s="8">
        <v>1.7498999999999997E-2</v>
      </c>
      <c r="K31" s="8">
        <v>-1.6198000000001045E-2</v>
      </c>
      <c r="L31" s="1"/>
      <c r="M31" s="8"/>
      <c r="N31" s="75">
        <v>5.988037981868731E-2</v>
      </c>
      <c r="O31" s="8"/>
      <c r="P31" s="65">
        <v>-1.1962018131268792E-4</v>
      </c>
      <c r="Q31" s="112">
        <f>I31-H31</f>
        <v>-4.0461000000222569E-3</v>
      </c>
      <c r="R31" s="62"/>
      <c r="S31" s="62"/>
      <c r="T31" s="62"/>
      <c r="V31" s="71"/>
      <c r="W31" s="71"/>
      <c r="X31" s="71"/>
      <c r="Z31" s="147"/>
      <c r="AA31" s="147"/>
    </row>
    <row r="32" spans="1:31">
      <c r="A32" s="27">
        <v>50</v>
      </c>
      <c r="B32" s="1"/>
      <c r="C32" s="1"/>
      <c r="D32" s="1"/>
      <c r="E32" s="1"/>
      <c r="F32" s="79">
        <v>0.12</v>
      </c>
      <c r="G32" s="135"/>
      <c r="H32" s="788">
        <f t="shared" si="2"/>
        <v>4.0589472000000004</v>
      </c>
      <c r="I32" s="75">
        <v>4.0543384999999716</v>
      </c>
      <c r="J32" s="8">
        <v>-9.7279999999999728E-3</v>
      </c>
      <c r="K32" s="8">
        <v>-1.5928500000001122E-2</v>
      </c>
      <c r="L32" s="1"/>
      <c r="M32" s="8"/>
      <c r="N32" s="75">
        <v>0.11986374693417953</v>
      </c>
      <c r="O32" s="8"/>
      <c r="P32" s="65">
        <v>-1.3625306582046304E-4</v>
      </c>
      <c r="Q32" s="112">
        <f t="shared" ref="Q32:Q38" si="3">I32-H32</f>
        <v>-4.6087000000287759E-3</v>
      </c>
      <c r="R32" s="62"/>
      <c r="S32" s="62"/>
      <c r="T32" s="62"/>
      <c r="V32" s="71"/>
      <c r="W32" s="71"/>
      <c r="X32" s="71"/>
      <c r="Z32" s="147"/>
      <c r="AA32" s="147"/>
    </row>
    <row r="33" spans="1:27">
      <c r="A33" s="27">
        <v>75</v>
      </c>
      <c r="B33" s="1"/>
      <c r="C33" s="1"/>
      <c r="D33" s="1"/>
      <c r="E33" s="1"/>
      <c r="F33" s="79">
        <v>0.18</v>
      </c>
      <c r="G33" s="135"/>
      <c r="H33" s="788">
        <f t="shared" si="2"/>
        <v>6.0884207999999997</v>
      </c>
      <c r="I33" s="75">
        <v>6.081117499999948</v>
      </c>
      <c r="J33" s="8">
        <v>1.0778500000000038E-2</v>
      </c>
      <c r="K33" s="8">
        <v>-2.593350000000072E-2</v>
      </c>
      <c r="L33" s="1"/>
      <c r="M33" s="8"/>
      <c r="N33" s="75">
        <v>0.1797840829267239</v>
      </c>
      <c r="O33" s="8"/>
      <c r="P33" s="65">
        <v>-2.1591707327608956E-4</v>
      </c>
      <c r="Q33" s="112">
        <f t="shared" si="3"/>
        <v>-7.303300000051749E-3</v>
      </c>
      <c r="R33" s="62"/>
      <c r="S33" s="62"/>
      <c r="T33" s="62"/>
      <c r="V33" s="71"/>
      <c r="W33" s="71"/>
      <c r="X33" s="71"/>
      <c r="Z33" s="147"/>
      <c r="AA33" s="147"/>
    </row>
    <row r="34" spans="1:27">
      <c r="A34" s="27">
        <v>100</v>
      </c>
      <c r="B34" s="1"/>
      <c r="C34" s="1"/>
      <c r="D34" s="1"/>
      <c r="E34" s="1"/>
      <c r="F34" s="79">
        <v>0.24</v>
      </c>
      <c r="G34" s="135"/>
      <c r="H34" s="788">
        <f t="shared" si="2"/>
        <v>8.1178944000000008</v>
      </c>
      <c r="I34" s="75">
        <v>8.129316499999959</v>
      </c>
      <c r="J34" s="8">
        <v>6.1750000000001387E-4</v>
      </c>
      <c r="K34" s="8">
        <v>-3.3249000000000528E-2</v>
      </c>
      <c r="L34" s="1"/>
      <c r="M34" s="8"/>
      <c r="N34" s="75">
        <v>0.24033768658040072</v>
      </c>
      <c r="O34" s="8"/>
      <c r="P34" s="65">
        <v>3.3768658040073118E-4</v>
      </c>
      <c r="Q34" s="112">
        <f t="shared" si="3"/>
        <v>1.1422099999958135E-2</v>
      </c>
      <c r="R34" s="62"/>
      <c r="S34" s="62"/>
      <c r="T34" s="62"/>
      <c r="V34" s="71"/>
      <c r="W34" s="71"/>
      <c r="X34" s="71"/>
      <c r="Z34" s="147"/>
      <c r="AA34" s="147"/>
    </row>
    <row r="35" spans="1:27">
      <c r="A35" s="27">
        <v>-25</v>
      </c>
      <c r="B35" s="1"/>
      <c r="C35" s="1"/>
      <c r="D35" s="1"/>
      <c r="E35" s="1"/>
      <c r="F35" s="79">
        <v>-0.06</v>
      </c>
      <c r="G35" s="135"/>
      <c r="H35" s="788">
        <f t="shared" si="2"/>
        <v>-2.0294736000000002</v>
      </c>
      <c r="I35" s="75">
        <v>-2.036737500000072</v>
      </c>
      <c r="J35" s="8">
        <v>1.8046000000000017E-2</v>
      </c>
      <c r="K35" s="8">
        <v>-1.0976499999999945E-2</v>
      </c>
      <c r="L35" s="1"/>
      <c r="M35" s="8"/>
      <c r="N35" s="75">
        <v>-6.0214752239203466E-2</v>
      </c>
      <c r="O35" s="8"/>
      <c r="P35" s="65">
        <v>-2.1475223920346814E-4</v>
      </c>
      <c r="Q35" s="112">
        <f t="shared" si="3"/>
        <v>-7.2639000000718212E-3</v>
      </c>
      <c r="R35" s="62"/>
      <c r="S35" s="62"/>
      <c r="T35" s="62"/>
      <c r="V35" s="71"/>
      <c r="W35" s="71"/>
      <c r="X35" s="71"/>
      <c r="Z35" s="147"/>
      <c r="AA35" s="147"/>
    </row>
    <row r="36" spans="1:27">
      <c r="A36" s="27">
        <v>-50</v>
      </c>
      <c r="B36" s="1"/>
      <c r="C36" s="1"/>
      <c r="D36" s="1"/>
      <c r="E36" s="1"/>
      <c r="F36" s="79">
        <v>-0.12</v>
      </c>
      <c r="G36" s="135"/>
      <c r="H36" s="788">
        <f t="shared" si="2"/>
        <v>-4.0589472000000004</v>
      </c>
      <c r="I36" s="75">
        <v>-4.0581535000000599</v>
      </c>
      <c r="J36" s="8">
        <v>2.6687999999999996E-2</v>
      </c>
      <c r="K36" s="8">
        <v>1.1606499999999187E-2</v>
      </c>
      <c r="L36" s="1"/>
      <c r="M36" s="8"/>
      <c r="N36" s="75">
        <v>-0.11997653480193268</v>
      </c>
      <c r="O36" s="8"/>
      <c r="P36" s="65">
        <v>2.3465198067312842E-5</v>
      </c>
      <c r="Q36" s="112">
        <f t="shared" si="3"/>
        <v>7.9369999994050033E-4</v>
      </c>
      <c r="R36" s="62"/>
      <c r="S36" s="62"/>
      <c r="T36" s="62"/>
      <c r="V36" s="71"/>
      <c r="W36" s="71"/>
      <c r="X36" s="71"/>
      <c r="Z36" s="147"/>
      <c r="AA36" s="147"/>
    </row>
    <row r="37" spans="1:27">
      <c r="A37" s="27">
        <v>-75</v>
      </c>
      <c r="B37" s="1"/>
      <c r="C37" s="1"/>
      <c r="D37" s="1"/>
      <c r="E37" s="1"/>
      <c r="F37" s="79">
        <v>-0.18</v>
      </c>
      <c r="G37" s="135"/>
      <c r="H37" s="788">
        <f t="shared" si="2"/>
        <v>-6.0884207999999997</v>
      </c>
      <c r="I37" s="75">
        <v>-6.092817000000025</v>
      </c>
      <c r="J37" s="8">
        <v>2.2048000000000026E-2</v>
      </c>
      <c r="K37" s="8">
        <v>-1.5557500000001667E-2</v>
      </c>
      <c r="L37" s="1"/>
      <c r="M37" s="8"/>
      <c r="N37" s="75">
        <v>-0.18012997064854722</v>
      </c>
      <c r="O37" s="8"/>
      <c r="P37" s="65">
        <v>-1.2997064854722296E-4</v>
      </c>
      <c r="Q37" s="112">
        <f t="shared" si="3"/>
        <v>-4.3962000000252743E-3</v>
      </c>
      <c r="R37" s="62"/>
      <c r="S37" s="62"/>
      <c r="T37" s="62"/>
      <c r="V37" s="71"/>
      <c r="W37" s="71"/>
      <c r="X37" s="71"/>
      <c r="Z37" s="147"/>
      <c r="AA37" s="147"/>
    </row>
    <row r="38" spans="1:27">
      <c r="A38" s="38">
        <v>-100</v>
      </c>
      <c r="B38" s="13"/>
      <c r="C38" s="13"/>
      <c r="D38" s="13"/>
      <c r="E38" s="13"/>
      <c r="F38" s="82">
        <v>-0.24</v>
      </c>
      <c r="G38" s="87"/>
      <c r="H38" s="797">
        <f t="shared" si="2"/>
        <v>-8.1178944000000008</v>
      </c>
      <c r="I38" s="81">
        <v>-8.113226500000053</v>
      </c>
      <c r="J38" s="69">
        <v>1.30475E-2</v>
      </c>
      <c r="K38" s="69">
        <v>-2.0744000000001428E-2</v>
      </c>
      <c r="L38" s="13"/>
      <c r="M38" s="69"/>
      <c r="N38" s="81">
        <v>-0.23986199672664044</v>
      </c>
      <c r="O38" s="69"/>
      <c r="P38" s="870">
        <v>1.3800327335955487E-4</v>
      </c>
      <c r="Q38" s="206">
        <f t="shared" si="3"/>
        <v>4.6678999999478776E-3</v>
      </c>
      <c r="R38" s="62"/>
      <c r="S38" s="62"/>
      <c r="T38" s="62"/>
      <c r="V38" s="71"/>
      <c r="W38" s="71"/>
      <c r="X38" s="71"/>
      <c r="Z38" s="147"/>
      <c r="AA38" s="147"/>
    </row>
    <row r="39" spans="1:27">
      <c r="H39" s="214"/>
      <c r="I39" s="214"/>
      <c r="J39" s="214"/>
      <c r="K39" s="214"/>
      <c r="L39" s="214"/>
      <c r="M39" s="214"/>
      <c r="N39" s="214"/>
      <c r="O39" s="214"/>
      <c r="P39" s="62"/>
      <c r="Q39" s="62"/>
      <c r="R39" s="62"/>
      <c r="S39" s="62"/>
      <c r="T39" s="62"/>
      <c r="V39" s="71"/>
      <c r="W39" s="71"/>
      <c r="X39" s="71"/>
      <c r="Z39" s="147"/>
      <c r="AA39" s="147"/>
    </row>
    <row r="40" spans="1:27">
      <c r="H40" s="214"/>
      <c r="I40" s="214"/>
      <c r="J40" s="214"/>
      <c r="K40" s="214"/>
      <c r="L40" s="214"/>
      <c r="M40" s="214"/>
      <c r="N40" s="214"/>
      <c r="O40" s="214"/>
      <c r="P40" s="62"/>
      <c r="Q40" s="62"/>
      <c r="R40" s="62"/>
      <c r="S40" s="62"/>
      <c r="T40" s="62"/>
      <c r="V40" s="71"/>
      <c r="W40" s="71"/>
      <c r="X40" s="71"/>
      <c r="Z40" s="147"/>
      <c r="AA40" s="147"/>
    </row>
    <row r="41" spans="1:27">
      <c r="H41" s="214"/>
      <c r="I41" s="214"/>
      <c r="J41" s="214"/>
      <c r="K41" s="214"/>
      <c r="L41" s="214"/>
      <c r="M41" s="214"/>
      <c r="N41" s="214"/>
      <c r="O41" s="214"/>
      <c r="P41" s="62"/>
      <c r="Q41" s="62"/>
      <c r="R41" s="62"/>
      <c r="S41" s="62"/>
      <c r="T41" s="62"/>
      <c r="V41" s="71"/>
      <c r="W41" s="71"/>
      <c r="X41" s="71"/>
      <c r="Z41" s="147"/>
      <c r="AA41" s="147"/>
    </row>
    <row r="42" spans="1:27">
      <c r="H42" s="214"/>
      <c r="I42" s="214"/>
      <c r="J42" s="214"/>
      <c r="K42" s="214"/>
      <c r="L42" s="214"/>
      <c r="M42" s="214"/>
      <c r="N42" s="214"/>
      <c r="O42" s="214"/>
      <c r="P42" s="62"/>
      <c r="Q42" s="62"/>
      <c r="R42" s="62"/>
      <c r="S42" s="62"/>
      <c r="T42" s="62"/>
      <c r="V42" s="71"/>
      <c r="W42" s="71"/>
      <c r="X42" s="71"/>
      <c r="Z42" s="147"/>
      <c r="AA42" s="147"/>
    </row>
    <row r="43" spans="1:27">
      <c r="H43" s="214"/>
      <c r="I43" s="214"/>
      <c r="J43" s="214"/>
      <c r="K43" s="214"/>
      <c r="L43" s="214"/>
      <c r="M43" s="214"/>
      <c r="N43" s="214"/>
      <c r="O43" s="214"/>
      <c r="P43" s="62"/>
      <c r="Q43" s="62"/>
      <c r="R43" s="62"/>
      <c r="S43" s="62"/>
      <c r="T43" s="62"/>
      <c r="V43" s="71"/>
      <c r="W43" s="71"/>
      <c r="X43" s="71"/>
      <c r="Z43" s="147"/>
      <c r="AA43" s="147"/>
    </row>
    <row r="44" spans="1:27">
      <c r="H44" s="214"/>
      <c r="I44" s="214"/>
      <c r="J44" s="214"/>
      <c r="K44" s="214"/>
      <c r="L44" s="214"/>
      <c r="M44" s="214"/>
      <c r="N44" s="214"/>
      <c r="O44" s="214"/>
      <c r="P44" s="62"/>
      <c r="Q44" s="62"/>
      <c r="R44" s="62"/>
      <c r="S44" s="62"/>
      <c r="T44" s="62"/>
      <c r="V44" s="71"/>
      <c r="W44" s="71"/>
      <c r="X44" s="71"/>
      <c r="Z44" s="147"/>
      <c r="AA44" s="147"/>
    </row>
    <row r="45" spans="1:27">
      <c r="H45" s="214"/>
      <c r="I45" s="214"/>
      <c r="J45" s="214"/>
      <c r="K45" s="214"/>
      <c r="L45" s="214"/>
      <c r="M45" s="214"/>
      <c r="N45" s="214"/>
      <c r="O45" s="214"/>
      <c r="P45" s="62"/>
      <c r="Q45" s="62"/>
      <c r="R45" s="62"/>
      <c r="S45" s="62"/>
      <c r="T45" s="62"/>
      <c r="V45" s="71"/>
      <c r="W45" s="71"/>
      <c r="X45" s="71"/>
      <c r="Z45" s="147"/>
      <c r="AA45" s="147"/>
    </row>
    <row r="46" spans="1:27">
      <c r="H46" s="214"/>
      <c r="I46" s="214"/>
      <c r="J46" s="214"/>
      <c r="K46" s="214"/>
      <c r="L46" s="214"/>
      <c r="M46" s="214"/>
      <c r="N46" s="214"/>
      <c r="O46" s="214"/>
      <c r="P46" s="62"/>
      <c r="Q46" s="62"/>
      <c r="R46" s="62"/>
      <c r="S46" s="62"/>
      <c r="T46" s="62"/>
      <c r="V46" s="71"/>
      <c r="W46" s="71"/>
      <c r="X46" s="71"/>
      <c r="Z46" s="147"/>
      <c r="AA46" s="147"/>
    </row>
    <row r="47" spans="1:27">
      <c r="H47" s="214"/>
      <c r="I47" s="214"/>
      <c r="J47" s="214"/>
      <c r="K47" s="214"/>
      <c r="L47" s="214"/>
      <c r="M47" s="214"/>
      <c r="N47" s="214"/>
      <c r="O47" s="214"/>
      <c r="P47" s="62"/>
      <c r="Q47" s="62"/>
      <c r="R47" s="62"/>
      <c r="S47" s="62"/>
      <c r="T47" s="62"/>
      <c r="V47" s="71"/>
      <c r="W47" s="71"/>
      <c r="X47" s="71"/>
      <c r="Z47" s="147"/>
      <c r="AA47" s="147"/>
    </row>
    <row r="48" spans="1:27">
      <c r="H48" s="214"/>
      <c r="I48" s="214"/>
      <c r="J48" s="214"/>
      <c r="K48" s="214"/>
      <c r="L48" s="214"/>
      <c r="M48" s="214"/>
      <c r="N48" s="214"/>
      <c r="O48" s="214"/>
      <c r="P48" s="62"/>
      <c r="Q48" s="62"/>
      <c r="R48" s="62"/>
      <c r="S48" s="62"/>
      <c r="T48" s="62"/>
      <c r="V48" s="71"/>
      <c r="W48" s="71"/>
      <c r="X48" s="71"/>
      <c r="Z48" s="147"/>
      <c r="AA48" s="147"/>
    </row>
    <row r="49" spans="1:28">
      <c r="H49" s="214"/>
      <c r="I49" s="214"/>
      <c r="J49" s="214"/>
      <c r="K49" s="214"/>
      <c r="L49" s="214"/>
      <c r="M49" s="214"/>
      <c r="N49" s="214"/>
      <c r="O49" s="214"/>
      <c r="P49" s="62"/>
      <c r="Q49" s="62"/>
      <c r="R49" s="62"/>
      <c r="S49" s="62"/>
      <c r="T49" s="62"/>
      <c r="V49" s="71"/>
      <c r="W49" s="71"/>
      <c r="X49" s="71"/>
      <c r="Z49" s="147"/>
      <c r="AA49" s="147"/>
    </row>
    <row r="50" spans="1:28">
      <c r="H50" s="214"/>
      <c r="I50" s="214"/>
      <c r="J50" s="214"/>
      <c r="K50" s="1022"/>
      <c r="L50" s="1022"/>
      <c r="M50" s="214"/>
      <c r="N50" s="214"/>
      <c r="O50" s="214"/>
      <c r="P50" s="62"/>
      <c r="Q50" s="62"/>
      <c r="R50" s="62"/>
      <c r="S50" s="62"/>
      <c r="T50" s="62"/>
      <c r="V50" s="71"/>
      <c r="W50" s="71"/>
      <c r="X50" s="71"/>
      <c r="Z50" s="147"/>
      <c r="AA50" s="147"/>
    </row>
    <row r="51" spans="1:28">
      <c r="H51" s="219"/>
      <c r="I51" s="219"/>
      <c r="J51" s="219"/>
      <c r="K51" s="62"/>
      <c r="L51" s="62"/>
      <c r="M51" s="219"/>
      <c r="N51" s="62"/>
      <c r="O51" s="62"/>
      <c r="P51" s="62"/>
      <c r="Q51" s="62"/>
      <c r="R51" s="62"/>
      <c r="S51" s="62"/>
      <c r="T51" s="62"/>
      <c r="U51" s="324"/>
      <c r="V51" s="71"/>
      <c r="W51" s="71"/>
      <c r="X51" s="71"/>
      <c r="Z51" s="147"/>
      <c r="AA51" s="147"/>
    </row>
    <row r="52" spans="1:28">
      <c r="B52" s="1018"/>
      <c r="H52" s="219"/>
      <c r="I52" s="219"/>
      <c r="J52" s="219"/>
      <c r="K52" s="62"/>
      <c r="L52" s="62"/>
      <c r="M52" s="219"/>
      <c r="N52" s="62"/>
      <c r="O52" s="62"/>
      <c r="P52" s="62"/>
      <c r="Q52" s="62"/>
      <c r="R52" s="62"/>
      <c r="S52" s="62"/>
      <c r="T52" s="62"/>
      <c r="U52" s="324"/>
      <c r="V52" s="71"/>
      <c r="W52" s="71"/>
      <c r="X52" s="71"/>
      <c r="Z52" s="147"/>
      <c r="AA52" s="147"/>
    </row>
    <row r="53" spans="1:28">
      <c r="A53" s="1023"/>
      <c r="H53" s="219"/>
      <c r="I53" s="219"/>
      <c r="J53" s="219"/>
      <c r="K53" s="219"/>
      <c r="L53" s="219"/>
      <c r="M53" s="219"/>
      <c r="N53" s="62"/>
      <c r="O53" s="62"/>
      <c r="P53" s="62"/>
      <c r="Q53" s="62"/>
      <c r="R53" s="62"/>
      <c r="S53" s="62"/>
      <c r="T53" s="62"/>
      <c r="V53" s="71"/>
      <c r="W53" s="71"/>
      <c r="X53" s="71"/>
      <c r="Z53" s="147"/>
      <c r="AA53" s="147"/>
    </row>
    <row r="54" spans="1:28">
      <c r="H54" s="219"/>
      <c r="I54" s="219"/>
      <c r="J54" s="219"/>
      <c r="K54" s="219"/>
      <c r="L54" s="219"/>
      <c r="M54" s="219"/>
      <c r="N54" s="62"/>
      <c r="O54" s="214"/>
      <c r="P54" s="62"/>
      <c r="Q54" s="62"/>
      <c r="R54" s="62"/>
      <c r="S54" s="62"/>
      <c r="T54" s="62"/>
      <c r="V54" s="71"/>
      <c r="W54" s="71"/>
      <c r="X54" s="71"/>
      <c r="Z54" s="147"/>
      <c r="AA54" s="147"/>
    </row>
    <row r="55" spans="1:28">
      <c r="H55" s="219"/>
      <c r="I55" s="219"/>
      <c r="J55" s="219"/>
      <c r="K55" s="219"/>
      <c r="L55" s="219"/>
      <c r="M55" s="219"/>
      <c r="N55" s="62"/>
      <c r="O55" s="214"/>
      <c r="P55" s="62"/>
      <c r="Q55" s="62"/>
      <c r="R55" s="62"/>
      <c r="S55" s="62"/>
      <c r="T55" s="62"/>
      <c r="V55" s="71"/>
      <c r="W55" s="71"/>
      <c r="X55" s="71"/>
      <c r="Z55" s="147"/>
      <c r="AA55" s="147"/>
    </row>
    <row r="56" spans="1:28">
      <c r="H56" s="219"/>
      <c r="I56" s="219"/>
      <c r="J56" s="219"/>
      <c r="K56" s="219"/>
      <c r="L56" s="219"/>
      <c r="M56" s="219"/>
      <c r="N56" s="62"/>
      <c r="O56" s="214"/>
      <c r="P56" s="62"/>
      <c r="Q56" s="62"/>
      <c r="R56" s="62"/>
      <c r="S56" s="62"/>
      <c r="T56" s="62"/>
      <c r="V56" s="71"/>
      <c r="W56" s="71"/>
      <c r="X56" s="71"/>
      <c r="Z56" s="147"/>
      <c r="AA56" s="147"/>
    </row>
    <row r="57" spans="1:28">
      <c r="H57" s="219"/>
      <c r="I57" s="219"/>
      <c r="J57" s="219"/>
      <c r="K57" s="219"/>
      <c r="L57" s="219"/>
      <c r="M57" s="219"/>
      <c r="N57" s="62"/>
      <c r="O57" s="214"/>
      <c r="P57" s="62"/>
      <c r="Q57" s="62"/>
      <c r="R57" s="62"/>
      <c r="S57" s="62"/>
      <c r="T57" s="62"/>
      <c r="V57" s="71"/>
      <c r="W57" s="71"/>
      <c r="X57" s="71"/>
      <c r="Z57" s="147"/>
      <c r="AA57" s="147"/>
    </row>
    <row r="58" spans="1:28">
      <c r="H58" s="219"/>
      <c r="I58" s="219"/>
      <c r="J58" s="219"/>
      <c r="K58" s="219"/>
      <c r="L58" s="219"/>
      <c r="M58" s="219"/>
      <c r="N58" s="62"/>
      <c r="O58" s="214"/>
      <c r="P58" s="62"/>
      <c r="Q58" s="62"/>
      <c r="R58" s="62"/>
      <c r="S58" s="62"/>
      <c r="T58" s="62"/>
      <c r="V58" s="71"/>
      <c r="W58" s="71"/>
      <c r="X58" s="71"/>
      <c r="Z58" s="147"/>
      <c r="AA58" s="147"/>
    </row>
    <row r="59" spans="1:28">
      <c r="H59" s="219"/>
      <c r="I59" s="219"/>
      <c r="J59" s="219"/>
      <c r="K59" s="219"/>
      <c r="L59" s="219"/>
      <c r="M59" s="219"/>
      <c r="N59" s="62"/>
      <c r="O59" s="214"/>
      <c r="P59" s="62"/>
      <c r="Q59" s="62"/>
      <c r="R59" s="62"/>
      <c r="S59" s="62"/>
      <c r="T59" s="62"/>
      <c r="V59" s="71"/>
      <c r="W59" s="71"/>
      <c r="X59" s="71"/>
      <c r="Z59" s="147"/>
      <c r="AA59" s="147"/>
    </row>
    <row r="60" spans="1:28">
      <c r="H60" s="219"/>
      <c r="I60" s="219"/>
      <c r="J60" s="219"/>
      <c r="K60" s="219"/>
      <c r="L60" s="219"/>
      <c r="M60" s="219"/>
      <c r="N60" s="62"/>
      <c r="O60" s="214"/>
      <c r="P60" s="62"/>
      <c r="Q60" s="62"/>
      <c r="R60" s="62"/>
      <c r="S60" s="62"/>
      <c r="T60" s="62"/>
      <c r="V60" s="71"/>
      <c r="W60" s="71"/>
      <c r="X60" s="71"/>
      <c r="Z60" s="147"/>
      <c r="AA60" s="147"/>
    </row>
    <row r="61" spans="1:28">
      <c r="H61" s="219"/>
      <c r="I61" s="219"/>
      <c r="J61" s="219"/>
      <c r="K61" s="219"/>
      <c r="L61" s="219"/>
      <c r="M61" s="219"/>
      <c r="N61" s="62"/>
      <c r="O61" s="214"/>
      <c r="P61" s="62"/>
      <c r="Q61" s="62"/>
      <c r="R61" s="62"/>
      <c r="S61" s="62"/>
      <c r="T61" s="62"/>
      <c r="U61" s="1024"/>
      <c r="V61" s="71"/>
      <c r="W61" s="71"/>
      <c r="X61" s="71"/>
      <c r="Z61" s="147"/>
      <c r="AA61" s="147"/>
    </row>
    <row r="62" spans="1:28">
      <c r="H62" s="219"/>
      <c r="I62" s="219"/>
      <c r="J62" s="219"/>
      <c r="K62" s="219"/>
      <c r="L62" s="219"/>
      <c r="M62" s="219"/>
      <c r="N62" s="62"/>
      <c r="O62" s="214"/>
      <c r="P62" s="62"/>
      <c r="Q62" s="62"/>
      <c r="R62" s="62"/>
      <c r="S62" s="62"/>
      <c r="T62" s="62"/>
      <c r="V62" s="71"/>
      <c r="W62" s="71"/>
      <c r="X62" s="71"/>
      <c r="Z62" s="147"/>
      <c r="AA62" s="147"/>
    </row>
    <row r="63" spans="1:28">
      <c r="H63" s="219"/>
      <c r="I63" s="219"/>
      <c r="J63" s="219"/>
      <c r="K63" s="219"/>
      <c r="L63" s="219"/>
      <c r="M63" s="219"/>
      <c r="N63" s="62"/>
      <c r="O63" s="214"/>
      <c r="P63" s="62"/>
      <c r="Q63" s="62"/>
      <c r="R63" s="62"/>
      <c r="S63" s="62"/>
      <c r="T63" s="62"/>
      <c r="V63" s="71"/>
      <c r="W63" s="71"/>
      <c r="X63" s="71"/>
      <c r="Z63" s="147"/>
      <c r="AA63" s="147"/>
    </row>
    <row r="64" spans="1:28">
      <c r="H64" s="219"/>
      <c r="I64" s="219"/>
      <c r="J64" s="219"/>
      <c r="K64" s="219"/>
      <c r="L64" s="219"/>
      <c r="M64" s="219"/>
      <c r="N64" s="62"/>
      <c r="O64" s="214"/>
      <c r="P64" s="62"/>
      <c r="Q64" s="62"/>
      <c r="R64" s="62"/>
      <c r="S64" s="62"/>
      <c r="T64" s="62"/>
      <c r="V64" s="71"/>
      <c r="W64" s="71"/>
      <c r="X64" s="71"/>
      <c r="Z64" s="71"/>
      <c r="AA64" s="71"/>
      <c r="AB64" s="178"/>
    </row>
    <row r="65" spans="8:28">
      <c r="H65" s="151"/>
      <c r="I65" s="151"/>
      <c r="J65" s="151"/>
      <c r="K65" s="151"/>
      <c r="L65" s="151"/>
      <c r="M65" s="151"/>
      <c r="N65" s="147"/>
      <c r="O65" s="147"/>
      <c r="P65" s="147"/>
      <c r="Q65" s="147"/>
      <c r="R65" s="147"/>
      <c r="S65" s="147"/>
      <c r="T65" s="147"/>
      <c r="V65" s="71"/>
      <c r="W65" s="71"/>
      <c r="X65" s="71"/>
      <c r="Z65" s="151"/>
      <c r="AA65" s="151"/>
      <c r="AB65" s="284"/>
    </row>
    <row r="66" spans="8:28">
      <c r="H66" s="219"/>
      <c r="I66" s="219"/>
      <c r="J66" s="219"/>
      <c r="K66" s="219"/>
      <c r="L66" s="219"/>
      <c r="M66" s="219"/>
      <c r="N66" s="62"/>
      <c r="O66" s="62"/>
      <c r="P66" s="62"/>
      <c r="Q66" s="62"/>
      <c r="R66" s="62"/>
      <c r="S66" s="62"/>
      <c r="T66" s="62"/>
      <c r="U66" s="324"/>
      <c r="V66" s="71"/>
      <c r="W66" s="71"/>
      <c r="X66" s="71"/>
      <c r="Z66" s="147"/>
      <c r="AA66" s="151"/>
      <c r="AB66" s="284"/>
    </row>
    <row r="67" spans="8:28">
      <c r="H67" s="219"/>
      <c r="I67" s="219"/>
      <c r="J67" s="219"/>
      <c r="K67" s="219"/>
      <c r="L67" s="219"/>
      <c r="M67" s="219"/>
      <c r="N67" s="62"/>
      <c r="O67" s="62"/>
      <c r="P67" s="62"/>
      <c r="Q67" s="62"/>
      <c r="R67" s="62"/>
      <c r="S67" s="62"/>
      <c r="T67" s="62"/>
      <c r="V67" s="71"/>
      <c r="W67" s="71"/>
      <c r="X67" s="71"/>
      <c r="Z67" s="147"/>
      <c r="AA67" s="147"/>
    </row>
    <row r="68" spans="8:28">
      <c r="H68" s="219"/>
      <c r="I68" s="219"/>
      <c r="J68" s="219"/>
      <c r="K68" s="219"/>
      <c r="L68" s="219"/>
      <c r="M68" s="219"/>
      <c r="N68" s="62"/>
      <c r="O68" s="214"/>
      <c r="P68" s="62"/>
      <c r="Q68" s="62"/>
      <c r="R68" s="62"/>
      <c r="S68" s="62"/>
      <c r="T68" s="62"/>
      <c r="V68" s="71"/>
      <c r="W68" s="71"/>
      <c r="X68" s="71"/>
      <c r="Z68" s="147"/>
      <c r="AA68" s="147"/>
    </row>
    <row r="69" spans="8:28">
      <c r="H69" s="219"/>
      <c r="I69" s="219"/>
      <c r="J69" s="219"/>
      <c r="K69" s="219"/>
      <c r="L69" s="219"/>
      <c r="M69" s="219"/>
      <c r="N69" s="62"/>
      <c r="O69" s="214"/>
      <c r="P69" s="62"/>
      <c r="Q69" s="62"/>
      <c r="R69" s="62"/>
      <c r="S69" s="62"/>
      <c r="T69" s="62"/>
      <c r="V69" s="71"/>
      <c r="W69" s="71"/>
      <c r="X69" s="71"/>
      <c r="Z69" s="147"/>
      <c r="AA69" s="147"/>
    </row>
    <row r="70" spans="8:28">
      <c r="H70" s="219"/>
      <c r="I70" s="219"/>
      <c r="J70" s="219"/>
      <c r="K70" s="219"/>
      <c r="L70" s="219"/>
      <c r="M70" s="219"/>
      <c r="N70" s="62"/>
      <c r="O70" s="214"/>
      <c r="P70" s="62"/>
      <c r="Q70" s="62"/>
      <c r="R70" s="62"/>
      <c r="S70" s="62"/>
      <c r="T70" s="62"/>
      <c r="V70" s="71"/>
      <c r="W70" s="71"/>
      <c r="X70" s="71"/>
      <c r="Z70" s="147"/>
      <c r="AA70" s="147"/>
    </row>
    <row r="71" spans="8:28">
      <c r="H71" s="219"/>
      <c r="I71" s="219"/>
      <c r="J71" s="219"/>
      <c r="K71" s="219"/>
      <c r="L71" s="219"/>
      <c r="M71" s="219"/>
      <c r="N71" s="62"/>
      <c r="O71" s="214"/>
      <c r="P71" s="62"/>
      <c r="Q71" s="62"/>
      <c r="R71" s="62"/>
      <c r="S71" s="62"/>
      <c r="T71" s="62"/>
      <c r="V71" s="71"/>
      <c r="W71" s="71"/>
      <c r="X71" s="71"/>
      <c r="Z71" s="147"/>
      <c r="AA71" s="147"/>
    </row>
    <row r="72" spans="8:28">
      <c r="H72" s="219"/>
      <c r="I72" s="219"/>
      <c r="J72" s="219"/>
      <c r="K72" s="219"/>
      <c r="L72" s="219"/>
      <c r="M72" s="219"/>
      <c r="N72" s="62"/>
      <c r="O72" s="214"/>
      <c r="P72" s="62"/>
      <c r="Q72" s="62"/>
      <c r="R72" s="62"/>
      <c r="S72" s="62"/>
      <c r="T72" s="62"/>
      <c r="V72" s="71"/>
      <c r="W72" s="71"/>
      <c r="X72" s="71"/>
      <c r="Z72" s="147"/>
      <c r="AA72" s="147"/>
    </row>
    <row r="73" spans="8:28">
      <c r="H73" s="219"/>
      <c r="I73" s="219"/>
      <c r="J73" s="219"/>
      <c r="K73" s="219"/>
      <c r="L73" s="219"/>
      <c r="M73" s="219"/>
      <c r="N73" s="62"/>
      <c r="O73" s="214"/>
      <c r="P73" s="62"/>
      <c r="Q73" s="62"/>
      <c r="R73" s="62"/>
      <c r="S73" s="62"/>
      <c r="T73" s="62"/>
      <c r="V73" s="71"/>
      <c r="W73" s="71"/>
      <c r="X73" s="71"/>
      <c r="Z73" s="147"/>
      <c r="AA73" s="147"/>
    </row>
    <row r="74" spans="8:28">
      <c r="H74" s="219"/>
      <c r="I74" s="219"/>
      <c r="J74" s="219"/>
      <c r="K74" s="219"/>
      <c r="L74" s="219"/>
      <c r="M74" s="219"/>
      <c r="N74" s="62"/>
      <c r="O74" s="214"/>
      <c r="P74" s="62"/>
      <c r="Q74" s="62"/>
      <c r="R74" s="62"/>
      <c r="S74" s="62"/>
      <c r="T74" s="62"/>
      <c r="V74" s="71"/>
      <c r="W74" s="71"/>
      <c r="X74" s="71"/>
      <c r="Z74" s="147"/>
      <c r="AA74" s="147"/>
    </row>
    <row r="75" spans="8:28">
      <c r="H75" s="219"/>
      <c r="I75" s="219"/>
      <c r="J75" s="219"/>
      <c r="K75" s="219"/>
      <c r="L75" s="219"/>
      <c r="M75" s="219"/>
      <c r="N75" s="62"/>
      <c r="O75" s="214"/>
      <c r="P75" s="62"/>
      <c r="Q75" s="62"/>
      <c r="R75" s="62"/>
      <c r="S75" s="62"/>
      <c r="T75" s="62"/>
      <c r="V75" s="71"/>
      <c r="W75" s="71"/>
      <c r="X75" s="71"/>
      <c r="Z75" s="147"/>
      <c r="AA75" s="147"/>
    </row>
    <row r="76" spans="8:28">
      <c r="H76" s="219"/>
      <c r="I76" s="219"/>
      <c r="J76" s="219"/>
      <c r="K76" s="219"/>
      <c r="L76" s="219"/>
      <c r="M76" s="219"/>
      <c r="N76" s="62"/>
      <c r="O76" s="214"/>
      <c r="P76" s="62"/>
      <c r="Q76" s="62"/>
      <c r="R76" s="62"/>
      <c r="S76" s="62"/>
      <c r="T76" s="62"/>
      <c r="V76" s="71"/>
      <c r="W76" s="71"/>
      <c r="X76" s="71"/>
      <c r="Z76" s="147"/>
      <c r="AA76" s="147"/>
    </row>
    <row r="77" spans="8:28">
      <c r="H77" s="219"/>
      <c r="I77" s="219"/>
      <c r="J77" s="219"/>
      <c r="K77" s="219"/>
      <c r="L77" s="219"/>
      <c r="M77" s="219"/>
      <c r="N77" s="62"/>
      <c r="O77" s="214"/>
      <c r="P77" s="62"/>
      <c r="Q77" s="62"/>
      <c r="R77" s="62"/>
      <c r="S77" s="62"/>
      <c r="T77" s="62"/>
      <c r="V77" s="71"/>
      <c r="W77" s="71"/>
      <c r="X77" s="71"/>
      <c r="Z77" s="147"/>
      <c r="AA77" s="147"/>
    </row>
    <row r="78" spans="8:28">
      <c r="H78" s="219"/>
      <c r="I78" s="219"/>
      <c r="J78" s="219"/>
      <c r="K78" s="219"/>
      <c r="L78" s="219"/>
      <c r="M78" s="219"/>
      <c r="N78" s="62"/>
      <c r="O78" s="214"/>
      <c r="P78" s="62"/>
      <c r="Q78" s="62"/>
      <c r="R78" s="62"/>
      <c r="S78" s="62"/>
      <c r="T78" s="62"/>
      <c r="V78" s="71"/>
      <c r="W78" s="71"/>
      <c r="X78" s="71"/>
      <c r="Z78" s="147"/>
      <c r="AA78" s="147"/>
    </row>
    <row r="79" spans="8:28">
      <c r="H79" s="151"/>
      <c r="I79" s="151"/>
      <c r="J79" s="151"/>
      <c r="K79" s="151"/>
      <c r="L79" s="151"/>
      <c r="M79" s="151"/>
      <c r="N79" s="147"/>
      <c r="O79" s="147"/>
      <c r="P79" s="147"/>
      <c r="Q79" s="147"/>
      <c r="R79" s="147"/>
      <c r="S79" s="147"/>
      <c r="T79" s="147"/>
      <c r="V79" s="71"/>
      <c r="W79" s="71"/>
      <c r="X79" s="71"/>
      <c r="Z79" s="147"/>
      <c r="AA79" s="147"/>
    </row>
    <row r="80" spans="8:28">
      <c r="H80" s="151"/>
      <c r="I80" s="151"/>
      <c r="J80" s="151"/>
      <c r="K80" s="151"/>
      <c r="L80" s="151"/>
      <c r="M80" s="151"/>
      <c r="N80" s="147"/>
      <c r="O80" s="147"/>
      <c r="P80" s="147"/>
      <c r="Q80" s="147"/>
      <c r="R80" s="147"/>
      <c r="S80" s="147"/>
      <c r="T80" s="147"/>
      <c r="V80" s="71"/>
      <c r="W80" s="71"/>
      <c r="X80" s="71"/>
      <c r="Z80" s="147"/>
      <c r="AA80" s="147"/>
    </row>
    <row r="81" spans="8:27">
      <c r="H81" s="151"/>
      <c r="I81" s="151"/>
      <c r="J81" s="151"/>
      <c r="K81" s="151"/>
      <c r="L81" s="151"/>
      <c r="M81" s="151"/>
      <c r="N81" s="147"/>
      <c r="O81" s="147"/>
      <c r="P81" s="147"/>
      <c r="Q81" s="147"/>
      <c r="R81" s="147"/>
      <c r="S81" s="147"/>
      <c r="T81" s="147"/>
      <c r="V81" s="71"/>
      <c r="W81" s="71"/>
      <c r="X81" s="71"/>
      <c r="Z81" s="147"/>
      <c r="AA81" s="147"/>
    </row>
    <row r="82" spans="8:27">
      <c r="H82" s="151"/>
      <c r="I82" s="151"/>
      <c r="J82" s="151"/>
      <c r="K82" s="151"/>
      <c r="L82" s="151"/>
      <c r="M82" s="151"/>
      <c r="N82" s="147"/>
      <c r="O82" s="147"/>
      <c r="P82" s="147"/>
      <c r="Q82" s="147"/>
      <c r="R82" s="147"/>
      <c r="S82" s="147"/>
      <c r="T82" s="147"/>
      <c r="V82" s="71"/>
      <c r="W82" s="71"/>
      <c r="X82" s="71"/>
      <c r="Z82" s="147"/>
      <c r="AA82" s="1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IN393"/>
  <sheetViews>
    <sheetView tabSelected="1" topLeftCell="AJ4" zoomScale="75" zoomScaleNormal="75" workbookViewId="0">
      <selection activeCell="BL28" sqref="BL28"/>
    </sheetView>
  </sheetViews>
  <sheetFormatPr defaultRowHeight="14.4"/>
  <cols>
    <col min="1" max="1" width="7.44140625" customWidth="1"/>
    <col min="2" max="2" width="6" customWidth="1"/>
    <col min="6" max="6" width="2.109375" customWidth="1"/>
    <col min="8" max="8" width="9.109375" style="352"/>
    <col min="10" max="11" width="9.109375" style="9"/>
    <col min="12" max="12" width="9" style="9" customWidth="1"/>
    <col min="13" max="13" width="5.6640625" customWidth="1"/>
    <col min="14" max="14" width="7.33203125" style="9" customWidth="1"/>
    <col min="15" max="15" width="8" style="9" customWidth="1"/>
    <col min="16" max="16" width="7.5546875" style="9" customWidth="1"/>
    <col min="17" max="17" width="6.5546875" style="7" customWidth="1"/>
    <col min="18" max="18" width="5.88671875" style="9" customWidth="1"/>
    <col min="19" max="19" width="5.33203125" style="9" customWidth="1"/>
    <col min="20" max="20" width="5.88671875" style="128" customWidth="1"/>
    <col min="21" max="21" width="8" style="17" customWidth="1"/>
    <col min="22" max="23" width="7" style="46" customWidth="1"/>
    <col min="24" max="26" width="8.109375" style="46" customWidth="1"/>
    <col min="27" max="27" width="7.5546875" customWidth="1"/>
    <col min="28" max="28" width="7.33203125" customWidth="1"/>
    <col min="29" max="29" width="7" customWidth="1"/>
    <col min="30" max="31" width="7.5546875" customWidth="1"/>
    <col min="32" max="32" width="8" customWidth="1"/>
    <col min="33" max="33" width="7.88671875" customWidth="1"/>
    <col min="34" max="34" width="7.5546875" customWidth="1"/>
    <col min="35" max="35" width="7.6640625" customWidth="1"/>
    <col min="44" max="46" width="9.109375" style="9"/>
    <col min="47" max="47" width="9.109375" style="9" customWidth="1"/>
    <col min="49" max="49" width="9.109375" style="9" customWidth="1"/>
    <col min="50" max="52" width="9.109375" style="9"/>
    <col min="53" max="53" width="10.109375" style="9" customWidth="1"/>
    <col min="55" max="55" width="9.6640625" customWidth="1"/>
  </cols>
  <sheetData>
    <row r="1" spans="1:1600">
      <c r="A1" s="333"/>
      <c r="B1" s="333" t="s">
        <v>616</v>
      </c>
      <c r="C1" s="333"/>
      <c r="D1" s="333"/>
      <c r="E1" s="333"/>
      <c r="F1" s="333"/>
      <c r="G1" s="333"/>
      <c r="H1" s="945"/>
      <c r="I1" s="333"/>
      <c r="J1" s="907"/>
      <c r="K1" s="907"/>
      <c r="L1" s="907"/>
      <c r="M1" s="10"/>
      <c r="N1" s="11"/>
      <c r="O1" s="66" t="s">
        <v>464</v>
      </c>
      <c r="P1" s="66"/>
      <c r="Q1" s="66"/>
      <c r="R1" s="66"/>
      <c r="S1" s="66"/>
      <c r="T1" s="749" t="s">
        <v>465</v>
      </c>
      <c r="U1" s="984"/>
      <c r="V1" s="984" t="s">
        <v>641</v>
      </c>
      <c r="W1" s="984"/>
      <c r="X1" s="984"/>
      <c r="Y1" s="984" t="s">
        <v>684</v>
      </c>
      <c r="Z1" s="985"/>
      <c r="AA1" s="757"/>
      <c r="AB1" s="758"/>
      <c r="AC1" s="758" t="s">
        <v>466</v>
      </c>
      <c r="AD1" s="758"/>
      <c r="AE1" s="758"/>
      <c r="AF1" s="758"/>
      <c r="AG1" s="758"/>
      <c r="AH1" s="758"/>
      <c r="AI1" s="760"/>
      <c r="AJ1" s="6"/>
      <c r="AK1" s="757"/>
      <c r="AL1" s="758"/>
      <c r="AM1" s="758" t="s">
        <v>640</v>
      </c>
      <c r="AN1" s="758"/>
      <c r="AO1" s="758"/>
      <c r="AP1" s="758"/>
      <c r="AQ1" s="758"/>
      <c r="AR1" s="759"/>
      <c r="AS1" s="759" t="s">
        <v>642</v>
      </c>
      <c r="AT1" s="759"/>
      <c r="AU1" s="759"/>
      <c r="AV1" s="758"/>
      <c r="AW1" s="66"/>
      <c r="AX1" s="66"/>
      <c r="AY1" s="66"/>
      <c r="AZ1" s="146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</row>
    <row r="2" spans="1:1600">
      <c r="M2" s="6"/>
      <c r="N2" s="1" t="s">
        <v>467</v>
      </c>
      <c r="O2" s="8" t="s">
        <v>468</v>
      </c>
      <c r="P2" s="8"/>
      <c r="Q2" s="8"/>
      <c r="R2" s="8"/>
      <c r="S2" s="8"/>
      <c r="T2" s="750"/>
      <c r="U2" s="17" t="s">
        <v>682</v>
      </c>
      <c r="V2" s="17"/>
      <c r="W2" s="17"/>
      <c r="X2" s="17"/>
      <c r="Y2" s="17"/>
      <c r="Z2" s="18"/>
      <c r="AA2" s="6" t="s">
        <v>469</v>
      </c>
      <c r="AB2" s="1" t="s">
        <v>470</v>
      </c>
      <c r="AC2" s="1">
        <f>25/1000</f>
        <v>2.5000000000000001E-2</v>
      </c>
      <c r="AD2" s="1" t="s">
        <v>7</v>
      </c>
      <c r="AE2" s="1"/>
      <c r="AF2" s="1" t="s">
        <v>471</v>
      </c>
      <c r="AG2" s="39" t="s">
        <v>470</v>
      </c>
      <c r="AH2" s="39">
        <f>125/1000</f>
        <v>0.125</v>
      </c>
      <c r="AI2" s="135" t="s">
        <v>7</v>
      </c>
      <c r="AJ2" s="6"/>
      <c r="AK2" s="6"/>
      <c r="AL2" s="1"/>
      <c r="AM2" s="1"/>
      <c r="AN2" s="1"/>
      <c r="AO2" s="1"/>
      <c r="AP2" s="1"/>
      <c r="AQ2" s="1"/>
      <c r="AR2" s="8"/>
      <c r="AS2" s="521" t="s">
        <v>484</v>
      </c>
      <c r="AT2" s="207">
        <v>859.07646</v>
      </c>
      <c r="AU2" s="207">
        <v>0</v>
      </c>
      <c r="AV2" s="202">
        <v>-19.050018000000001</v>
      </c>
      <c r="AW2" s="8"/>
      <c r="AX2" s="8"/>
      <c r="AY2" s="8"/>
      <c r="AZ2" s="132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</row>
    <row r="3" spans="1:1600">
      <c r="A3" s="427" t="s">
        <v>472</v>
      </c>
      <c r="B3" s="66"/>
      <c r="C3" s="66"/>
      <c r="D3" s="66"/>
      <c r="E3" s="11"/>
      <c r="F3" s="415" t="s">
        <v>473</v>
      </c>
      <c r="G3" s="415"/>
      <c r="H3" s="415"/>
      <c r="I3" s="76"/>
      <c r="J3" s="415"/>
      <c r="K3" s="415"/>
      <c r="L3" s="415"/>
      <c r="M3" s="6"/>
      <c r="N3" s="1" t="s">
        <v>474</v>
      </c>
      <c r="O3" s="8" t="s">
        <v>475</v>
      </c>
      <c r="P3" s="751" t="s">
        <v>476</v>
      </c>
      <c r="Q3" s="8"/>
      <c r="R3" s="8"/>
      <c r="S3" s="8"/>
      <c r="T3" s="750"/>
      <c r="U3" s="17" t="s">
        <v>683</v>
      </c>
      <c r="V3" s="17"/>
      <c r="W3" s="17"/>
      <c r="X3" s="17"/>
      <c r="Y3" s="17"/>
      <c r="Z3" s="18"/>
      <c r="AA3" s="12" t="s">
        <v>477</v>
      </c>
      <c r="AB3" s="13"/>
      <c r="AC3" s="13" t="s">
        <v>470</v>
      </c>
      <c r="AD3" s="13">
        <f>205/100000</f>
        <v>2.0500000000000002E-3</v>
      </c>
      <c r="AE3" s="13" t="s">
        <v>478</v>
      </c>
      <c r="AF3" s="13"/>
      <c r="AG3" s="13"/>
      <c r="AH3" s="13">
        <f>1500/100000</f>
        <v>1.4999999999999999E-2</v>
      </c>
      <c r="AI3" s="87" t="s">
        <v>198</v>
      </c>
      <c r="AJ3" s="6"/>
      <c r="AK3" s="44" t="s">
        <v>651</v>
      </c>
      <c r="AL3" s="1"/>
      <c r="AM3" s="1"/>
      <c r="AN3" s="1"/>
      <c r="AO3" s="1"/>
      <c r="AP3" s="1"/>
      <c r="AQ3" s="1"/>
      <c r="AR3" s="8"/>
      <c r="AS3" s="209" t="s">
        <v>485</v>
      </c>
      <c r="AT3" s="71">
        <v>-0.28566200000000003</v>
      </c>
      <c r="AU3" s="71">
        <v>859.07647699999995</v>
      </c>
      <c r="AV3" s="189">
        <v>-19.050018000000001</v>
      </c>
      <c r="AW3" s="8"/>
      <c r="AX3" s="8"/>
      <c r="AY3" s="8"/>
      <c r="AZ3" s="132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</row>
    <row r="4" spans="1:1600" s="1" customFormat="1">
      <c r="B4" s="8" t="s">
        <v>479</v>
      </c>
      <c r="C4" s="8"/>
      <c r="D4" s="8"/>
      <c r="G4" s="165" t="s">
        <v>480</v>
      </c>
      <c r="H4" s="66"/>
      <c r="I4" s="166"/>
      <c r="J4" s="752" t="s">
        <v>481</v>
      </c>
      <c r="K4" s="753"/>
      <c r="L4" s="754"/>
      <c r="M4" s="6"/>
      <c r="T4" s="27"/>
      <c r="U4" s="17"/>
      <c r="V4" s="17"/>
      <c r="W4" s="17"/>
      <c r="X4" s="17"/>
      <c r="Y4" s="17"/>
      <c r="Z4" s="18"/>
      <c r="AA4" s="2"/>
      <c r="AB4" s="3"/>
      <c r="AC4" s="3"/>
      <c r="AD4" s="3" t="s">
        <v>482</v>
      </c>
      <c r="AE4" s="3"/>
      <c r="AF4" s="3"/>
      <c r="AG4" s="3"/>
      <c r="AH4" s="3"/>
      <c r="AI4" s="4"/>
      <c r="AJ4" s="6"/>
      <c r="AK4" s="10"/>
      <c r="AL4" s="427" t="s">
        <v>75</v>
      </c>
      <c r="AM4" s="428"/>
      <c r="AN4" s="428"/>
      <c r="AO4" s="428"/>
      <c r="AP4" s="428"/>
      <c r="AQ4" s="427"/>
      <c r="AR4" s="8"/>
      <c r="AS4" s="209" t="s">
        <v>486</v>
      </c>
      <c r="AT4" s="71">
        <v>-859.076054</v>
      </c>
      <c r="AU4" s="71">
        <v>0.92067500000000002</v>
      </c>
      <c r="AV4" s="189">
        <v>-19.050018000000001</v>
      </c>
      <c r="AW4" s="8"/>
      <c r="AX4" s="8"/>
      <c r="AY4" s="8"/>
      <c r="AZ4" s="624" t="s">
        <v>96</v>
      </c>
    </row>
    <row r="5" spans="1:1600" s="1" customFormat="1">
      <c r="B5" s="8"/>
      <c r="C5" s="539" t="s">
        <v>0</v>
      </c>
      <c r="D5" s="539" t="s">
        <v>1</v>
      </c>
      <c r="E5" s="145" t="s">
        <v>2</v>
      </c>
      <c r="G5" s="537" t="s">
        <v>0</v>
      </c>
      <c r="H5" s="407" t="s">
        <v>1</v>
      </c>
      <c r="I5" s="755" t="s">
        <v>2</v>
      </c>
      <c r="J5" s="537" t="s">
        <v>0</v>
      </c>
      <c r="K5" s="407" t="s">
        <v>1</v>
      </c>
      <c r="L5" s="755" t="s">
        <v>2</v>
      </c>
      <c r="M5" s="6"/>
      <c r="N5" s="8" t="s">
        <v>0</v>
      </c>
      <c r="O5" s="8" t="s">
        <v>1</v>
      </c>
      <c r="P5" s="8" t="s">
        <v>2</v>
      </c>
      <c r="Q5" s="8" t="s">
        <v>3</v>
      </c>
      <c r="R5" s="8" t="s">
        <v>4</v>
      </c>
      <c r="S5" s="8" t="s">
        <v>5</v>
      </c>
      <c r="T5" s="27"/>
      <c r="U5" s="17" t="s">
        <v>0</v>
      </c>
      <c r="V5" s="17" t="s">
        <v>1</v>
      </c>
      <c r="W5" s="17" t="s">
        <v>2</v>
      </c>
      <c r="X5" s="17" t="s">
        <v>3</v>
      </c>
      <c r="Y5" s="17" t="s">
        <v>4</v>
      </c>
      <c r="Z5" s="18" t="s">
        <v>5</v>
      </c>
      <c r="AA5" s="756" t="s">
        <v>25</v>
      </c>
      <c r="AB5" s="253" t="s">
        <v>26</v>
      </c>
      <c r="AC5" s="611" t="s">
        <v>263</v>
      </c>
      <c r="AD5" s="253"/>
      <c r="AE5" s="611" t="s">
        <v>2</v>
      </c>
      <c r="AF5" s="145" t="s">
        <v>3</v>
      </c>
      <c r="AG5" s="145" t="s">
        <v>4</v>
      </c>
      <c r="AH5" s="719" t="s">
        <v>261</v>
      </c>
      <c r="AI5" s="381" t="s">
        <v>5</v>
      </c>
      <c r="AK5" s="421" t="s">
        <v>292</v>
      </c>
      <c r="AL5" s="92" t="s">
        <v>0</v>
      </c>
      <c r="AM5" s="93" t="s">
        <v>1</v>
      </c>
      <c r="AN5" s="93" t="s">
        <v>2</v>
      </c>
      <c r="AO5" s="93" t="s">
        <v>3</v>
      </c>
      <c r="AP5" s="93" t="s">
        <v>4</v>
      </c>
      <c r="AQ5" s="93" t="s">
        <v>5</v>
      </c>
      <c r="AR5" s="149"/>
      <c r="AS5" s="120"/>
      <c r="AT5" s="120"/>
      <c r="AU5" s="120"/>
      <c r="AV5" s="3"/>
      <c r="AW5" s="591" t="s">
        <v>0</v>
      </c>
      <c r="AX5" s="591" t="s">
        <v>1</v>
      </c>
      <c r="AY5" s="605" t="s">
        <v>2</v>
      </c>
      <c r="AZ5" s="624" t="s">
        <v>7</v>
      </c>
    </row>
    <row r="6" spans="1:1600" s="1" customFormat="1">
      <c r="A6" s="757" t="s">
        <v>483</v>
      </c>
      <c r="B6" s="758" t="s">
        <v>484</v>
      </c>
      <c r="C6" s="759">
        <v>859.07646</v>
      </c>
      <c r="D6" s="759">
        <v>0</v>
      </c>
      <c r="E6" s="759">
        <v>-19.050018000000001</v>
      </c>
      <c r="F6" s="758"/>
      <c r="G6" s="758">
        <f>C6-zerox1</f>
        <v>0</v>
      </c>
      <c r="H6" s="758">
        <f>D6-zeroy1</f>
        <v>0</v>
      </c>
      <c r="I6" s="758">
        <f>E6-zeroz1</f>
        <v>0</v>
      </c>
      <c r="J6" s="758"/>
      <c r="K6" s="758"/>
      <c r="L6" s="760"/>
      <c r="M6" s="289" t="s">
        <v>24</v>
      </c>
      <c r="N6" s="289">
        <v>0</v>
      </c>
      <c r="O6" s="290">
        <v>0</v>
      </c>
      <c r="P6" s="290">
        <v>0</v>
      </c>
      <c r="Q6" s="290">
        <v>0</v>
      </c>
      <c r="R6" s="290">
        <v>0</v>
      </c>
      <c r="S6" s="448">
        <v>0</v>
      </c>
      <c r="T6" s="761" t="s">
        <v>24</v>
      </c>
      <c r="U6" s="762"/>
      <c r="V6" s="762"/>
      <c r="W6" s="762"/>
      <c r="X6" s="762"/>
      <c r="Y6" s="762"/>
      <c r="Z6" s="762"/>
      <c r="AA6" s="2"/>
      <c r="AB6" s="3"/>
      <c r="AC6" s="83"/>
      <c r="AD6" s="3"/>
      <c r="AE6" s="83"/>
      <c r="AF6" s="3"/>
      <c r="AG6" s="3"/>
      <c r="AH6" s="83"/>
      <c r="AI6" s="345"/>
      <c r="AK6" s="422">
        <v>7.6</v>
      </c>
      <c r="AL6" s="2">
        <v>0</v>
      </c>
      <c r="AM6" s="3">
        <v>0</v>
      </c>
      <c r="AN6" s="83">
        <v>0</v>
      </c>
      <c r="AO6" s="3">
        <v>0</v>
      </c>
      <c r="AP6" s="3">
        <v>0</v>
      </c>
      <c r="AQ6" s="3">
        <v>0</v>
      </c>
      <c r="AR6" s="8"/>
      <c r="AS6" s="8">
        <v>-0.28070499999999998</v>
      </c>
      <c r="AT6" s="8">
        <v>859.04569300000003</v>
      </c>
      <c r="AU6" s="8">
        <v>-19.064264999999999</v>
      </c>
      <c r="AW6" s="8">
        <f>AS6--0.2857</f>
        <v>4.9950000000000272E-3</v>
      </c>
      <c r="AX6" s="8">
        <f>AT6-859.076</f>
        <v>-3.0306999999993423E-2</v>
      </c>
      <c r="AY6" s="75">
        <f>AU6--19.05</f>
        <v>-1.4264999999998196E-2</v>
      </c>
      <c r="AZ6" s="132">
        <f>AY6-AN6</f>
        <v>-1.4264999999998196E-2</v>
      </c>
    </row>
    <row r="7" spans="1:1600" s="1" customFormat="1">
      <c r="A7" s="763" t="s">
        <v>24</v>
      </c>
      <c r="B7" s="48" t="s">
        <v>485</v>
      </c>
      <c r="C7" s="764">
        <v>-0.28566200000000003</v>
      </c>
      <c r="D7" s="764">
        <v>859.07647699999995</v>
      </c>
      <c r="E7" s="764">
        <v>-19.050018000000001</v>
      </c>
      <c r="F7" s="48"/>
      <c r="G7" s="48">
        <f>C7-zerox2</f>
        <v>0</v>
      </c>
      <c r="H7" s="48">
        <f>D7-zeroy2</f>
        <v>0</v>
      </c>
      <c r="I7" s="48">
        <f>E7-zeroz2</f>
        <v>0</v>
      </c>
      <c r="J7" s="48"/>
      <c r="K7" s="48"/>
      <c r="L7" s="765"/>
      <c r="M7" s="49">
        <f>1</f>
        <v>1</v>
      </c>
      <c r="N7" s="49">
        <v>5.66</v>
      </c>
      <c r="O7" s="50">
        <v>0</v>
      </c>
      <c r="P7" s="50">
        <v>7.73</v>
      </c>
      <c r="Q7" s="50">
        <v>0.17</v>
      </c>
      <c r="R7" s="50">
        <v>0</v>
      </c>
      <c r="S7" s="766">
        <v>0</v>
      </c>
      <c r="T7" s="767">
        <v>1</v>
      </c>
      <c r="U7" s="768">
        <f>AVERAGE(J9:J11)</f>
        <v>5.7144299999999975</v>
      </c>
      <c r="V7" s="768">
        <f>AVERAGE(K9:K11)</f>
        <v>1.1833200000004318E-2</v>
      </c>
      <c r="W7" s="768">
        <f>AVERAGE(L9:L11)</f>
        <v>7.6782060442444449</v>
      </c>
      <c r="X7" s="769">
        <v>0.17080000000000001</v>
      </c>
      <c r="Y7" s="769">
        <f>ATAN(180*AA7/pivot/3.1416)</f>
        <v>1.6091843624364544E-3</v>
      </c>
      <c r="Z7" s="769">
        <f>ATAN(180*(H9-H11)/radius/3.1416)</f>
        <v>-4.3484640580600982E-3</v>
      </c>
      <c r="AA7" s="7">
        <f t="shared" ref="AA7:AA24" si="0">U7-N7</f>
        <v>5.4429999999997314E-2</v>
      </c>
      <c r="AB7" s="8">
        <f t="shared" ref="AB7:AB24" si="1">V7-O7</f>
        <v>1.1833200000004318E-2</v>
      </c>
      <c r="AC7" s="75">
        <f>SQRT((AA7-0.01)*(AA7-0.01)+(AB7--0.017)*(AB7--0.017))</f>
        <v>5.2965822208665941E-2</v>
      </c>
      <c r="AD7" s="8">
        <f t="shared" ref="AD7:AD24" si="2">W7-P7</f>
        <v>-5.1793955755555565E-2</v>
      </c>
      <c r="AE7" s="75">
        <f t="shared" ref="AE7:AE24" si="3">AD7--0.028</f>
        <v>-2.3793955755555565E-2</v>
      </c>
      <c r="AF7" s="17">
        <f t="shared" ref="AF7:AF24" si="4">X7-Q7</f>
        <v>7.9999999999999516E-4</v>
      </c>
      <c r="AG7" s="17">
        <f t="shared" ref="AG7:AG24" si="5">Y7-R7</f>
        <v>1.6091843624364544E-3</v>
      </c>
      <c r="AH7" s="1007">
        <f>SQRT((AF7-0.0002)*(AF7-0.0002)+(AG7--0.0007)*(AG7--0.0007))</f>
        <v>2.3858609388899949E-3</v>
      </c>
      <c r="AI7" s="481">
        <f t="shared" ref="AI7:AI24" si="6">Z7-S7</f>
        <v>-4.3484640580600982E-3</v>
      </c>
      <c r="AK7" s="430">
        <v>0.25</v>
      </c>
      <c r="AL7" s="6">
        <v>0</v>
      </c>
      <c r="AM7" s="1">
        <v>0</v>
      </c>
      <c r="AN7" s="79">
        <v>1.9</v>
      </c>
      <c r="AO7" s="1">
        <v>0</v>
      </c>
      <c r="AP7" s="1">
        <v>0</v>
      </c>
      <c r="AQ7" s="1">
        <v>0</v>
      </c>
      <c r="AR7" s="8"/>
      <c r="AS7" s="8">
        <v>-0.23852300000000001</v>
      </c>
      <c r="AT7" s="8">
        <v>859.06663700000001</v>
      </c>
      <c r="AU7" s="8">
        <v>-17.137015999999999</v>
      </c>
      <c r="AW7" s="8">
        <f>AS7--0.2857</f>
        <v>4.7176999999999997E-2</v>
      </c>
      <c r="AX7" s="8">
        <f>AT7-859.076</f>
        <v>-9.3630000000075597E-3</v>
      </c>
      <c r="AY7" s="75">
        <f>AU7--19.05</f>
        <v>1.9129840000000016</v>
      </c>
      <c r="AZ7" s="132">
        <f t="shared" ref="AZ7:AZ14" si="7">AY7-AN7</f>
        <v>1.2984000000001661E-2</v>
      </c>
    </row>
    <row r="8" spans="1:1600" s="1" customFormat="1">
      <c r="A8" s="770">
        <f>STDEV(G7:G8,H6:H8,I6:I8)</f>
        <v>0</v>
      </c>
      <c r="B8" s="771" t="s">
        <v>486</v>
      </c>
      <c r="C8" s="772">
        <v>-859.076054</v>
      </c>
      <c r="D8" s="772">
        <v>0.92067500000000002</v>
      </c>
      <c r="E8" s="772">
        <v>-19.050018000000001</v>
      </c>
      <c r="F8" s="771"/>
      <c r="G8" s="771">
        <f>C8-zerox3</f>
        <v>0</v>
      </c>
      <c r="H8" s="771">
        <f>D8-zeroy3</f>
        <v>0</v>
      </c>
      <c r="I8" s="771">
        <f>E8-zeroz3</f>
        <v>0</v>
      </c>
      <c r="J8" s="771"/>
      <c r="K8" s="771"/>
      <c r="L8" s="773"/>
      <c r="M8" s="49">
        <f t="shared" ref="M8:M14" si="8">M7+1</f>
        <v>2</v>
      </c>
      <c r="N8" s="49">
        <v>5.66</v>
      </c>
      <c r="O8" s="50">
        <v>0</v>
      </c>
      <c r="P8" s="50">
        <v>7.73</v>
      </c>
      <c r="Q8" s="50">
        <v>-0.17</v>
      </c>
      <c r="R8" s="50">
        <v>0</v>
      </c>
      <c r="S8" s="766">
        <v>0</v>
      </c>
      <c r="T8" s="767">
        <f t="shared" ref="T8:T38" si="9">T7+1</f>
        <v>2</v>
      </c>
      <c r="U8" s="768">
        <f>AVERAGE(J12:J14)</f>
        <v>5.6966430000000052</v>
      </c>
      <c r="V8" s="768">
        <f>AVERAGE(K12:K14)</f>
        <v>1.1907466666679708E-2</v>
      </c>
      <c r="W8" s="768">
        <f>AVERAGE(L12:L14)</f>
        <v>7.7194369557555573</v>
      </c>
      <c r="X8" s="769">
        <v>-0.16880000000000001</v>
      </c>
      <c r="Y8" s="769">
        <f>ATAN(180*AA8/pivot/3.1416)</f>
        <v>1.0833248286260552E-3</v>
      </c>
      <c r="Z8" s="769">
        <f>ATAN(180*(H12-H14)/radius/3.1416)</f>
        <v>-1.4813151511257835E-3</v>
      </c>
      <c r="AA8" s="7">
        <f t="shared" si="0"/>
        <v>3.6643000000005088E-2</v>
      </c>
      <c r="AB8" s="8">
        <f t="shared" si="1"/>
        <v>1.1907466666679708E-2</v>
      </c>
      <c r="AC8" s="75">
        <f t="shared" ref="AC8:AC24" si="10">SQRT((AA8-0.01)*(AA8-0.01)+(AB8--0.017)*(AB8--0.017))</f>
        <v>3.9312734299275974E-2</v>
      </c>
      <c r="AD8" s="8">
        <f t="shared" si="2"/>
        <v>-1.0563044244443098E-2</v>
      </c>
      <c r="AE8" s="75">
        <f t="shared" si="3"/>
        <v>1.7436955755556902E-2</v>
      </c>
      <c r="AF8" s="17">
        <f t="shared" si="4"/>
        <v>1.2000000000000066E-3</v>
      </c>
      <c r="AG8" s="17">
        <f t="shared" si="5"/>
        <v>1.0833248286260552E-3</v>
      </c>
      <c r="AH8" s="1007">
        <f t="shared" ref="AH8:AH24" si="11">SQRT((AF8-0.0002)*(AF8-0.0002)+(AG8--0.0007)*(AG8--0.0007))</f>
        <v>2.0445653436352092E-3</v>
      </c>
      <c r="AI8" s="481">
        <f t="shared" si="6"/>
        <v>-1.4813151511257835E-3</v>
      </c>
      <c r="AK8" s="430">
        <v>0.5</v>
      </c>
      <c r="AL8" s="6">
        <v>0</v>
      </c>
      <c r="AM8" s="1">
        <v>0</v>
      </c>
      <c r="AN8" s="79">
        <v>3.8</v>
      </c>
      <c r="AO8" s="1">
        <v>0</v>
      </c>
      <c r="AP8" s="1">
        <v>0</v>
      </c>
      <c r="AQ8" s="1">
        <v>0</v>
      </c>
      <c r="AR8" s="8"/>
      <c r="AS8" s="8">
        <v>-0.28165400000000002</v>
      </c>
      <c r="AT8" s="8">
        <v>859.05958799999996</v>
      </c>
      <c r="AU8" s="8">
        <v>-15.244738999999999</v>
      </c>
      <c r="AW8" s="8">
        <f t="shared" ref="AW8:AW14" si="12">AS8--0.2857</f>
        <v>4.045999999999994E-3</v>
      </c>
      <c r="AX8" s="8">
        <f t="shared" ref="AX8:AX14" si="13">AT8-859.076</f>
        <v>-1.6412000000059379E-2</v>
      </c>
      <c r="AY8" s="75">
        <f t="shared" ref="AY8:AY14" si="14">AU8--19.05</f>
        <v>3.8052610000000016</v>
      </c>
      <c r="AZ8" s="132">
        <f t="shared" si="7"/>
        <v>5.2610000000017365E-3</v>
      </c>
      <c r="BA8" s="10"/>
      <c r="BB8" s="817"/>
      <c r="BC8" s="1056" t="s">
        <v>694</v>
      </c>
      <c r="BD8" s="760"/>
      <c r="BE8" s="758"/>
      <c r="BF8" s="758"/>
      <c r="BG8" s="758"/>
      <c r="BH8" s="208"/>
      <c r="BI8" s="11"/>
      <c r="BJ8" s="86"/>
    </row>
    <row r="9" spans="1:1600" s="1" customFormat="1">
      <c r="A9" s="774"/>
      <c r="B9" s="1" t="s">
        <v>484</v>
      </c>
      <c r="C9" s="8">
        <v>864.782062</v>
      </c>
      <c r="D9" s="8">
        <v>-5.7712370000000002</v>
      </c>
      <c r="E9" s="8">
        <v>-11.314277000000001</v>
      </c>
      <c r="G9" s="8">
        <f>C9-zerox1</f>
        <v>5.705601999999999</v>
      </c>
      <c r="H9" s="8">
        <f>D9-zeroy1</f>
        <v>-5.7712370000000002</v>
      </c>
      <c r="I9" s="8">
        <f>E9-zeroz1</f>
        <v>7.7357410000000009</v>
      </c>
      <c r="J9" s="7">
        <f>G9-pivot*(R7*3.1416/180)</f>
        <v>5.705601999999999</v>
      </c>
      <c r="K9" s="8">
        <f>H9+pivot*(Q7*3.1416/180)</f>
        <v>-2.1061800000000019E-2</v>
      </c>
      <c r="L9" s="8">
        <f>I9+radius*(R7*3.1416/180)</f>
        <v>7.7357410000000009</v>
      </c>
      <c r="M9" s="49">
        <f t="shared" si="8"/>
        <v>3</v>
      </c>
      <c r="N9" s="49">
        <v>5.66</v>
      </c>
      <c r="O9" s="50">
        <v>0</v>
      </c>
      <c r="P9" s="50">
        <v>7.73</v>
      </c>
      <c r="Q9" s="50">
        <v>0</v>
      </c>
      <c r="R9" s="50">
        <v>0.17</v>
      </c>
      <c r="S9" s="766">
        <v>0</v>
      </c>
      <c r="T9" s="767">
        <f t="shared" si="9"/>
        <v>3</v>
      </c>
      <c r="U9" s="768">
        <f>AVERAGE(J15:J17)</f>
        <v>5.6838428000000052</v>
      </c>
      <c r="V9" s="768">
        <f>AVERAGE(K15:K17)</f>
        <v>7.7376666666832085E-3</v>
      </c>
      <c r="W9" s="768">
        <f>AVERAGE(L15:L17)</f>
        <v>7.6738250000000008</v>
      </c>
      <c r="X9" s="147">
        <f>ATAN(180*AB9/pivot/3.1416)</f>
        <v>2.287588229295803E-4</v>
      </c>
      <c r="Y9" s="769">
        <v>0.1676</v>
      </c>
      <c r="Z9" s="769">
        <f>ATAN(180*(H15-H17)/radius/3.1416)</f>
        <v>-6.0605795018069675E-3</v>
      </c>
      <c r="AA9" s="7">
        <f t="shared" si="0"/>
        <v>2.3842800000005049E-2</v>
      </c>
      <c r="AB9" s="8">
        <f t="shared" si="1"/>
        <v>7.7376666666832085E-3</v>
      </c>
      <c r="AC9" s="75">
        <f t="shared" si="10"/>
        <v>2.8347403125367047E-2</v>
      </c>
      <c r="AD9" s="8">
        <f t="shared" si="2"/>
        <v>-5.6174999999999642E-2</v>
      </c>
      <c r="AE9" s="75">
        <f t="shared" si="3"/>
        <v>-2.8174999999999641E-2</v>
      </c>
      <c r="AF9" s="17">
        <f t="shared" si="4"/>
        <v>2.287588229295803E-4</v>
      </c>
      <c r="AG9" s="17">
        <f t="shared" si="5"/>
        <v>-2.4000000000000132E-3</v>
      </c>
      <c r="AH9" s="1007">
        <f t="shared" si="11"/>
        <v>1.7002432384504106E-3</v>
      </c>
      <c r="AI9" s="481">
        <f t="shared" si="6"/>
        <v>-6.0605795018069675E-3</v>
      </c>
      <c r="AK9" s="430">
        <v>0.75</v>
      </c>
      <c r="AL9" s="6">
        <v>0</v>
      </c>
      <c r="AM9" s="1">
        <v>0</v>
      </c>
      <c r="AN9" s="79">
        <v>5.6999999999999993</v>
      </c>
      <c r="AO9" s="1">
        <v>0</v>
      </c>
      <c r="AP9" s="1">
        <v>0</v>
      </c>
      <c r="AQ9" s="1">
        <v>0</v>
      </c>
      <c r="AR9" s="8"/>
      <c r="AS9" s="8">
        <v>-0.24034</v>
      </c>
      <c r="AT9" s="8">
        <v>859.07503899999995</v>
      </c>
      <c r="AU9" s="8">
        <v>-13.342428</v>
      </c>
      <c r="AW9" s="8">
        <f t="shared" si="12"/>
        <v>4.5360000000000011E-2</v>
      </c>
      <c r="AX9" s="8">
        <f t="shared" si="13"/>
        <v>-9.6100000007481867E-4</v>
      </c>
      <c r="AY9" s="75">
        <f t="shared" si="14"/>
        <v>5.7075720000000008</v>
      </c>
      <c r="AZ9" s="132">
        <f t="shared" si="7"/>
        <v>7.5720000000014664E-3</v>
      </c>
      <c r="BA9" s="6"/>
      <c r="BB9" s="819"/>
      <c r="BC9" s="771" t="s">
        <v>695</v>
      </c>
      <c r="BD9" s="773"/>
      <c r="BE9" s="48"/>
      <c r="BF9" s="834" t="s">
        <v>699</v>
      </c>
      <c r="BG9" s="48"/>
      <c r="BH9" s="39"/>
      <c r="BJ9" s="135"/>
    </row>
    <row r="10" spans="1:1600" s="1" customFormat="1">
      <c r="A10" s="774">
        <v>1</v>
      </c>
      <c r="B10" s="1" t="s">
        <v>485</v>
      </c>
      <c r="C10" s="8">
        <v>5.4586699999999997</v>
      </c>
      <c r="D10" s="8">
        <v>853.33727899999997</v>
      </c>
      <c r="E10" s="8">
        <v>-8.7967399999999998</v>
      </c>
      <c r="G10" s="8">
        <f>C10-zerox2</f>
        <v>5.744332</v>
      </c>
      <c r="H10" s="8">
        <f>D10-zeroy2</f>
        <v>-5.7391979999999876</v>
      </c>
      <c r="I10" s="8">
        <f>E10-zeroz2</f>
        <v>10.253278000000002</v>
      </c>
      <c r="J10" s="7">
        <f>G10-pivot*(R7*3.1416/180)</f>
        <v>5.744332</v>
      </c>
      <c r="K10" s="8">
        <f>H10+pivot*(Q7*3.1416/180)</f>
        <v>1.0977200000012566E-2</v>
      </c>
      <c r="L10" s="8">
        <f>I10-radius*(Q7*3.1416/180)</f>
        <v>7.6478181327333346</v>
      </c>
      <c r="M10" s="775">
        <f t="shared" si="8"/>
        <v>4</v>
      </c>
      <c r="N10" s="775">
        <v>5.66</v>
      </c>
      <c r="O10" s="440">
        <v>0</v>
      </c>
      <c r="P10" s="440">
        <v>7.73</v>
      </c>
      <c r="Q10" s="440">
        <v>0</v>
      </c>
      <c r="R10" s="440">
        <v>-0.17</v>
      </c>
      <c r="S10" s="776">
        <v>0</v>
      </c>
      <c r="T10" s="767">
        <f t="shared" si="9"/>
        <v>4</v>
      </c>
      <c r="U10" s="768">
        <f>AVERAGE(J18:J20)</f>
        <v>5.6723145333333287</v>
      </c>
      <c r="V10" s="768">
        <f>AVERAGE(K18:K20)</f>
        <v>2.0120000000268695E-3</v>
      </c>
      <c r="W10" s="768">
        <f>AVERAGE(L18:L20)</f>
        <v>7.7146216666666687</v>
      </c>
      <c r="X10" s="147">
        <f>ATAN(180*AB10/1938/3.1416)</f>
        <v>5.9483404888455784E-5</v>
      </c>
      <c r="Y10" s="769">
        <v>-0.1711</v>
      </c>
      <c r="Z10" s="769">
        <f>ATAN(180*(H18-H20)/878.1265/3.1416)</f>
        <v>-2.8578370453769928E-3</v>
      </c>
      <c r="AA10" s="7">
        <f t="shared" si="0"/>
        <v>1.2314533333328548E-2</v>
      </c>
      <c r="AB10" s="8">
        <f t="shared" si="1"/>
        <v>2.0120000000268695E-3</v>
      </c>
      <c r="AC10" s="75">
        <f t="shared" si="10"/>
        <v>1.9152368223071287E-2</v>
      </c>
      <c r="AD10" s="8">
        <f t="shared" si="2"/>
        <v>-1.5378333333331717E-2</v>
      </c>
      <c r="AE10" s="75">
        <f t="shared" si="3"/>
        <v>1.2621666666668283E-2</v>
      </c>
      <c r="AF10" s="17">
        <f t="shared" si="4"/>
        <v>5.9483404888455784E-5</v>
      </c>
      <c r="AG10" s="17">
        <f t="shared" si="5"/>
        <v>-1.0999999999999899E-3</v>
      </c>
      <c r="AH10" s="1007">
        <f t="shared" si="11"/>
        <v>4.2396333980868387E-4</v>
      </c>
      <c r="AI10" s="481">
        <f t="shared" si="6"/>
        <v>-2.8578370453769928E-3</v>
      </c>
      <c r="AK10" s="430">
        <v>1</v>
      </c>
      <c r="AL10" s="6">
        <v>0</v>
      </c>
      <c r="AM10" s="1">
        <v>0</v>
      </c>
      <c r="AN10" s="79">
        <v>7.6</v>
      </c>
      <c r="AO10" s="1">
        <v>0</v>
      </c>
      <c r="AP10" s="1">
        <v>0</v>
      </c>
      <c r="AQ10" s="1">
        <v>0</v>
      </c>
      <c r="AR10" s="8"/>
      <c r="AS10" s="8">
        <v>-0.26216099999999998</v>
      </c>
      <c r="AT10" s="8">
        <v>859.06427399999995</v>
      </c>
      <c r="AU10" s="8">
        <v>-11.433944</v>
      </c>
      <c r="AW10" s="8">
        <f t="shared" si="12"/>
        <v>2.3539000000000032E-2</v>
      </c>
      <c r="AX10" s="8">
        <f t="shared" si="13"/>
        <v>-1.1726000000066961E-2</v>
      </c>
      <c r="AY10" s="75">
        <f t="shared" si="14"/>
        <v>7.6160560000000004</v>
      </c>
      <c r="AZ10" s="132">
        <f t="shared" si="7"/>
        <v>1.6056000000000736E-2</v>
      </c>
      <c r="BA10" s="6"/>
      <c r="BB10" s="7"/>
      <c r="BC10" s="834" t="s">
        <v>699</v>
      </c>
      <c r="BD10" s="189"/>
      <c r="BE10" s="39"/>
      <c r="BF10" s="39"/>
      <c r="BG10" s="39"/>
      <c r="BH10" s="39"/>
      <c r="BJ10" s="135"/>
    </row>
    <row r="11" spans="1:1600" s="1" customFormat="1">
      <c r="A11" s="774"/>
      <c r="B11" s="1" t="s">
        <v>486</v>
      </c>
      <c r="C11" s="8">
        <v>-853.382698</v>
      </c>
      <c r="D11" s="8">
        <v>-4.7839159999999996</v>
      </c>
      <c r="E11" s="8">
        <v>-11.398959</v>
      </c>
      <c r="G11" s="8">
        <f>C11-zerox3</f>
        <v>5.6933559999999943</v>
      </c>
      <c r="H11" s="8">
        <f>D11-zeroy3</f>
        <v>-5.7045909999999997</v>
      </c>
      <c r="I11" s="8">
        <f>E11-zeroz3</f>
        <v>7.6510590000000018</v>
      </c>
      <c r="J11" s="7">
        <f>G11-pivot*(R7*3.1416/180)</f>
        <v>5.6933559999999943</v>
      </c>
      <c r="K11" s="8">
        <f>H11+pivot*(Q7*3.1416/180)</f>
        <v>4.5584200000000408E-2</v>
      </c>
      <c r="L11" s="8">
        <f>I11-radius*(R7*3.1416/180)</f>
        <v>7.6510590000000018</v>
      </c>
      <c r="M11" s="777">
        <f t="shared" si="8"/>
        <v>5</v>
      </c>
      <c r="N11" s="777">
        <v>5.66</v>
      </c>
      <c r="O11" s="778">
        <v>0</v>
      </c>
      <c r="P11" s="778">
        <v>-7.73</v>
      </c>
      <c r="Q11" s="778">
        <v>0.17</v>
      </c>
      <c r="R11" s="778">
        <v>0</v>
      </c>
      <c r="S11" s="779">
        <v>0</v>
      </c>
      <c r="T11" s="780">
        <f t="shared" si="9"/>
        <v>5</v>
      </c>
      <c r="U11" s="781">
        <f>AVERAGE(J21:J23)</f>
        <v>5.6644396666666905</v>
      </c>
      <c r="V11" s="781">
        <f>AVERAGE(K21:K23)</f>
        <v>-4.0673133333306723E-2</v>
      </c>
      <c r="W11" s="781">
        <f>AVERAGE(L21:L23)</f>
        <v>-7.8164232890888874</v>
      </c>
      <c r="X11" s="782">
        <v>0.1696</v>
      </c>
      <c r="Y11" s="782">
        <f>ATAN(180*AA11/1938/3.1416)</f>
        <v>1.3125571008742648E-4</v>
      </c>
      <c r="Z11" s="782">
        <f>ATAN(180*(H21-H23)/878.1265/3.1416)</f>
        <v>-1.2514489376490423E-4</v>
      </c>
      <c r="AA11" s="783">
        <f t="shared" si="0"/>
        <v>4.4396666666903783E-3</v>
      </c>
      <c r="AB11" s="784">
        <f t="shared" si="1"/>
        <v>-4.0673133333306723E-2</v>
      </c>
      <c r="AC11" s="75">
        <f t="shared" si="10"/>
        <v>2.4317371333966834E-2</v>
      </c>
      <c r="AD11" s="784">
        <f t="shared" si="2"/>
        <v>-8.6423289088886968E-2</v>
      </c>
      <c r="AE11" s="1005">
        <f t="shared" si="3"/>
        <v>-5.842328908888697E-2</v>
      </c>
      <c r="AF11" s="1008">
        <f t="shared" si="4"/>
        <v>-4.0000000000001146E-4</v>
      </c>
      <c r="AG11" s="1008">
        <f t="shared" si="5"/>
        <v>1.3125571008742648E-4</v>
      </c>
      <c r="AH11" s="1007">
        <f t="shared" si="11"/>
        <v>1.025176109530926E-3</v>
      </c>
      <c r="AI11" s="481">
        <f t="shared" si="6"/>
        <v>-1.2514489376490423E-4</v>
      </c>
      <c r="AK11" s="430">
        <v>-0.25</v>
      </c>
      <c r="AL11" s="6">
        <v>0</v>
      </c>
      <c r="AM11" s="1">
        <v>0</v>
      </c>
      <c r="AN11" s="79">
        <v>-1.9</v>
      </c>
      <c r="AO11" s="1">
        <v>0</v>
      </c>
      <c r="AP11" s="1">
        <v>0</v>
      </c>
      <c r="AQ11" s="1">
        <v>0</v>
      </c>
      <c r="AR11" s="8"/>
      <c r="AS11" s="8">
        <v>-0.24444299999999999</v>
      </c>
      <c r="AT11" s="8">
        <v>859.05856800000004</v>
      </c>
      <c r="AU11" s="8">
        <v>-20.939520999999999</v>
      </c>
      <c r="AW11" s="8">
        <f t="shared" si="12"/>
        <v>4.1257000000000016E-2</v>
      </c>
      <c r="AX11" s="8">
        <f t="shared" si="13"/>
        <v>-1.7431999999985237E-2</v>
      </c>
      <c r="AY11" s="75">
        <f t="shared" si="14"/>
        <v>-1.8895209999999985</v>
      </c>
      <c r="AZ11" s="132">
        <f t="shared" si="7"/>
        <v>1.0479000000001459E-2</v>
      </c>
      <c r="BA11" s="179"/>
      <c r="BB11" s="92" t="s">
        <v>0</v>
      </c>
      <c r="BC11" s="93" t="s">
        <v>1</v>
      </c>
      <c r="BD11" s="1015" t="s">
        <v>2</v>
      </c>
      <c r="BE11" s="93"/>
      <c r="BF11" s="93" t="s">
        <v>3</v>
      </c>
      <c r="BG11" s="93"/>
      <c r="BH11" s="93" t="s">
        <v>4</v>
      </c>
      <c r="BI11" s="93"/>
      <c r="BJ11" s="1015" t="s">
        <v>5</v>
      </c>
    </row>
    <row r="12" spans="1:1600" s="1" customFormat="1">
      <c r="A12" s="353"/>
      <c r="B12" s="11" t="s">
        <v>487</v>
      </c>
      <c r="C12" s="66">
        <v>864.77013799999997</v>
      </c>
      <c r="D12" s="66">
        <v>5.7579510000000003</v>
      </c>
      <c r="E12" s="66">
        <v>-11.304299</v>
      </c>
      <c r="F12" s="11"/>
      <c r="G12" s="66">
        <f>C12-zerox1</f>
        <v>5.6936779999999771</v>
      </c>
      <c r="H12" s="66">
        <f>D12-zeroy1</f>
        <v>5.7579510000000003</v>
      </c>
      <c r="I12" s="66">
        <f>E12-zeroz1</f>
        <v>7.7457190000000011</v>
      </c>
      <c r="J12" s="165">
        <f>G12-pivot*(R8*3.1416/180)</f>
        <v>5.6936779999999771</v>
      </c>
      <c r="K12" s="66">
        <f>H12+pivot*(Q8*3.1416/180)</f>
        <v>7.7758000000001104E-3</v>
      </c>
      <c r="L12" s="166">
        <f>I12+radius*(R8*3.1416/180)</f>
        <v>7.7457190000000011</v>
      </c>
      <c r="M12" s="777">
        <f t="shared" si="8"/>
        <v>6</v>
      </c>
      <c r="N12" s="777">
        <v>5.66</v>
      </c>
      <c r="O12" s="778">
        <v>0</v>
      </c>
      <c r="P12" s="778">
        <v>-7.73</v>
      </c>
      <c r="Q12" s="778">
        <v>-0.17</v>
      </c>
      <c r="R12" s="778">
        <v>0</v>
      </c>
      <c r="S12" s="779">
        <v>0</v>
      </c>
      <c r="T12" s="780">
        <f t="shared" si="9"/>
        <v>6</v>
      </c>
      <c r="U12" s="781">
        <f>AVERAGE(J24:J26)</f>
        <v>5.6582126666666719</v>
      </c>
      <c r="V12" s="781">
        <f>AVERAGE(K24:K26)</f>
        <v>-3.9277200000001379E-2</v>
      </c>
      <c r="W12" s="781">
        <f>AVERAGE(L24:L26)</f>
        <v>-7.7779863775777764</v>
      </c>
      <c r="X12" s="782">
        <v>-0.17080000000000001</v>
      </c>
      <c r="Y12" s="782">
        <f>ATAN(180*AA12/1938/3.1416)</f>
        <v>-5.2841288450307237E-5</v>
      </c>
      <c r="Z12" s="782">
        <f>ATAN(180*(H24-H26)/878.1265/3.1416)</f>
        <v>-5.4135927401137473E-4</v>
      </c>
      <c r="AA12" s="783">
        <f t="shared" si="0"/>
        <v>-1.7873333333282559E-3</v>
      </c>
      <c r="AB12" s="784">
        <f t="shared" si="1"/>
        <v>-3.9277200000001379E-2</v>
      </c>
      <c r="AC12" s="75">
        <f t="shared" si="10"/>
        <v>2.5203469343545795E-2</v>
      </c>
      <c r="AD12" s="784">
        <f t="shared" si="2"/>
        <v>-4.7986377577776018E-2</v>
      </c>
      <c r="AE12" s="75">
        <f t="shared" si="3"/>
        <v>-1.9986377577776018E-2</v>
      </c>
      <c r="AF12" s="1008">
        <f t="shared" si="4"/>
        <v>-7.9999999999999516E-4</v>
      </c>
      <c r="AG12" s="1008">
        <f t="shared" si="5"/>
        <v>-5.2841288450307237E-5</v>
      </c>
      <c r="AH12" s="1007">
        <f t="shared" si="11"/>
        <v>1.1911399573243477E-3</v>
      </c>
      <c r="AI12" s="481">
        <f t="shared" si="6"/>
        <v>-5.4135927401137473E-4</v>
      </c>
      <c r="AK12" s="430">
        <v>-0.5</v>
      </c>
      <c r="AL12" s="6">
        <v>0</v>
      </c>
      <c r="AM12" s="1">
        <v>0</v>
      </c>
      <c r="AN12" s="79">
        <v>-3.8</v>
      </c>
      <c r="AO12" s="1">
        <v>0</v>
      </c>
      <c r="AP12" s="1">
        <v>0</v>
      </c>
      <c r="AQ12" s="1">
        <v>0</v>
      </c>
      <c r="AR12" s="8"/>
      <c r="AS12" s="8">
        <v>-0.28222199999999997</v>
      </c>
      <c r="AT12" s="8">
        <v>859.03968599999996</v>
      </c>
      <c r="AU12" s="8">
        <v>-22.874290999999999</v>
      </c>
      <c r="AW12" s="8">
        <f t="shared" si="12"/>
        <v>3.4780000000000366E-3</v>
      </c>
      <c r="AX12" s="8">
        <f t="shared" si="13"/>
        <v>-3.6314000000061242E-2</v>
      </c>
      <c r="AY12" s="75">
        <f t="shared" si="14"/>
        <v>-3.8242909999999988</v>
      </c>
      <c r="AZ12" s="132">
        <f t="shared" si="7"/>
        <v>-2.4290999999998952E-2</v>
      </c>
      <c r="BA12" s="179"/>
      <c r="BB12" s="7">
        <f>AVERAGE(AW6,AW16)</f>
        <v>8.6265000000000092E-3</v>
      </c>
      <c r="BC12" s="71">
        <f>AVERAGE(AX6,AX26)</f>
        <v>-1.2762999999949898E-2</v>
      </c>
      <c r="BD12" s="1054">
        <f>AVERAGE(AY16,AY26)</f>
        <v>-3.3589999999996678E-3</v>
      </c>
      <c r="BE12" s="147">
        <f>X9</f>
        <v>2.287588229295803E-4</v>
      </c>
      <c r="BF12" s="147">
        <f>BE12--0.0003</f>
        <v>5.2875882292958021E-4</v>
      </c>
      <c r="BG12" s="147">
        <v>1.6091843624364544E-3</v>
      </c>
      <c r="BH12" s="147">
        <f>BG12-0.0003</f>
        <v>1.3091843624364545E-3</v>
      </c>
      <c r="BI12" s="17">
        <v>-4.3484640580600982E-3</v>
      </c>
      <c r="BJ12" s="18">
        <f>BI12--0.0012</f>
        <v>-3.1484640580600985E-3</v>
      </c>
    </row>
    <row r="13" spans="1:1600" s="1" customFormat="1">
      <c r="A13" s="354">
        <f>A10+1</f>
        <v>2</v>
      </c>
      <c r="B13" s="1" t="s">
        <v>488</v>
      </c>
      <c r="C13" s="8">
        <v>5.4296329999999999</v>
      </c>
      <c r="D13" s="8">
        <v>864.82411999999999</v>
      </c>
      <c r="E13" s="8">
        <v>-13.884612000000001</v>
      </c>
      <c r="G13" s="8">
        <f>C13-zerox2</f>
        <v>5.7152950000000002</v>
      </c>
      <c r="H13" s="8">
        <f>D13-zeroy2</f>
        <v>5.7476430000000391</v>
      </c>
      <c r="I13" s="8">
        <f>E13-zeroz2</f>
        <v>5.1654060000000008</v>
      </c>
      <c r="J13" s="7">
        <f>G13-pivot*(R8*3.1416/180)</f>
        <v>5.7152950000000002</v>
      </c>
      <c r="K13" s="8">
        <f>H13+pivot*(Q8*3.1416/180)</f>
        <v>-2.5321999999610156E-3</v>
      </c>
      <c r="L13" s="148">
        <f>I13-radius*(Q8*3.1416/180)</f>
        <v>7.7708658672666679</v>
      </c>
      <c r="M13" s="777">
        <f t="shared" si="8"/>
        <v>7</v>
      </c>
      <c r="N13" s="777">
        <v>5.66</v>
      </c>
      <c r="O13" s="778">
        <v>0</v>
      </c>
      <c r="P13" s="778">
        <v>-7.73</v>
      </c>
      <c r="Q13" s="778">
        <v>0</v>
      </c>
      <c r="R13" s="778">
        <v>0.17</v>
      </c>
      <c r="S13" s="779">
        <v>0</v>
      </c>
      <c r="T13" s="780">
        <f t="shared" si="9"/>
        <v>7</v>
      </c>
      <c r="U13" s="781">
        <f>AVERAGE(J27:J29)</f>
        <v>5.6519664666666474</v>
      </c>
      <c r="V13" s="781">
        <f>AVERAGE(K27:K29)</f>
        <v>-4.5467333333319537E-2</v>
      </c>
      <c r="W13" s="781">
        <f>AVERAGE(L27:L29)</f>
        <v>-7.8163519999999993</v>
      </c>
      <c r="X13" s="782">
        <f>ATAN(180*AB13/1938/3.1416)</f>
        <v>-1.3442098270706395E-3</v>
      </c>
      <c r="Y13" s="782">
        <v>0.16900000000000001</v>
      </c>
      <c r="Z13" s="782">
        <f>ATAN(180*(H27-H29)/878.1265/3.1416)</f>
        <v>-3.6488252718720059E-3</v>
      </c>
      <c r="AA13" s="783">
        <f t="shared" si="0"/>
        <v>-8.0335333333527714E-3</v>
      </c>
      <c r="AB13" s="784">
        <f t="shared" si="1"/>
        <v>-4.5467333333319537E-2</v>
      </c>
      <c r="AC13" s="75">
        <f t="shared" si="10"/>
        <v>3.3698625960051715E-2</v>
      </c>
      <c r="AD13" s="784">
        <f t="shared" si="2"/>
        <v>-8.6351999999998874E-2</v>
      </c>
      <c r="AE13" s="1005">
        <f t="shared" si="3"/>
        <v>-5.8351999999998877E-2</v>
      </c>
      <c r="AF13" s="1008">
        <f t="shared" si="4"/>
        <v>-1.3442098270706395E-3</v>
      </c>
      <c r="AG13" s="1008">
        <f t="shared" si="5"/>
        <v>-1.0000000000000009E-3</v>
      </c>
      <c r="AH13" s="1007">
        <f t="shared" si="11"/>
        <v>1.5730810500484502E-3</v>
      </c>
      <c r="AI13" s="481">
        <f t="shared" si="6"/>
        <v>-3.6488252718720059E-3</v>
      </c>
      <c r="AK13" s="430">
        <v>-0.75</v>
      </c>
      <c r="AL13" s="6">
        <v>0</v>
      </c>
      <c r="AM13" s="1">
        <v>0</v>
      </c>
      <c r="AN13" s="79">
        <v>-5.6999999999999993</v>
      </c>
      <c r="AO13" s="1">
        <v>0</v>
      </c>
      <c r="AP13" s="1">
        <v>0</v>
      </c>
      <c r="AQ13" s="1">
        <v>0</v>
      </c>
      <c r="AR13" s="8"/>
      <c r="AS13" s="8">
        <v>-0.26721299999999998</v>
      </c>
      <c r="AT13" s="8">
        <v>859.06178399999999</v>
      </c>
      <c r="AU13" s="8">
        <v>-24.742946</v>
      </c>
      <c r="AW13" s="8">
        <f t="shared" si="12"/>
        <v>1.8487000000000031E-2</v>
      </c>
      <c r="AX13" s="8">
        <f t="shared" si="13"/>
        <v>-1.4216000000033091E-2</v>
      </c>
      <c r="AY13" s="75">
        <f t="shared" si="14"/>
        <v>-5.6929459999999992</v>
      </c>
      <c r="AZ13" s="132">
        <f t="shared" si="7"/>
        <v>7.0540000000001157E-3</v>
      </c>
      <c r="BA13" s="179"/>
      <c r="BB13" s="7">
        <f t="shared" ref="BB13:BB20" si="15">AVERAGE(AW7,AW17)</f>
        <v>4.9527500000000002E-2</v>
      </c>
      <c r="BC13" s="71">
        <f t="shared" ref="BC13:BC20" si="16">AVERAGE(AX7,AX27)</f>
        <v>-8.1050000000004729E-3</v>
      </c>
      <c r="BD13" s="1054">
        <f t="shared" ref="BD13:BD20" si="17">AVERAGE(AY17,AY27)</f>
        <v>9.7909999999998831E-3</v>
      </c>
      <c r="BE13" s="147">
        <f>AF10</f>
        <v>5.9483404888455784E-5</v>
      </c>
      <c r="BF13" s="147">
        <f t="shared" ref="BF13:BF26" si="18">BE13--0.0003</f>
        <v>3.5948340488845573E-4</v>
      </c>
      <c r="BG13" s="147">
        <v>1.0833248286260552E-3</v>
      </c>
      <c r="BH13" s="147">
        <f t="shared" ref="BH13:BH25" si="19">BG13-0.0003</f>
        <v>7.8332482862605531E-4</v>
      </c>
      <c r="BI13" s="17">
        <v>-1.4813151511257835E-3</v>
      </c>
      <c r="BJ13" s="18">
        <f t="shared" ref="BJ13:BJ40" si="20">BI13--0.0012</f>
        <v>-2.8131515112578363E-4</v>
      </c>
    </row>
    <row r="14" spans="1:1600" s="1" customFormat="1">
      <c r="A14" s="785"/>
      <c r="B14" s="13" t="s">
        <v>489</v>
      </c>
      <c r="C14" s="69">
        <v>-853.39509799999996</v>
      </c>
      <c r="D14" s="69">
        <v>6.7013290000000003</v>
      </c>
      <c r="E14" s="69">
        <v>-11.408291999999999</v>
      </c>
      <c r="F14" s="13"/>
      <c r="G14" s="69">
        <f>C14-zerox3</f>
        <v>5.6809560000000374</v>
      </c>
      <c r="H14" s="69">
        <f>D14-zeroy3</f>
        <v>5.7806540000000002</v>
      </c>
      <c r="I14" s="69">
        <f>E14-zeroz3</f>
        <v>7.641726000000002</v>
      </c>
      <c r="J14" s="68">
        <f>G14-pivot*(R8*3.1416/180)</f>
        <v>5.6809560000000374</v>
      </c>
      <c r="K14" s="69">
        <f>H14+pivot*(Q8*3.1416/180)</f>
        <v>3.0478800000000028E-2</v>
      </c>
      <c r="L14" s="70">
        <f>I14-radius*(R8*3.1416/180)</f>
        <v>7.641726000000002</v>
      </c>
      <c r="M14" s="777">
        <f t="shared" si="8"/>
        <v>8</v>
      </c>
      <c r="N14" s="777">
        <v>5.66</v>
      </c>
      <c r="O14" s="778">
        <v>0</v>
      </c>
      <c r="P14" s="778">
        <v>-7.73</v>
      </c>
      <c r="Q14" s="778">
        <v>0</v>
      </c>
      <c r="R14" s="778">
        <v>-0.17</v>
      </c>
      <c r="S14" s="779">
        <v>0</v>
      </c>
      <c r="T14" s="780">
        <f t="shared" si="9"/>
        <v>8</v>
      </c>
      <c r="U14" s="781">
        <f>AVERAGE(J30:J32)</f>
        <v>5.6637785333333275</v>
      </c>
      <c r="V14" s="781">
        <f>AVERAGE(K30:K32)</f>
        <v>-2.4570666666655652E-2</v>
      </c>
      <c r="W14" s="781">
        <f>AVERAGE(L30:L32)</f>
        <v>-7.7819229999999981</v>
      </c>
      <c r="X14" s="782">
        <f>ATAN(180*AB14/1938/3.1416)</f>
        <v>-7.2641484012951423E-4</v>
      </c>
      <c r="Y14" s="782">
        <v>-0.17100000000000001</v>
      </c>
      <c r="Z14" s="782">
        <f>ATAN(180*(H30-H32)/878.1265/3.1416)</f>
        <v>-1.3116717255993355E-3</v>
      </c>
      <c r="AA14" s="783">
        <f t="shared" si="0"/>
        <v>3.7785333333273385E-3</v>
      </c>
      <c r="AB14" s="784">
        <f t="shared" si="1"/>
        <v>-2.4570666666655652E-2</v>
      </c>
      <c r="AC14" s="75">
        <f t="shared" si="10"/>
        <v>9.7990632849334139E-3</v>
      </c>
      <c r="AD14" s="784">
        <f t="shared" si="2"/>
        <v>-5.1922999999997721E-2</v>
      </c>
      <c r="AE14" s="75">
        <f t="shared" si="3"/>
        <v>-2.392299999999772E-2</v>
      </c>
      <c r="AF14" s="1008">
        <f t="shared" si="4"/>
        <v>-7.2641484012951423E-4</v>
      </c>
      <c r="AG14" s="1008">
        <f t="shared" si="5"/>
        <v>-1.0000000000000009E-3</v>
      </c>
      <c r="AH14" s="1007">
        <f t="shared" si="11"/>
        <v>9.7377844297981549E-4</v>
      </c>
      <c r="AI14" s="481">
        <f t="shared" si="6"/>
        <v>-1.3116717255993355E-3</v>
      </c>
      <c r="AK14" s="430">
        <v>-1</v>
      </c>
      <c r="AL14" s="6">
        <v>0</v>
      </c>
      <c r="AM14" s="1">
        <v>0</v>
      </c>
      <c r="AN14" s="79">
        <v>-7.6</v>
      </c>
      <c r="AO14" s="1">
        <v>0</v>
      </c>
      <c r="AP14" s="1">
        <v>0</v>
      </c>
      <c r="AQ14" s="1">
        <v>0</v>
      </c>
      <c r="AR14" s="8"/>
      <c r="AS14" s="8">
        <v>-0.26458999999999999</v>
      </c>
      <c r="AT14" s="8">
        <v>859.05570899999998</v>
      </c>
      <c r="AU14" s="8">
        <v>-26.672585999999999</v>
      </c>
      <c r="AW14" s="8">
        <f t="shared" si="12"/>
        <v>2.1110000000000018E-2</v>
      </c>
      <c r="AX14" s="8">
        <f t="shared" si="13"/>
        <v>-2.0291000000042914E-2</v>
      </c>
      <c r="AY14" s="75">
        <f t="shared" si="14"/>
        <v>-7.6225859999999983</v>
      </c>
      <c r="AZ14" s="132">
        <f t="shared" si="7"/>
        <v>-2.2585999999998663E-2</v>
      </c>
      <c r="BA14" s="179"/>
      <c r="BB14" s="7">
        <f t="shared" si="15"/>
        <v>4.2405000000000082E-3</v>
      </c>
      <c r="BC14" s="71">
        <f t="shared" si="16"/>
        <v>-1.6814000000067608E-2</v>
      </c>
      <c r="BD14" s="1054">
        <f t="shared" si="17"/>
        <v>-1.3048500000000018E-2</v>
      </c>
      <c r="BE14" s="147">
        <f>AF13</f>
        <v>-1.3442098270706395E-3</v>
      </c>
      <c r="BF14" s="147">
        <f t="shared" si="18"/>
        <v>-1.0442098270706396E-3</v>
      </c>
      <c r="BG14" s="147">
        <v>1.3125571008742648E-4</v>
      </c>
      <c r="BH14" s="147">
        <f t="shared" si="19"/>
        <v>-1.6874428991257349E-4</v>
      </c>
      <c r="BI14" s="17">
        <v>-6.0605795018069675E-3</v>
      </c>
      <c r="BJ14" s="18">
        <f t="shared" si="20"/>
        <v>-4.8605795018069678E-3</v>
      </c>
    </row>
    <row r="15" spans="1:1600" s="1" customFormat="1">
      <c r="A15" s="774"/>
      <c r="B15" s="1" t="s">
        <v>490</v>
      </c>
      <c r="C15" s="8">
        <v>870.50067200000001</v>
      </c>
      <c r="D15" s="8">
        <v>-3.5345000000000001E-2</v>
      </c>
      <c r="E15" s="8">
        <v>-13.890673</v>
      </c>
      <c r="G15" s="8">
        <f>C15-zerox1</f>
        <v>11.424212000000011</v>
      </c>
      <c r="H15" s="8">
        <f>D15-zeroy1</f>
        <v>-3.5345000000000001E-2</v>
      </c>
      <c r="I15" s="8">
        <f>E15-zeroz1</f>
        <v>5.1593450000000018</v>
      </c>
      <c r="J15" s="7">
        <f>G15-pivot*(R9*3.1416/180)</f>
        <v>5.6740368000000112</v>
      </c>
      <c r="K15" s="8">
        <f>H15+pivot*(Q9*3.1416/180)</f>
        <v>-3.5345000000000001E-2</v>
      </c>
      <c r="L15" s="8">
        <f>I15+radius*(R9*3.1416/180)</f>
        <v>7.764804867266669</v>
      </c>
      <c r="M15" s="49">
        <v>9</v>
      </c>
      <c r="N15" s="49">
        <v>-5.66</v>
      </c>
      <c r="O15" s="50">
        <v>0</v>
      </c>
      <c r="P15" s="50">
        <v>7.73</v>
      </c>
      <c r="Q15" s="50">
        <v>0.17</v>
      </c>
      <c r="R15" s="50">
        <v>0</v>
      </c>
      <c r="S15" s="766">
        <v>0</v>
      </c>
      <c r="T15" s="767">
        <f t="shared" si="9"/>
        <v>9</v>
      </c>
      <c r="U15" s="786">
        <f>AVERAGE(J36:J38)</f>
        <v>-5.6299219999999863</v>
      </c>
      <c r="V15" s="786">
        <f>AVERAGE(K36:K38)</f>
        <v>-3.5578000000008694E-3</v>
      </c>
      <c r="W15" s="786">
        <f>AVERAGE(L36:L38)</f>
        <v>7.688283044244443</v>
      </c>
      <c r="X15" s="51">
        <v>0.16969999999999999</v>
      </c>
      <c r="Y15" s="51">
        <f>ATAN(180*AA15/1938/3.1416)</f>
        <v>8.8923527969204475E-4</v>
      </c>
      <c r="Z15" s="51">
        <f>ATAN(180*(H36-H38)/878.1265/3.1416)</f>
        <v>2.4820186057934653E-4</v>
      </c>
      <c r="AA15" s="7">
        <f t="shared" si="0"/>
        <v>3.0078000000013816E-2</v>
      </c>
      <c r="AB15" s="8">
        <f t="shared" si="1"/>
        <v>-3.5578000000008694E-3</v>
      </c>
      <c r="AC15" s="75">
        <f t="shared" si="10"/>
        <v>2.4162343115694127E-2</v>
      </c>
      <c r="AD15" s="8">
        <f t="shared" si="2"/>
        <v>-4.171695575555745E-2</v>
      </c>
      <c r="AE15" s="75">
        <f t="shared" si="3"/>
        <v>-1.3716955755557449E-2</v>
      </c>
      <c r="AF15" s="17">
        <f t="shared" si="4"/>
        <v>-3.0000000000002247E-4</v>
      </c>
      <c r="AG15" s="17">
        <f t="shared" si="5"/>
        <v>8.8923527969204475E-4</v>
      </c>
      <c r="AH15" s="1007">
        <f t="shared" si="11"/>
        <v>1.6660338454598917E-3</v>
      </c>
      <c r="AI15" s="481">
        <f t="shared" si="6"/>
        <v>2.4820186057934653E-4</v>
      </c>
      <c r="AK15" s="421" t="s">
        <v>71</v>
      </c>
      <c r="AL15" s="43" t="s">
        <v>75</v>
      </c>
      <c r="AM15" s="3"/>
      <c r="AN15" s="3"/>
      <c r="AO15" s="3"/>
      <c r="AP15" s="3"/>
      <c r="AQ15" s="3"/>
      <c r="AR15" s="8"/>
      <c r="AS15" s="8"/>
      <c r="AT15" s="8"/>
      <c r="AU15" s="8"/>
      <c r="AW15" s="8"/>
      <c r="AX15" s="8"/>
      <c r="AY15" s="8"/>
      <c r="AZ15" s="132"/>
      <c r="BA15" s="179"/>
      <c r="BB15" s="7">
        <f t="shared" si="15"/>
        <v>3.9878500000000011E-2</v>
      </c>
      <c r="BC15" s="71">
        <f t="shared" si="16"/>
        <v>-1.1046500000077231E-2</v>
      </c>
      <c r="BD15" s="1054">
        <f t="shared" si="17"/>
        <v>4.742000000000246E-3</v>
      </c>
      <c r="BE15" s="147">
        <f>AF14</f>
        <v>-7.2641484012951423E-4</v>
      </c>
      <c r="BF15" s="147">
        <f t="shared" si="18"/>
        <v>-4.2641484012951426E-4</v>
      </c>
      <c r="BG15" s="147">
        <v>-5.2841288450307237E-5</v>
      </c>
      <c r="BH15" s="147">
        <f t="shared" si="19"/>
        <v>-3.5284128845030721E-4</v>
      </c>
      <c r="BI15" s="17">
        <v>-2.8578370453769928E-3</v>
      </c>
      <c r="BJ15" s="18">
        <f t="shared" si="20"/>
        <v>-1.6578370453769929E-3</v>
      </c>
    </row>
    <row r="16" spans="1:1600" s="1" customFormat="1">
      <c r="A16" s="774">
        <f>A13+1</f>
        <v>3</v>
      </c>
      <c r="B16" s="1" t="s">
        <v>491</v>
      </c>
      <c r="C16" s="8">
        <v>11.178277</v>
      </c>
      <c r="D16" s="8">
        <v>859.077493</v>
      </c>
      <c r="E16" s="8">
        <v>-11.373926000000001</v>
      </c>
      <c r="G16" s="8">
        <f>C16-zerox2</f>
        <v>11.463939</v>
      </c>
      <c r="H16" s="8">
        <f>D16-zeroy2</f>
        <v>1.0160000000496439E-3</v>
      </c>
      <c r="I16" s="8">
        <f>E16-zeroz2</f>
        <v>7.6760920000000006</v>
      </c>
      <c r="J16" s="7">
        <f>G16-pivot*(R9*3.1416/180)</f>
        <v>5.7137637999999997</v>
      </c>
      <c r="K16" s="8">
        <f>H16+pivot*(Q9*3.1416/180)</f>
        <v>1.0160000000496439E-3</v>
      </c>
      <c r="L16" s="8">
        <f>I16-radius*(Q9*3.1416/180)</f>
        <v>7.6760920000000006</v>
      </c>
      <c r="M16" s="49">
        <v>10</v>
      </c>
      <c r="N16" s="49">
        <v>-5.66</v>
      </c>
      <c r="O16" s="50">
        <v>0</v>
      </c>
      <c r="P16" s="50">
        <v>7.73</v>
      </c>
      <c r="Q16" s="50">
        <v>-0.17</v>
      </c>
      <c r="R16" s="50">
        <v>0</v>
      </c>
      <c r="S16" s="766">
        <v>0</v>
      </c>
      <c r="T16" s="767">
        <f t="shared" si="9"/>
        <v>10</v>
      </c>
      <c r="U16" s="786">
        <f>AVERAGE(J39:J41)</f>
        <v>-5.6326776666666616</v>
      </c>
      <c r="V16" s="786">
        <f>AVERAGE(K39:K41)</f>
        <v>-4.425866666686022E-3</v>
      </c>
      <c r="W16" s="786">
        <f>AVERAGE(L39:L41)</f>
        <v>7.7357386224222227</v>
      </c>
      <c r="X16" s="51">
        <v>-0.16980000000000001</v>
      </c>
      <c r="Y16" s="51">
        <f>ATAN(180*AA16/1938/3.1416)</f>
        <v>8.0776593667027888E-4</v>
      </c>
      <c r="Z16" s="51">
        <f>ATAN(180*(H39-H41)/878.1265/3.1416)</f>
        <v>2.2220685660816783E-3</v>
      </c>
      <c r="AA16" s="7">
        <f t="shared" si="0"/>
        <v>2.7322333333338555E-2</v>
      </c>
      <c r="AB16" s="8">
        <f t="shared" si="1"/>
        <v>-4.425866666686022E-3</v>
      </c>
      <c r="AC16" s="75">
        <f t="shared" si="10"/>
        <v>2.1404954127380176E-2</v>
      </c>
      <c r="AD16" s="8">
        <f t="shared" si="2"/>
        <v>5.7386224222222282E-3</v>
      </c>
      <c r="AE16" s="75">
        <f t="shared" si="3"/>
        <v>3.3738622422222225E-2</v>
      </c>
      <c r="AF16" s="17">
        <f t="shared" si="4"/>
        <v>2.0000000000000573E-4</v>
      </c>
      <c r="AG16" s="17">
        <f t="shared" si="5"/>
        <v>8.0776593667027888E-4</v>
      </c>
      <c r="AH16" s="1007">
        <f t="shared" si="11"/>
        <v>1.507765936670279E-3</v>
      </c>
      <c r="AI16" s="481">
        <f t="shared" si="6"/>
        <v>2.2220685660816783E-3</v>
      </c>
      <c r="AK16" s="422">
        <v>7.6</v>
      </c>
      <c r="AL16" s="2">
        <v>0</v>
      </c>
      <c r="AM16" s="83">
        <v>0</v>
      </c>
      <c r="AN16" s="3">
        <v>0</v>
      </c>
      <c r="AO16" s="3">
        <v>0</v>
      </c>
      <c r="AP16" s="3">
        <v>0</v>
      </c>
      <c r="AQ16" s="3">
        <v>0</v>
      </c>
      <c r="AR16" s="8"/>
      <c r="AS16" s="8">
        <v>-0.26844200000000001</v>
      </c>
      <c r="AT16" s="8">
        <v>859.02556100000004</v>
      </c>
      <c r="AU16" s="8">
        <v>-19.072699</v>
      </c>
      <c r="AW16" s="8">
        <f>AS16--0.2807</f>
        <v>1.2257999999999991E-2</v>
      </c>
      <c r="AX16" s="75">
        <f>AT16-859.046</f>
        <v>-2.043900000001031E-2</v>
      </c>
      <c r="AY16" s="8">
        <f>AU16--19.064</f>
        <v>-8.6990000000000123E-3</v>
      </c>
      <c r="AZ16" s="132">
        <f>AX16-AM16</f>
        <v>-2.043900000001031E-2</v>
      </c>
      <c r="BA16" s="179"/>
      <c r="BB16" s="7">
        <f t="shared" si="15"/>
        <v>2.368300000000001E-2</v>
      </c>
      <c r="BC16" s="71">
        <f t="shared" si="16"/>
        <v>-7.233500000040749E-3</v>
      </c>
      <c r="BD16" s="1054">
        <f t="shared" si="17"/>
        <v>-3.5814999999992381E-3</v>
      </c>
      <c r="BE16" s="147">
        <f>AF17</f>
        <v>-1.1891753549450329E-4</v>
      </c>
      <c r="BF16" s="147">
        <f t="shared" si="18"/>
        <v>1.8108246450549667E-4</v>
      </c>
      <c r="BG16" s="147">
        <v>8.8923527969204475E-4</v>
      </c>
      <c r="BH16" s="147">
        <f t="shared" si="19"/>
        <v>5.8923527969204472E-4</v>
      </c>
      <c r="BI16" s="17">
        <v>-1.2514489376490423E-4</v>
      </c>
      <c r="BJ16" s="18">
        <f t="shared" si="20"/>
        <v>1.0748551062350956E-3</v>
      </c>
    </row>
    <row r="17" spans="1:62" s="1" customFormat="1">
      <c r="A17" s="774"/>
      <c r="B17" s="1" t="s">
        <v>492</v>
      </c>
      <c r="C17" s="8">
        <v>-847.66215099999999</v>
      </c>
      <c r="D17" s="8">
        <v>0.978217</v>
      </c>
      <c r="E17" s="8">
        <v>-8.8639799999999997</v>
      </c>
      <c r="G17" s="8">
        <f>C17-zerox3</f>
        <v>11.413903000000005</v>
      </c>
      <c r="H17" s="8">
        <f>D17-zeroy3</f>
        <v>5.7541999999999982E-2</v>
      </c>
      <c r="I17" s="8">
        <f>E17-zeroz3</f>
        <v>10.186038000000002</v>
      </c>
      <c r="J17" s="7">
        <f>G17-pivot*(R9*3.1416/180)</f>
        <v>5.6637278000000046</v>
      </c>
      <c r="K17" s="8">
        <f>H17+pivot*(Q9*3.1416/180)</f>
        <v>5.7541999999999982E-2</v>
      </c>
      <c r="L17" s="8">
        <f>I17-radius*(R9*3.1416/180)</f>
        <v>7.5805781327333346</v>
      </c>
      <c r="M17" s="49">
        <v>11</v>
      </c>
      <c r="N17" s="49">
        <v>-5.66</v>
      </c>
      <c r="O17" s="50">
        <v>0</v>
      </c>
      <c r="P17" s="50">
        <v>7.73</v>
      </c>
      <c r="Q17" s="50">
        <v>0</v>
      </c>
      <c r="R17" s="50">
        <v>0.17</v>
      </c>
      <c r="S17" s="766">
        <v>0</v>
      </c>
      <c r="T17" s="767">
        <f t="shared" si="9"/>
        <v>11</v>
      </c>
      <c r="U17" s="786">
        <f>AVERAGE(J42:J44)</f>
        <v>-5.6177042000000021</v>
      </c>
      <c r="V17" s="786">
        <f>AVERAGE(K42:K44)</f>
        <v>-4.0223333333464046E-3</v>
      </c>
      <c r="W17" s="786">
        <f>AVERAGE(L42:L44)</f>
        <v>7.7275893333333343</v>
      </c>
      <c r="X17" s="51">
        <f>ATAN(180*AB17/1938/3.1416)</f>
        <v>-1.1891753549450329E-4</v>
      </c>
      <c r="Y17" s="51">
        <v>0.1691</v>
      </c>
      <c r="Z17" s="51">
        <f>ATAN(180*(H42-H44)/878.1265/3.1416)</f>
        <v>-1.0928968440723525E-3</v>
      </c>
      <c r="AA17" s="7">
        <f t="shared" si="0"/>
        <v>4.2295799999997996E-2</v>
      </c>
      <c r="AB17" s="8">
        <f t="shared" si="1"/>
        <v>-4.0223333333464046E-3</v>
      </c>
      <c r="AC17" s="75">
        <f t="shared" si="10"/>
        <v>3.4805725531162866E-2</v>
      </c>
      <c r="AD17" s="8">
        <f t="shared" si="2"/>
        <v>-2.410666666666117E-3</v>
      </c>
      <c r="AE17" s="75">
        <f t="shared" si="3"/>
        <v>2.5589333333333884E-2</v>
      </c>
      <c r="AF17" s="17">
        <f t="shared" si="4"/>
        <v>-1.1891753549450329E-4</v>
      </c>
      <c r="AG17" s="17">
        <f t="shared" si="5"/>
        <v>-9.000000000000119E-4</v>
      </c>
      <c r="AH17" s="1007">
        <f t="shared" si="11"/>
        <v>3.7644175438690715E-4</v>
      </c>
      <c r="AI17" s="481">
        <f t="shared" si="6"/>
        <v>-1.0928968440723525E-3</v>
      </c>
      <c r="AK17" s="430">
        <v>0.25</v>
      </c>
      <c r="AL17" s="6">
        <v>0</v>
      </c>
      <c r="AM17" s="79">
        <v>1.9</v>
      </c>
      <c r="AN17" s="1">
        <v>0</v>
      </c>
      <c r="AO17" s="1">
        <v>0</v>
      </c>
      <c r="AP17" s="1">
        <v>0</v>
      </c>
      <c r="AQ17" s="1">
        <v>0</v>
      </c>
      <c r="AR17" s="8"/>
      <c r="AS17" s="8">
        <v>-0.228822</v>
      </c>
      <c r="AT17" s="8">
        <v>860.95184800000004</v>
      </c>
      <c r="AU17" s="8">
        <v>-19.035681</v>
      </c>
      <c r="AW17" s="8">
        <f t="shared" ref="AW17:AW24" si="21">AS17--0.2807</f>
        <v>5.1878000000000007E-2</v>
      </c>
      <c r="AX17" s="75">
        <f t="shared" ref="AX17:AX24" si="22">AT17-859.046</f>
        <v>1.9058479999999918</v>
      </c>
      <c r="AY17" s="8">
        <f t="shared" ref="AY17:AY24" si="23">AU17--19.064</f>
        <v>2.8318999999999761E-2</v>
      </c>
      <c r="AZ17" s="132">
        <f t="shared" ref="AZ17:AZ24" si="24">AX17-AM17</f>
        <v>5.8479999999918597E-3</v>
      </c>
      <c r="BA17" s="179"/>
      <c r="BB17" s="7">
        <f t="shared" si="15"/>
        <v>4.1860000000000008E-2</v>
      </c>
      <c r="BC17" s="71">
        <f t="shared" si="16"/>
        <v>-1.3554499999997915E-2</v>
      </c>
      <c r="BD17" s="1054">
        <f t="shared" si="17"/>
        <v>1.0691500000000076E-2</v>
      </c>
      <c r="BE17" s="147">
        <f>AF18</f>
        <v>-3.1965923474156557E-4</v>
      </c>
      <c r="BF17" s="147">
        <f t="shared" si="18"/>
        <v>-1.9659234741565591E-5</v>
      </c>
      <c r="BG17" s="147">
        <v>8.0776593667027888E-4</v>
      </c>
      <c r="BH17" s="147">
        <f t="shared" si="19"/>
        <v>5.0776593667027897E-4</v>
      </c>
      <c r="BI17" s="17">
        <v>-5.4135927401137473E-4</v>
      </c>
      <c r="BJ17" s="18">
        <f t="shared" si="20"/>
        <v>6.5864072598862517E-4</v>
      </c>
    </row>
    <row r="18" spans="1:62" s="1" customFormat="1">
      <c r="A18" s="353"/>
      <c r="B18" s="11" t="s">
        <v>493</v>
      </c>
      <c r="C18" s="66">
        <v>858.99242100000004</v>
      </c>
      <c r="D18" s="66">
        <v>-1.8033E-2</v>
      </c>
      <c r="E18" s="66">
        <v>-8.7778340000000004</v>
      </c>
      <c r="F18" s="11"/>
      <c r="G18" s="66">
        <f>C18-zerox1</f>
        <v>-8.4038999999961561E-2</v>
      </c>
      <c r="H18" s="66">
        <f>D18-zeroy1</f>
        <v>-1.8033E-2</v>
      </c>
      <c r="I18" s="66">
        <f>E18-zeroz1</f>
        <v>10.272184000000001</v>
      </c>
      <c r="J18" s="165">
        <f>G18-pivot*(R10*3.1416/180)</f>
        <v>5.6661362000000386</v>
      </c>
      <c r="K18" s="66">
        <f>H18+pivot*(Q10*3.1416/180)</f>
        <v>-1.8033E-2</v>
      </c>
      <c r="L18" s="166">
        <f>I18+radius*(R10*3.1416/180)</f>
        <v>7.666724132733334</v>
      </c>
      <c r="M18" s="49">
        <v>12</v>
      </c>
      <c r="N18" s="49">
        <v>-5.66</v>
      </c>
      <c r="O18" s="50">
        <v>0</v>
      </c>
      <c r="P18" s="50">
        <v>7.73</v>
      </c>
      <c r="Q18" s="50">
        <v>0</v>
      </c>
      <c r="R18" s="50">
        <v>-0.17</v>
      </c>
      <c r="S18" s="766">
        <v>0</v>
      </c>
      <c r="T18" s="767">
        <f t="shared" si="9"/>
        <v>12</v>
      </c>
      <c r="U18" s="786">
        <f>AVERAGE(J45:J47)</f>
        <v>-5.6116351333333538</v>
      </c>
      <c r="V18" s="786">
        <f>AVERAGE(K45:K47)</f>
        <v>-1.0812333333345548E-2</v>
      </c>
      <c r="W18" s="786">
        <f>AVERAGE(L45:L47)</f>
        <v>7.7312863333333333</v>
      </c>
      <c r="X18" s="51">
        <f>ATAN(180*AB18/1938/3.1416)</f>
        <v>-3.1965923474156557E-4</v>
      </c>
      <c r="Y18" s="51">
        <v>-0.1711</v>
      </c>
      <c r="Z18" s="51">
        <f>ATAN(180*(H45-H47)/878.1265/3.1416)</f>
        <v>3.2154015559925965E-4</v>
      </c>
      <c r="AA18" s="7">
        <f t="shared" si="0"/>
        <v>4.83648666666463E-2</v>
      </c>
      <c r="AB18" s="8">
        <f t="shared" si="1"/>
        <v>-1.0812333333345548E-2</v>
      </c>
      <c r="AC18" s="75">
        <f t="shared" si="10"/>
        <v>3.8860651218516333E-2</v>
      </c>
      <c r="AD18" s="8">
        <f t="shared" si="2"/>
        <v>1.2863333333328342E-3</v>
      </c>
      <c r="AE18" s="75">
        <f t="shared" si="3"/>
        <v>2.9286333333332835E-2</v>
      </c>
      <c r="AF18" s="17">
        <f t="shared" si="4"/>
        <v>-3.1965923474156557E-4</v>
      </c>
      <c r="AG18" s="17">
        <f t="shared" si="5"/>
        <v>-1.0999999999999899E-3</v>
      </c>
      <c r="AH18" s="1007">
        <f t="shared" si="11"/>
        <v>6.5577871286904513E-4</v>
      </c>
      <c r="AI18" s="481">
        <f t="shared" si="6"/>
        <v>3.2154015559925965E-4</v>
      </c>
      <c r="AK18" s="430">
        <v>0.5</v>
      </c>
      <c r="AL18" s="6">
        <v>0</v>
      </c>
      <c r="AM18" s="79">
        <v>3.8</v>
      </c>
      <c r="AN18" s="1">
        <v>0</v>
      </c>
      <c r="AO18" s="1">
        <v>0</v>
      </c>
      <c r="AP18" s="1">
        <v>0</v>
      </c>
      <c r="AQ18" s="1">
        <v>0</v>
      </c>
      <c r="AR18" s="8"/>
      <c r="AS18" s="8">
        <v>-0.27626499999999998</v>
      </c>
      <c r="AT18" s="8">
        <v>862.80761299999995</v>
      </c>
      <c r="AU18" s="8">
        <v>-19.078954</v>
      </c>
      <c r="AW18" s="8">
        <f t="shared" si="21"/>
        <v>4.4350000000000223E-3</v>
      </c>
      <c r="AX18" s="75">
        <f t="shared" si="22"/>
        <v>3.7616129999998975</v>
      </c>
      <c r="AY18" s="8">
        <f t="shared" si="23"/>
        <v>-1.4953999999999468E-2</v>
      </c>
      <c r="AZ18" s="132">
        <f t="shared" si="24"/>
        <v>-3.8387000000102312E-2</v>
      </c>
      <c r="BA18" s="179"/>
      <c r="BB18" s="7">
        <f t="shared" si="15"/>
        <v>4.4380000000000253E-3</v>
      </c>
      <c r="BC18" s="71">
        <f t="shared" si="16"/>
        <v>-1.7292500000053224E-2</v>
      </c>
      <c r="BD18" s="1054">
        <f t="shared" si="17"/>
        <v>3.4124999999995964E-3</v>
      </c>
      <c r="BE18" s="147">
        <f>AF21</f>
        <v>-1.1516675884132032E-3</v>
      </c>
      <c r="BF18" s="147">
        <f t="shared" si="18"/>
        <v>-8.5166758841320332E-4</v>
      </c>
      <c r="BG18" s="147">
        <v>7.5103204763230847E-4</v>
      </c>
      <c r="BH18" s="147">
        <f t="shared" si="19"/>
        <v>4.510320476323085E-4</v>
      </c>
      <c r="BI18" s="17">
        <v>-3.6488252718720059E-3</v>
      </c>
      <c r="BJ18" s="18">
        <f t="shared" si="20"/>
        <v>-2.4488252718720058E-3</v>
      </c>
    </row>
    <row r="19" spans="1:62" s="1" customFormat="1">
      <c r="A19" s="354">
        <f>A16+1</f>
        <v>4</v>
      </c>
      <c r="B19" s="1" t="s">
        <v>494</v>
      </c>
      <c r="C19" s="8">
        <v>-0.34881499999999999</v>
      </c>
      <c r="D19" s="8">
        <v>859.07477900000004</v>
      </c>
      <c r="E19" s="8">
        <v>-11.320114</v>
      </c>
      <c r="G19" s="8">
        <f>C19-zerox2</f>
        <v>-6.3152999999999959E-2</v>
      </c>
      <c r="H19" s="8">
        <f>D19-zeroy2</f>
        <v>-1.6979999999193751E-3</v>
      </c>
      <c r="I19" s="8">
        <f>E19-zeroz2</f>
        <v>7.7299040000000012</v>
      </c>
      <c r="J19" s="7">
        <f>G19-pivot*(R10*3.1416/180)</f>
        <v>5.6870222000000004</v>
      </c>
      <c r="K19" s="8">
        <f>H19+pivot*(Q10*3.1416/180)</f>
        <v>-1.6979999999193751E-3</v>
      </c>
      <c r="L19" s="148">
        <f>I19-radius*(Q10*3.1416/180)</f>
        <v>7.7299040000000012</v>
      </c>
      <c r="M19" s="777">
        <v>13</v>
      </c>
      <c r="N19" s="777">
        <v>-5.66</v>
      </c>
      <c r="O19" s="778">
        <v>0</v>
      </c>
      <c r="P19" s="778">
        <v>-7.73</v>
      </c>
      <c r="Q19" s="778">
        <v>0.17</v>
      </c>
      <c r="R19" s="778">
        <v>0</v>
      </c>
      <c r="S19" s="779">
        <v>0</v>
      </c>
      <c r="T19" s="780">
        <f t="shared" si="9"/>
        <v>13</v>
      </c>
      <c r="U19" s="781">
        <f>AVERAGE(J48:J50)</f>
        <v>-5.6345966666666953</v>
      </c>
      <c r="V19" s="781">
        <f>AVERAGE(K48:K50)</f>
        <v>-2.5363133333346905E-2</v>
      </c>
      <c r="W19" s="781">
        <f>AVERAGE(L48:L50)</f>
        <v>-7.7879002890888893</v>
      </c>
      <c r="X19" s="782">
        <v>0.17080000000000001</v>
      </c>
      <c r="Y19" s="782">
        <f>ATAN(180*AA19/1938/3.1416)</f>
        <v>7.5103204763230847E-4</v>
      </c>
      <c r="Z19" s="782">
        <f>ATAN(180*(H48-H50)/878.1265/3.1416)</f>
        <v>-7.5152170101422139E-4</v>
      </c>
      <c r="AA19" s="783">
        <f t="shared" si="0"/>
        <v>2.5403333333304801E-2</v>
      </c>
      <c r="AB19" s="784">
        <f t="shared" si="1"/>
        <v>-2.5363133333346905E-2</v>
      </c>
      <c r="AC19" s="75">
        <f t="shared" si="10"/>
        <v>1.752725525940205E-2</v>
      </c>
      <c r="AD19" s="784">
        <f t="shared" si="2"/>
        <v>-5.790028908888889E-2</v>
      </c>
      <c r="AE19" s="75">
        <f t="shared" si="3"/>
        <v>-2.9900289088888889E-2</v>
      </c>
      <c r="AF19" s="1008">
        <f t="shared" si="4"/>
        <v>7.9999999999999516E-4</v>
      </c>
      <c r="AG19" s="1008">
        <f t="shared" si="5"/>
        <v>7.5103204763230847E-4</v>
      </c>
      <c r="AH19" s="1007">
        <f t="shared" si="11"/>
        <v>1.5701891616158876E-3</v>
      </c>
      <c r="AI19" s="481">
        <f t="shared" si="6"/>
        <v>-7.5152170101422139E-4</v>
      </c>
      <c r="AK19" s="430">
        <v>0.75</v>
      </c>
      <c r="AL19" s="6">
        <v>0</v>
      </c>
      <c r="AM19" s="79">
        <v>5.6999999999999993</v>
      </c>
      <c r="AN19" s="1">
        <v>0</v>
      </c>
      <c r="AO19" s="1">
        <v>0</v>
      </c>
      <c r="AP19" s="1">
        <v>0</v>
      </c>
      <c r="AQ19" s="1">
        <v>0</v>
      </c>
      <c r="AR19" s="8"/>
      <c r="AS19" s="8">
        <v>-0.24630299999999999</v>
      </c>
      <c r="AT19" s="8">
        <v>864.72572700000001</v>
      </c>
      <c r="AU19" s="8">
        <v>-19.041373</v>
      </c>
      <c r="AW19" s="8">
        <f t="shared" si="21"/>
        <v>3.4397000000000011E-2</v>
      </c>
      <c r="AX19" s="75">
        <f t="shared" si="22"/>
        <v>5.6797269999999571</v>
      </c>
      <c r="AY19" s="8">
        <f t="shared" si="23"/>
        <v>2.2626999999999953E-2</v>
      </c>
      <c r="AZ19" s="132">
        <f t="shared" si="24"/>
        <v>-2.0273000000042174E-2</v>
      </c>
      <c r="BA19" s="179"/>
      <c r="BB19" s="7">
        <f t="shared" si="15"/>
        <v>3.5414500000000015E-2</v>
      </c>
      <c r="BC19" s="71">
        <f t="shared" si="16"/>
        <v>-5.7710000000383843E-3</v>
      </c>
      <c r="BD19" s="1054">
        <f t="shared" si="17"/>
        <v>6.6000000000006054E-3</v>
      </c>
      <c r="BE19" s="147">
        <f>AF22</f>
        <v>4.1488590928804988E-6</v>
      </c>
      <c r="BF19" s="147">
        <f t="shared" si="18"/>
        <v>3.0414885909288045E-4</v>
      </c>
      <c r="BG19" s="147">
        <v>1.090986904950687E-3</v>
      </c>
      <c r="BH19" s="147">
        <f t="shared" si="19"/>
        <v>7.9098690495068712E-4</v>
      </c>
      <c r="BI19" s="17">
        <v>-1.3116717255993355E-3</v>
      </c>
      <c r="BJ19" s="18">
        <f t="shared" si="20"/>
        <v>-1.1167172559933564E-4</v>
      </c>
    </row>
    <row r="20" spans="1:62" s="1" customFormat="1">
      <c r="A20" s="785"/>
      <c r="B20" s="13" t="s">
        <v>495</v>
      </c>
      <c r="C20" s="69">
        <v>-859.16244400000005</v>
      </c>
      <c r="D20" s="69">
        <v>0.94644200000000001</v>
      </c>
      <c r="E20" s="69">
        <v>-13.908241</v>
      </c>
      <c r="F20" s="13"/>
      <c r="G20" s="69">
        <f>C20-zerox3</f>
        <v>-8.6390000000051259E-2</v>
      </c>
      <c r="H20" s="69">
        <f>D20-zeroy3</f>
        <v>2.5766999999999984E-2</v>
      </c>
      <c r="I20" s="69">
        <f>E20-zeroz3</f>
        <v>5.1417770000000012</v>
      </c>
      <c r="J20" s="68">
        <f>G20-pivot*(R10*3.1416/180)</f>
        <v>5.6637851999999489</v>
      </c>
      <c r="K20" s="69">
        <f>H20+pivot*(Q10*3.1416/180)</f>
        <v>2.5766999999999984E-2</v>
      </c>
      <c r="L20" s="70">
        <f>I20-radius*(R10*3.1416/180)</f>
        <v>7.7472368672666683</v>
      </c>
      <c r="M20" s="777">
        <v>14</v>
      </c>
      <c r="N20" s="777">
        <v>-5.66</v>
      </c>
      <c r="O20" s="778">
        <v>0</v>
      </c>
      <c r="P20" s="778">
        <v>-7.73</v>
      </c>
      <c r="Q20" s="778">
        <v>-0.17</v>
      </c>
      <c r="R20" s="778">
        <v>0</v>
      </c>
      <c r="S20" s="779">
        <v>0</v>
      </c>
      <c r="T20" s="780">
        <f t="shared" si="9"/>
        <v>14</v>
      </c>
      <c r="U20" s="781">
        <f>AVERAGE(J51:J53,J58:J60)</f>
        <v>-5.6230978333333157</v>
      </c>
      <c r="V20" s="781">
        <f>AVERAGE(K51:K53,K58:K60)</f>
        <v>-3.5342533333354208E-2</v>
      </c>
      <c r="W20" s="781">
        <f>AVERAGE(L51:L53,L58:L60)</f>
        <v>-7.7379343775777771</v>
      </c>
      <c r="X20" s="782">
        <f>AVERAGE(-0.1692,-0.1689)</f>
        <v>-0.16904999999999998</v>
      </c>
      <c r="Y20" s="782">
        <f>ATAN(180*AA20/1938/3.1416)</f>
        <v>1.090986904950687E-3</v>
      </c>
      <c r="Z20" s="782">
        <f>ATAN(180*(H51-H53)/878.1265/3.1416)</f>
        <v>-9.9306812665024102E-4</v>
      </c>
      <c r="AA20" s="783">
        <f t="shared" si="0"/>
        <v>3.6902166666684444E-2</v>
      </c>
      <c r="AB20" s="784">
        <f t="shared" si="1"/>
        <v>-3.5342533333354208E-2</v>
      </c>
      <c r="AC20" s="75">
        <f t="shared" si="10"/>
        <v>3.2560330164899703E-2</v>
      </c>
      <c r="AD20" s="784">
        <f t="shared" si="2"/>
        <v>-7.9343775777767078E-3</v>
      </c>
      <c r="AE20" s="75">
        <f t="shared" si="3"/>
        <v>2.0065622422223293E-2</v>
      </c>
      <c r="AF20" s="1008">
        <f t="shared" si="4"/>
        <v>9.5000000000003415E-4</v>
      </c>
      <c r="AG20" s="1008">
        <f t="shared" si="5"/>
        <v>1.090986904950687E-3</v>
      </c>
      <c r="AH20" s="1007">
        <f t="shared" si="11"/>
        <v>1.9416833144735247E-3</v>
      </c>
      <c r="AI20" s="481">
        <f t="shared" si="6"/>
        <v>-9.9306812665024102E-4</v>
      </c>
      <c r="AK20" s="430">
        <v>1</v>
      </c>
      <c r="AL20" s="6">
        <v>0</v>
      </c>
      <c r="AM20" s="79">
        <v>7.6</v>
      </c>
      <c r="AN20" s="1">
        <v>0</v>
      </c>
      <c r="AO20" s="1">
        <v>0</v>
      </c>
      <c r="AP20" s="1">
        <v>0</v>
      </c>
      <c r="AQ20" s="1">
        <v>0</v>
      </c>
      <c r="AR20" s="8"/>
      <c r="AS20" s="8">
        <v>-0.25687300000000002</v>
      </c>
      <c r="AT20" s="8">
        <v>866.60599200000001</v>
      </c>
      <c r="AU20" s="8">
        <v>-19.071282</v>
      </c>
      <c r="AW20" s="8">
        <f t="shared" si="21"/>
        <v>2.3826999999999987E-2</v>
      </c>
      <c r="AX20" s="75">
        <f t="shared" si="22"/>
        <v>7.5599919999999656</v>
      </c>
      <c r="AY20" s="8">
        <f t="shared" si="23"/>
        <v>-7.2820000000000107E-3</v>
      </c>
      <c r="AZ20" s="132">
        <f t="shared" si="24"/>
        <v>-4.0008000000034016E-2</v>
      </c>
      <c r="BA20" s="179"/>
      <c r="BB20" s="68">
        <f t="shared" si="15"/>
        <v>1.117700000000002E-2</v>
      </c>
      <c r="BC20" s="211">
        <f t="shared" si="16"/>
        <v>-1.556250000004411E-2</v>
      </c>
      <c r="BD20" s="1055">
        <f t="shared" si="17"/>
        <v>1.1869999999998271E-3</v>
      </c>
      <c r="BE20" s="147">
        <f>AF26</f>
        <v>-2.5565194327053617E-3</v>
      </c>
      <c r="BF20" s="147">
        <f t="shared" si="18"/>
        <v>-2.2565194327053618E-3</v>
      </c>
      <c r="BG20" s="147">
        <v>-9.7840118068188357E-4</v>
      </c>
      <c r="BH20" s="147">
        <f t="shared" si="19"/>
        <v>-1.2784011806818835E-3</v>
      </c>
      <c r="BI20" s="17">
        <v>2.4820186057934653E-4</v>
      </c>
      <c r="BJ20" s="18">
        <f t="shared" si="20"/>
        <v>1.4482018605793464E-3</v>
      </c>
    </row>
    <row r="21" spans="1:62" s="1" customFormat="1">
      <c r="A21" s="787"/>
      <c r="B21" s="788" t="s">
        <v>496</v>
      </c>
      <c r="C21" s="784">
        <v>864.74048100000005</v>
      </c>
      <c r="D21" s="784">
        <v>-5.790737</v>
      </c>
      <c r="E21" s="784">
        <v>-26.817435</v>
      </c>
      <c r="F21" s="788"/>
      <c r="G21" s="784">
        <f>C21-zerox1</f>
        <v>5.6640210000000479</v>
      </c>
      <c r="H21" s="784">
        <f>D21-zeroy1</f>
        <v>-5.790737</v>
      </c>
      <c r="I21" s="784">
        <f>E21-zeroz1</f>
        <v>-7.7674169999999982</v>
      </c>
      <c r="J21" s="783">
        <f>G21-pivot*(R11*3.1416/180)</f>
        <v>5.6640210000000479</v>
      </c>
      <c r="K21" s="784">
        <f>H21+pivot*(Q11*3.1416/180)</f>
        <v>-4.056179999999987E-2</v>
      </c>
      <c r="L21" s="784">
        <f>I21+radius*(R11*3.1416/180)</f>
        <v>-7.7674169999999982</v>
      </c>
      <c r="M21" s="777">
        <v>15</v>
      </c>
      <c r="N21" s="777">
        <v>-5.66</v>
      </c>
      <c r="O21" s="778">
        <v>0</v>
      </c>
      <c r="P21" s="778">
        <v>-7.73</v>
      </c>
      <c r="Q21" s="778">
        <v>0</v>
      </c>
      <c r="R21" s="778">
        <v>0.17</v>
      </c>
      <c r="S21" s="779">
        <v>0</v>
      </c>
      <c r="T21" s="780">
        <f t="shared" si="9"/>
        <v>15</v>
      </c>
      <c r="U21" s="781">
        <f>AVERAGE(J61:J63)</f>
        <v>-5.6207258666666178</v>
      </c>
      <c r="V21" s="781">
        <f>AVERAGE(K61:K63)</f>
        <v>-3.8954666666693817E-2</v>
      </c>
      <c r="W21" s="781">
        <f>AVERAGE(L61:L63)</f>
        <v>-7.7628869999999992</v>
      </c>
      <c r="X21" s="782">
        <f>ATAN(180*AB21/1938/3.1416)</f>
        <v>-1.1516675884132032E-3</v>
      </c>
      <c r="Y21" s="782">
        <v>0.16789999999999999</v>
      </c>
      <c r="Z21" s="782">
        <f>ATAN(180*(H61-H63)/878.1265/3.1416)</f>
        <v>-2.2452965953457036E-3</v>
      </c>
      <c r="AA21" s="783">
        <f t="shared" si="0"/>
        <v>3.9274133333382366E-2</v>
      </c>
      <c r="AB21" s="784">
        <f t="shared" si="1"/>
        <v>-3.8954666666693817E-2</v>
      </c>
      <c r="AC21" s="75">
        <f t="shared" si="10"/>
        <v>3.6592106674340097E-2</v>
      </c>
      <c r="AD21" s="784">
        <f t="shared" si="2"/>
        <v>-3.2886999999998778E-2</v>
      </c>
      <c r="AE21" s="75">
        <f t="shared" si="3"/>
        <v>-4.8869999999987777E-3</v>
      </c>
      <c r="AF21" s="1008">
        <f t="shared" si="4"/>
        <v>-1.1516675884132032E-3</v>
      </c>
      <c r="AG21" s="1008">
        <f t="shared" si="5"/>
        <v>-2.1000000000000185E-3</v>
      </c>
      <c r="AH21" s="1007">
        <f t="shared" si="11"/>
        <v>1.9460229365469504E-3</v>
      </c>
      <c r="AI21" s="481">
        <f t="shared" si="6"/>
        <v>-2.2452965953457036E-3</v>
      </c>
      <c r="AK21" s="430">
        <v>-0.25</v>
      </c>
      <c r="AL21" s="6">
        <v>0</v>
      </c>
      <c r="AM21" s="79">
        <v>-1.9</v>
      </c>
      <c r="AN21" s="1">
        <v>0</v>
      </c>
      <c r="AO21" s="1">
        <v>0</v>
      </c>
      <c r="AP21" s="1">
        <v>0</v>
      </c>
      <c r="AQ21" s="1">
        <v>0</v>
      </c>
      <c r="AR21" s="8"/>
      <c r="AS21" s="8">
        <v>-0.238237</v>
      </c>
      <c r="AT21" s="8">
        <v>857.17185400000005</v>
      </c>
      <c r="AU21" s="8">
        <v>-19.039024000000001</v>
      </c>
      <c r="AW21" s="8">
        <f t="shared" si="21"/>
        <v>4.2463000000000001E-2</v>
      </c>
      <c r="AX21" s="75">
        <f t="shared" si="22"/>
        <v>-1.8741459999999961</v>
      </c>
      <c r="AY21" s="8">
        <f t="shared" si="23"/>
        <v>2.4975999999998777E-2</v>
      </c>
      <c r="AZ21" s="132">
        <f t="shared" si="24"/>
        <v>2.5854000000003818E-2</v>
      </c>
      <c r="BA21" s="6"/>
      <c r="BB21" s="6"/>
      <c r="BE21" s="17">
        <f>AF29</f>
        <v>-4.0142213433322794E-3</v>
      </c>
      <c r="BF21" s="17">
        <f t="shared" si="18"/>
        <v>-3.7142213433322795E-3</v>
      </c>
      <c r="BG21" s="17">
        <v>-1.4156863536469038E-3</v>
      </c>
      <c r="BH21" s="17">
        <f t="shared" si="19"/>
        <v>-1.7156863536469038E-3</v>
      </c>
      <c r="BI21" s="17">
        <v>2.2220685660816783E-3</v>
      </c>
      <c r="BJ21" s="18">
        <f t="shared" si="20"/>
        <v>3.4220685660816784E-3</v>
      </c>
    </row>
    <row r="22" spans="1:62" s="1" customFormat="1">
      <c r="A22" s="787">
        <f>A19+1</f>
        <v>5</v>
      </c>
      <c r="B22" s="788" t="s">
        <v>497</v>
      </c>
      <c r="C22" s="784">
        <v>5.3912230000000001</v>
      </c>
      <c r="D22" s="784">
        <v>853.28348800000003</v>
      </c>
      <c r="E22" s="784">
        <v>-24.303647999999999</v>
      </c>
      <c r="F22" s="788"/>
      <c r="G22" s="784">
        <f>C22-zerox2</f>
        <v>5.6768850000000004</v>
      </c>
      <c r="H22" s="784">
        <f>D22-zeroy2</f>
        <v>-5.7929889999999205</v>
      </c>
      <c r="I22" s="784">
        <f>E22-zeroz2</f>
        <v>-5.2536299999999976</v>
      </c>
      <c r="J22" s="783">
        <f>G22-pivot*(R11*3.1416/180)</f>
        <v>5.6768850000000004</v>
      </c>
      <c r="K22" s="784">
        <f>H22+pivot*(Q11*3.1416/180)</f>
        <v>-4.2813799999920299E-2</v>
      </c>
      <c r="L22" s="784">
        <f>I22-radius*(Q11*3.1416/180)</f>
        <v>-7.8590898672666647</v>
      </c>
      <c r="M22" s="777">
        <v>16</v>
      </c>
      <c r="N22" s="777">
        <v>-5.66</v>
      </c>
      <c r="O22" s="778">
        <v>0</v>
      </c>
      <c r="P22" s="778">
        <v>-7.73</v>
      </c>
      <c r="Q22" s="778">
        <v>0</v>
      </c>
      <c r="R22" s="778">
        <v>-0.17</v>
      </c>
      <c r="S22" s="779">
        <v>0</v>
      </c>
      <c r="T22" s="780">
        <f t="shared" si="9"/>
        <v>16</v>
      </c>
      <c r="U22" s="781">
        <f>AVERAGE(J64:J66)</f>
        <v>-5.657725133333293</v>
      </c>
      <c r="V22" s="781">
        <f>AVERAGE(K64:K66)</f>
        <v>1.4033333331948719E-4</v>
      </c>
      <c r="W22" s="781">
        <f>AVERAGE(L64:L66)</f>
        <v>-7.7525129999999995</v>
      </c>
      <c r="X22" s="782">
        <f>ATAN(180*AB22/1938/3.1416)</f>
        <v>4.1488590928804988E-6</v>
      </c>
      <c r="Y22" s="782">
        <v>-0.17100000000000001</v>
      </c>
      <c r="Z22" s="782">
        <f>ATAN(180*(H64-H66)/878.1265/3.1416)</f>
        <v>2.9152544538555256E-3</v>
      </c>
      <c r="AA22" s="783">
        <f t="shared" si="0"/>
        <v>2.274866666707176E-3</v>
      </c>
      <c r="AB22" s="784">
        <f t="shared" si="1"/>
        <v>1.4033333331948719E-4</v>
      </c>
      <c r="AC22" s="75">
        <f t="shared" si="10"/>
        <v>1.8800763596047237E-2</v>
      </c>
      <c r="AD22" s="784">
        <f t="shared" si="2"/>
        <v>-2.2512999999999117E-2</v>
      </c>
      <c r="AE22" s="75">
        <f t="shared" si="3"/>
        <v>5.4870000000008835E-3</v>
      </c>
      <c r="AF22" s="1008">
        <f t="shared" si="4"/>
        <v>4.1488590928804988E-6</v>
      </c>
      <c r="AG22" s="1008">
        <f t="shared" si="5"/>
        <v>-1.0000000000000009E-3</v>
      </c>
      <c r="AH22" s="1007">
        <f t="shared" si="11"/>
        <v>3.5827038587444112E-4</v>
      </c>
      <c r="AI22" s="481">
        <f t="shared" si="6"/>
        <v>2.9152544538555256E-3</v>
      </c>
      <c r="AK22" s="430">
        <v>-0.5</v>
      </c>
      <c r="AL22" s="6">
        <v>0</v>
      </c>
      <c r="AM22" s="79">
        <v>-3.8</v>
      </c>
      <c r="AN22" s="1">
        <v>0</v>
      </c>
      <c r="AO22" s="1">
        <v>0</v>
      </c>
      <c r="AP22" s="1">
        <v>0</v>
      </c>
      <c r="AQ22" s="1">
        <v>0</v>
      </c>
      <c r="AR22" s="8"/>
      <c r="AS22" s="8">
        <v>-0.27530199999999999</v>
      </c>
      <c r="AT22" s="8">
        <v>855.251307</v>
      </c>
      <c r="AU22" s="8">
        <v>-19.062125999999999</v>
      </c>
      <c r="AW22" s="8">
        <f t="shared" si="21"/>
        <v>5.3980000000000139E-3</v>
      </c>
      <c r="AX22" s="75">
        <f t="shared" si="22"/>
        <v>-3.7946930000000521</v>
      </c>
      <c r="AY22" s="8">
        <f t="shared" si="23"/>
        <v>1.8740000000008195E-3</v>
      </c>
      <c r="AZ22" s="132">
        <f t="shared" si="24"/>
        <v>5.3069999999477702E-3</v>
      </c>
      <c r="BA22" s="6"/>
      <c r="BB22" s="6"/>
      <c r="BE22" s="17">
        <f>AF30</f>
        <v>-3.3266927414613611E-3</v>
      </c>
      <c r="BF22" s="17">
        <f t="shared" si="18"/>
        <v>-3.0266927414613612E-3</v>
      </c>
      <c r="BG22" s="17">
        <v>-1.4149472472131488E-3</v>
      </c>
      <c r="BH22" s="17">
        <f t="shared" si="19"/>
        <v>-1.7149472472131487E-3</v>
      </c>
      <c r="BI22" s="17">
        <v>-1.0928968440723525E-3</v>
      </c>
      <c r="BJ22" s="18">
        <f t="shared" si="20"/>
        <v>1.0710315592764742E-4</v>
      </c>
    </row>
    <row r="23" spans="1:62" s="1" customFormat="1">
      <c r="A23" s="787"/>
      <c r="B23" s="788" t="s">
        <v>498</v>
      </c>
      <c r="C23" s="784">
        <v>-853.42364099999998</v>
      </c>
      <c r="D23" s="784">
        <v>-4.868144</v>
      </c>
      <c r="E23" s="784">
        <v>-26.872781</v>
      </c>
      <c r="F23" s="788"/>
      <c r="G23" s="784">
        <f>C23-zerox3</f>
        <v>5.6524130000000241</v>
      </c>
      <c r="H23" s="784">
        <f>D23-zeroy3</f>
        <v>-5.7888190000000002</v>
      </c>
      <c r="I23" s="784">
        <f>E23-zeroz3</f>
        <v>-7.8227629999999984</v>
      </c>
      <c r="J23" s="783">
        <f>G23-pivot*(R11*3.1416/180)</f>
        <v>5.6524130000000241</v>
      </c>
      <c r="K23" s="784">
        <f>H23+pivot*(Q11*3.1416/180)</f>
        <v>-3.8643800000000006E-2</v>
      </c>
      <c r="L23" s="784">
        <f>I23-radius*(R11*3.1416/180)</f>
        <v>-7.8227629999999984</v>
      </c>
      <c r="M23" s="49">
        <v>17</v>
      </c>
      <c r="N23" s="49">
        <v>0</v>
      </c>
      <c r="O23" s="50">
        <v>5.66</v>
      </c>
      <c r="P23" s="50">
        <v>7.73</v>
      </c>
      <c r="Q23" s="50">
        <v>0.17</v>
      </c>
      <c r="R23" s="50">
        <v>0</v>
      </c>
      <c r="S23" s="766">
        <v>0</v>
      </c>
      <c r="T23" s="767">
        <f t="shared" si="9"/>
        <v>17</v>
      </c>
      <c r="U23" s="786">
        <f>AVERAGE(J67:J69)</f>
        <v>-3.3093999999997882E-2</v>
      </c>
      <c r="V23" s="786">
        <f>AVERAGE(K67:K69)</f>
        <v>5.584209533333321</v>
      </c>
      <c r="W23" s="786">
        <f>AVERAGE(L67:L69)</f>
        <v>7.7031397109111124</v>
      </c>
      <c r="X23" s="51">
        <v>0.17169999999999999</v>
      </c>
      <c r="Y23" s="51">
        <f>ATAN(180*AA23/1938/3.1416)</f>
        <v>-9.7840118068188357E-4</v>
      </c>
      <c r="Z23" s="51">
        <f>ATAN(180*(H67-H69)/878.1265/3.1416)</f>
        <v>-1.1233021877570563E-3</v>
      </c>
      <c r="AA23" s="7">
        <f t="shared" si="0"/>
        <v>-3.3093999999997882E-2</v>
      </c>
      <c r="AB23" s="8">
        <f t="shared" si="1"/>
        <v>-7.5790466666679102E-2</v>
      </c>
      <c r="AC23" s="75">
        <f t="shared" si="10"/>
        <v>7.2893153360831658E-2</v>
      </c>
      <c r="AD23" s="8">
        <f t="shared" si="2"/>
        <v>-2.6860289088888045E-2</v>
      </c>
      <c r="AE23" s="75">
        <f t="shared" si="3"/>
        <v>1.1397109111119554E-3</v>
      </c>
      <c r="AF23" s="17">
        <f t="shared" si="4"/>
        <v>1.6999999999999793E-3</v>
      </c>
      <c r="AG23" s="17">
        <f t="shared" si="5"/>
        <v>-9.7840118068188357E-4</v>
      </c>
      <c r="AH23" s="1007">
        <f t="shared" si="11"/>
        <v>1.5256169956463532E-3</v>
      </c>
      <c r="AI23" s="481">
        <f t="shared" si="6"/>
        <v>-1.1233021877570563E-3</v>
      </c>
      <c r="AK23" s="430">
        <v>-0.75</v>
      </c>
      <c r="AL23" s="6">
        <v>0</v>
      </c>
      <c r="AM23" s="79">
        <v>-5.6999999999999993</v>
      </c>
      <c r="AN23" s="1">
        <v>0</v>
      </c>
      <c r="AO23" s="1">
        <v>0</v>
      </c>
      <c r="AP23" s="1">
        <v>0</v>
      </c>
      <c r="AQ23" s="1">
        <v>0</v>
      </c>
      <c r="AR23" s="8"/>
      <c r="AS23" s="8">
        <v>-0.22835800000000001</v>
      </c>
      <c r="AT23" s="8">
        <v>853.36777900000004</v>
      </c>
      <c r="AU23" s="8">
        <v>-19.057109000000001</v>
      </c>
      <c r="AW23" s="8">
        <f t="shared" si="21"/>
        <v>5.2342E-2</v>
      </c>
      <c r="AX23" s="75">
        <f t="shared" si="22"/>
        <v>-5.6782210000000077</v>
      </c>
      <c r="AY23" s="8">
        <f t="shared" si="23"/>
        <v>6.8909999999995364E-3</v>
      </c>
      <c r="AZ23" s="132">
        <f t="shared" si="24"/>
        <v>2.1778999999991555E-2</v>
      </c>
      <c r="BA23" s="6"/>
      <c r="BB23" s="6"/>
      <c r="BE23" s="17">
        <f>AF33</f>
        <v>2.2416908401175096E-3</v>
      </c>
      <c r="BF23" s="17">
        <f t="shared" si="18"/>
        <v>2.5416908401175095E-3</v>
      </c>
      <c r="BG23" s="17">
        <v>9.4834415339128746E-4</v>
      </c>
      <c r="BH23" s="17">
        <f t="shared" si="19"/>
        <v>6.4834415339128744E-4</v>
      </c>
      <c r="BI23" s="17">
        <v>3.2154015559925965E-4</v>
      </c>
      <c r="BJ23" s="18">
        <f t="shared" si="20"/>
        <v>1.5215401555992597E-3</v>
      </c>
    </row>
    <row r="24" spans="1:62" s="1" customFormat="1">
      <c r="A24" s="789"/>
      <c r="B24" s="790" t="s">
        <v>499</v>
      </c>
      <c r="C24" s="791">
        <v>864.72937200000001</v>
      </c>
      <c r="D24" s="791">
        <v>5.7095320000000003</v>
      </c>
      <c r="E24" s="791">
        <v>-26.821494000000001</v>
      </c>
      <c r="F24" s="790"/>
      <c r="G24" s="791">
        <f>C24-zerox1</f>
        <v>5.6529120000000148</v>
      </c>
      <c r="H24" s="791">
        <f>D24-zeroy1</f>
        <v>5.7095320000000003</v>
      </c>
      <c r="I24" s="791">
        <f>E24-zeroz1</f>
        <v>-7.7714759999999998</v>
      </c>
      <c r="J24" s="792">
        <f>G24-pivot*(R12*3.1416/180)</f>
        <v>5.6529120000000148</v>
      </c>
      <c r="K24" s="791">
        <f>H24+pivot*(Q12*3.1416/180)</f>
        <v>-4.0643199999999879E-2</v>
      </c>
      <c r="L24" s="793">
        <f>I24+radius*(R12*3.1416/180)</f>
        <v>-7.7714759999999998</v>
      </c>
      <c r="M24" s="49">
        <v>18</v>
      </c>
      <c r="N24" s="49">
        <v>0</v>
      </c>
      <c r="O24" s="50">
        <v>5.66</v>
      </c>
      <c r="P24" s="50">
        <v>7.73</v>
      </c>
      <c r="Q24" s="50">
        <v>-0.17</v>
      </c>
      <c r="R24" s="50">
        <v>0</v>
      </c>
      <c r="S24" s="766">
        <v>0</v>
      </c>
      <c r="T24" s="767">
        <f t="shared" si="9"/>
        <v>18</v>
      </c>
      <c r="U24" s="786">
        <f>AVERAGE(J70:J72)</f>
        <v>-4.7884999999974386E-2</v>
      </c>
      <c r="V24" s="786">
        <f>AVERAGE(K70:K72)</f>
        <v>5.5609114666666679</v>
      </c>
      <c r="W24" s="786">
        <f>AVERAGE(L70:L72)</f>
        <v>7.7344889557555563</v>
      </c>
      <c r="X24" s="51">
        <v>-0.1699</v>
      </c>
      <c r="Y24" s="51">
        <f>ATAN(180*AA24/1938/3.1416)</f>
        <v>-1.4156863536469038E-3</v>
      </c>
      <c r="Z24" s="51">
        <f>ATAN(180*(H70-H72)/878.1265/3.1416)</f>
        <v>-9.39565419353618E-5</v>
      </c>
      <c r="AA24" s="7">
        <f t="shared" si="0"/>
        <v>-4.7884999999974386E-2</v>
      </c>
      <c r="AB24" s="8">
        <f t="shared" si="1"/>
        <v>-9.9088533333332229E-2</v>
      </c>
      <c r="AC24" s="75">
        <f t="shared" si="10"/>
        <v>0.10044501246858717</v>
      </c>
      <c r="AD24" s="8">
        <f t="shared" si="2"/>
        <v>4.4889557555558568E-3</v>
      </c>
      <c r="AE24" s="75">
        <f t="shared" si="3"/>
        <v>3.2488955755555854E-2</v>
      </c>
      <c r="AF24" s="17">
        <f t="shared" si="4"/>
        <v>1.0000000000001674E-4</v>
      </c>
      <c r="AG24" s="17">
        <f t="shared" si="5"/>
        <v>-1.4156863536469038E-3</v>
      </c>
      <c r="AH24" s="1007">
        <f t="shared" si="11"/>
        <v>7.2263888408830989E-4</v>
      </c>
      <c r="AI24" s="481">
        <f t="shared" si="6"/>
        <v>-9.39565419353618E-5</v>
      </c>
      <c r="AK24" s="430">
        <v>-1</v>
      </c>
      <c r="AL24" s="6">
        <v>0</v>
      </c>
      <c r="AM24" s="79">
        <v>-7.6</v>
      </c>
      <c r="AN24" s="1">
        <v>0</v>
      </c>
      <c r="AO24" s="1">
        <v>0</v>
      </c>
      <c r="AP24" s="1">
        <v>0</v>
      </c>
      <c r="AQ24" s="1">
        <v>0</v>
      </c>
      <c r="AR24" s="8"/>
      <c r="AS24" s="8">
        <v>-0.27945599999999998</v>
      </c>
      <c r="AT24" s="8">
        <v>851.45851200000004</v>
      </c>
      <c r="AU24" s="8">
        <v>-19.063027999999999</v>
      </c>
      <c r="AW24" s="8">
        <f t="shared" si="21"/>
        <v>1.2440000000000229E-3</v>
      </c>
      <c r="AX24" s="75">
        <f t="shared" si="22"/>
        <v>-7.5874880000000076</v>
      </c>
      <c r="AY24" s="8">
        <f t="shared" si="23"/>
        <v>9.7200000000086106E-4</v>
      </c>
      <c r="AZ24" s="132">
        <f t="shared" si="24"/>
        <v>1.2511999999992085E-2</v>
      </c>
      <c r="BA24" s="179"/>
      <c r="BB24" s="179"/>
      <c r="BC24" s="39"/>
      <c r="BD24" s="39"/>
      <c r="BE24" s="17">
        <f>AF34</f>
        <v>1.365141324795436E-3</v>
      </c>
      <c r="BF24" s="17">
        <f t="shared" si="18"/>
        <v>1.665141324795436E-3</v>
      </c>
      <c r="BG24" s="17">
        <v>6.5271103397677251E-4</v>
      </c>
      <c r="BH24" s="17">
        <f t="shared" si="19"/>
        <v>3.5271103397677253E-4</v>
      </c>
      <c r="BI24" s="17">
        <v>-7.5152170101422139E-4</v>
      </c>
      <c r="BJ24" s="18">
        <f t="shared" si="20"/>
        <v>4.484782989857785E-4</v>
      </c>
    </row>
    <row r="25" spans="1:62" s="1" customFormat="1">
      <c r="A25" s="787">
        <f>A22+1</f>
        <v>6</v>
      </c>
      <c r="B25" s="788" t="s">
        <v>500</v>
      </c>
      <c r="C25" s="784">
        <v>5.3861189999999999</v>
      </c>
      <c r="D25" s="784">
        <v>864.78180999999995</v>
      </c>
      <c r="E25" s="784">
        <v>-29.403026000000001</v>
      </c>
      <c r="F25" s="788"/>
      <c r="G25" s="784">
        <f>C25-zerox2</f>
        <v>5.6717810000000002</v>
      </c>
      <c r="H25" s="784">
        <f>D25-zeroy2</f>
        <v>5.705332999999996</v>
      </c>
      <c r="I25" s="784">
        <f>E25-zeroz2</f>
        <v>-10.353007999999999</v>
      </c>
      <c r="J25" s="783">
        <f>G25-pivot*(R12*3.1416/180)</f>
        <v>5.6717810000000002</v>
      </c>
      <c r="K25" s="784">
        <f>H25+pivot*(Q12*3.1416/180)</f>
        <v>-4.4842200000004162E-2</v>
      </c>
      <c r="L25" s="794">
        <f>I25-radius*(Q12*3.1416/180)</f>
        <v>-7.747548132733332</v>
      </c>
      <c r="M25" s="49">
        <v>19</v>
      </c>
      <c r="N25" s="49">
        <v>0</v>
      </c>
      <c r="O25" s="50">
        <v>5.66</v>
      </c>
      <c r="P25" s="50">
        <v>7.73</v>
      </c>
      <c r="Q25" s="50">
        <v>0</v>
      </c>
      <c r="R25" s="50">
        <v>0.17</v>
      </c>
      <c r="S25" s="766">
        <v>0</v>
      </c>
      <c r="T25" s="795">
        <f t="shared" si="9"/>
        <v>19</v>
      </c>
      <c r="U25" s="786"/>
      <c r="V25" s="786"/>
      <c r="W25" s="786"/>
      <c r="X25" s="51"/>
      <c r="Y25" s="51"/>
      <c r="Z25" s="51"/>
      <c r="AA25" s="7"/>
      <c r="AB25" s="8"/>
      <c r="AC25" s="75"/>
      <c r="AD25" s="8"/>
      <c r="AE25" s="75"/>
      <c r="AF25" s="17"/>
      <c r="AG25" s="17"/>
      <c r="AH25" s="1007"/>
      <c r="AI25" s="481"/>
      <c r="AK25" s="421" t="s">
        <v>71</v>
      </c>
      <c r="AL25" s="43" t="s">
        <v>75</v>
      </c>
      <c r="AM25" s="3"/>
      <c r="AN25" s="3"/>
      <c r="AO25" s="3"/>
      <c r="AP25" s="3"/>
      <c r="AQ25" s="3"/>
      <c r="AR25" s="8"/>
      <c r="AS25" s="8"/>
      <c r="AT25" s="8"/>
      <c r="AU25" s="8"/>
      <c r="AW25" s="8"/>
      <c r="AX25" s="8"/>
      <c r="AY25" s="8"/>
      <c r="AZ25" s="132"/>
      <c r="BA25" s="179"/>
      <c r="BB25" s="179"/>
      <c r="BC25" s="39"/>
      <c r="BD25" s="39"/>
      <c r="BE25" s="17">
        <f>AF37</f>
        <v>2.083148006765693E-3</v>
      </c>
      <c r="BF25" s="17">
        <f t="shared" si="18"/>
        <v>2.3831480067656929E-3</v>
      </c>
      <c r="BG25" s="17">
        <v>3.7347613921105883E-4</v>
      </c>
      <c r="BH25" s="17">
        <f t="shared" si="19"/>
        <v>7.3476139211058858E-5</v>
      </c>
      <c r="BI25" s="17">
        <v>-9.9306812665024102E-4</v>
      </c>
      <c r="BJ25" s="18">
        <f t="shared" si="20"/>
        <v>2.0693187334975887E-4</v>
      </c>
    </row>
    <row r="26" spans="1:62" s="1" customFormat="1">
      <c r="A26" s="796"/>
      <c r="B26" s="797" t="s">
        <v>501</v>
      </c>
      <c r="C26" s="798">
        <v>-853.426109</v>
      </c>
      <c r="D26" s="798">
        <v>6.6385040000000002</v>
      </c>
      <c r="E26" s="798">
        <v>-26.864953</v>
      </c>
      <c r="F26" s="797"/>
      <c r="G26" s="798">
        <f>C26-zerox3</f>
        <v>5.6499450000000024</v>
      </c>
      <c r="H26" s="798">
        <f>D26-zeroy3</f>
        <v>5.7178290000000001</v>
      </c>
      <c r="I26" s="798">
        <f>E26-zeroz3</f>
        <v>-7.8149349999999984</v>
      </c>
      <c r="J26" s="799">
        <f>G26-pivot*(R12*3.1416/180)</f>
        <v>5.6499450000000024</v>
      </c>
      <c r="K26" s="798">
        <f>H26+pivot*(Q12*3.1416/180)</f>
        <v>-3.2346200000000103E-2</v>
      </c>
      <c r="L26" s="800">
        <f>I26-radius*(R12*3.1416/180)</f>
        <v>-7.8149349999999984</v>
      </c>
      <c r="M26" s="49">
        <v>20</v>
      </c>
      <c r="N26" s="49">
        <v>0</v>
      </c>
      <c r="O26" s="50">
        <v>5.66</v>
      </c>
      <c r="P26" s="50">
        <v>7.73</v>
      </c>
      <c r="Q26" s="50">
        <v>0</v>
      </c>
      <c r="R26" s="50">
        <v>-0.17</v>
      </c>
      <c r="S26" s="766">
        <v>0</v>
      </c>
      <c r="T26" s="767">
        <f t="shared" si="9"/>
        <v>20</v>
      </c>
      <c r="U26" s="786">
        <f>AVERAGE(J76:J78)</f>
        <v>-6.9247799999992019E-2</v>
      </c>
      <c r="V26" s="786">
        <f>AVERAGE(K76:K78)</f>
        <v>5.5735266666666474</v>
      </c>
      <c r="W26" s="786">
        <f>AVERAGE(L76:L78)</f>
        <v>7.7202196666666678</v>
      </c>
      <c r="X26" s="51">
        <f>ATAN(180*AB26/1938/3.1416)</f>
        <v>-2.5565194327053617E-3</v>
      </c>
      <c r="Y26" s="51">
        <v>-0.17080000000000001</v>
      </c>
      <c r="Z26" s="51">
        <f>ATAN(180*(H76-H78)/878.1265/3.1416)</f>
        <v>-3.3237125583514504E-4</v>
      </c>
      <c r="AA26" s="7">
        <f t="shared" ref="AA26:AB30" si="25">U26-N26</f>
        <v>-6.9247799999992019E-2</v>
      </c>
      <c r="AB26" s="8">
        <f t="shared" si="25"/>
        <v>-8.647333333335272E-2</v>
      </c>
      <c r="AC26" s="75">
        <f t="shared" ref="AC26:AC30" si="26">SQRT((AA26-0.01)*(AA26-0.01)+(AB26--0.017)*(AB26--0.017))</f>
        <v>0.10538860398205241</v>
      </c>
      <c r="AD26" s="8">
        <f>W26-P26</f>
        <v>-9.7803333333326137E-3</v>
      </c>
      <c r="AE26" s="75">
        <f>AD26--0.028</f>
        <v>1.8219666666667387E-2</v>
      </c>
      <c r="AF26" s="17">
        <f t="shared" ref="AF26:AG30" si="27">X26-Q26</f>
        <v>-2.5565194327053617E-3</v>
      </c>
      <c r="AG26" s="17">
        <f t="shared" si="27"/>
        <v>-7.9999999999999516E-4</v>
      </c>
      <c r="AH26" s="1013">
        <f t="shared" ref="AH26:AH30" si="28">SQRT((AF26-0.0002)*(AF26-0.0002)+(AG26--0.0007)*(AG26--0.0007))</f>
        <v>2.7583327179443542E-3</v>
      </c>
      <c r="AI26" s="481">
        <f>Z26-S26</f>
        <v>-3.3237125583514504E-4</v>
      </c>
      <c r="AK26" s="422">
        <v>7.6</v>
      </c>
      <c r="AL26" s="341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8"/>
      <c r="AS26" s="8">
        <v>-0.270953</v>
      </c>
      <c r="AT26" s="8">
        <v>859.03078100000005</v>
      </c>
      <c r="AU26" s="8">
        <v>-19.071019</v>
      </c>
      <c r="AV26" s="8"/>
      <c r="AW26" s="75">
        <f>AS26--0.2684</f>
        <v>-2.552999999999972E-3</v>
      </c>
      <c r="AX26" s="8">
        <f>AT26-859.026</f>
        <v>4.781000000093627E-3</v>
      </c>
      <c r="AY26" s="8">
        <f>AU26--19.073</f>
        <v>1.9810000000006767E-3</v>
      </c>
      <c r="AZ26" s="132">
        <f>AW26-AL26</f>
        <v>-2.552999999999972E-3</v>
      </c>
      <c r="BA26" s="179"/>
      <c r="BB26" s="179"/>
      <c r="BC26" s="39"/>
      <c r="BD26" s="39"/>
      <c r="BE26" s="17">
        <f>AF38</f>
        <v>2.6902083520220963E-3</v>
      </c>
      <c r="BF26" s="17">
        <f t="shared" si="18"/>
        <v>2.9902083520220962E-3</v>
      </c>
      <c r="BG26" s="17"/>
      <c r="BH26" s="17"/>
      <c r="BI26" s="17">
        <v>-2.2452965953457036E-3</v>
      </c>
      <c r="BJ26" s="18">
        <f t="shared" si="20"/>
        <v>-1.0452965953457038E-3</v>
      </c>
    </row>
    <row r="27" spans="1:62" s="1" customFormat="1">
      <c r="A27" s="801"/>
      <c r="B27" s="788" t="s">
        <v>502</v>
      </c>
      <c r="C27" s="784">
        <v>870.48113999999998</v>
      </c>
      <c r="D27" s="784">
        <v>-7.3032E-2</v>
      </c>
      <c r="E27" s="784">
        <v>-29.398558000000001</v>
      </c>
      <c r="F27" s="788"/>
      <c r="G27" s="784">
        <f>C27-zerox1</f>
        <v>11.404679999999985</v>
      </c>
      <c r="H27" s="784">
        <f>D27-zeroy1</f>
        <v>-7.3032E-2</v>
      </c>
      <c r="I27" s="784">
        <f>E27-zeroz1</f>
        <v>-10.34854</v>
      </c>
      <c r="J27" s="783">
        <f>G27-pivot*(R13*3.1416/180)</f>
        <v>5.6545047999999847</v>
      </c>
      <c r="K27" s="784">
        <f>H27+pivot*(Q13*3.1416/180)</f>
        <v>-7.3032E-2</v>
      </c>
      <c r="L27" s="784">
        <f>I27+radius*(R13*3.1416/180)</f>
        <v>-7.7430801327333327</v>
      </c>
      <c r="M27" s="777">
        <v>21</v>
      </c>
      <c r="N27" s="777">
        <v>0</v>
      </c>
      <c r="O27" s="778">
        <v>5.66</v>
      </c>
      <c r="P27" s="778">
        <v>-7.73</v>
      </c>
      <c r="Q27" s="778">
        <v>0.17</v>
      </c>
      <c r="R27" s="778">
        <v>0</v>
      </c>
      <c r="S27" s="779">
        <v>0</v>
      </c>
      <c r="T27" s="780">
        <f t="shared" si="9"/>
        <v>21</v>
      </c>
      <c r="U27" s="781">
        <f>AVERAGE(J79:J81)</f>
        <v>-4.7859999999981438E-2</v>
      </c>
      <c r="V27" s="781">
        <f>AVERAGE(K79:K81)</f>
        <v>5.5481185333333114</v>
      </c>
      <c r="W27" s="781">
        <f>AVERAGE(L79:L81)</f>
        <v>-7.788219622422222</v>
      </c>
      <c r="X27" s="782">
        <v>0.17199999999999999</v>
      </c>
      <c r="Y27" s="782">
        <f>ATAN(180*AA27/1938/3.1416)</f>
        <v>-1.4149472472131488E-3</v>
      </c>
      <c r="Z27" s="782">
        <f>ATAN(180*(H79-H81)/878.1265/3.1416)</f>
        <v>-1.7800831091380736E-3</v>
      </c>
      <c r="AA27" s="802">
        <f t="shared" si="25"/>
        <v>-4.7859999999981438E-2</v>
      </c>
      <c r="AB27" s="803">
        <f t="shared" si="25"/>
        <v>-0.11188146666668874</v>
      </c>
      <c r="AC27" s="75">
        <f t="shared" si="26"/>
        <v>0.11113177905900642</v>
      </c>
      <c r="AD27" s="784">
        <f>W27-P27</f>
        <v>-5.8219622422221562E-2</v>
      </c>
      <c r="AE27" s="75">
        <f>AD27--0.028</f>
        <v>-3.0219622422221561E-2</v>
      </c>
      <c r="AF27" s="1008">
        <f t="shared" si="27"/>
        <v>1.999999999999974E-3</v>
      </c>
      <c r="AG27" s="1008">
        <f t="shared" si="27"/>
        <v>-1.4149472472131488E-3</v>
      </c>
      <c r="AH27" s="1007">
        <f t="shared" si="28"/>
        <v>1.9367884671015485E-3</v>
      </c>
      <c r="AI27" s="481">
        <f>Z27-S27</f>
        <v>-1.7800831091380736E-3</v>
      </c>
      <c r="AK27" s="430">
        <v>0.25</v>
      </c>
      <c r="AL27" s="342">
        <v>1.9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8"/>
      <c r="AS27" s="8">
        <v>1.6148629999999999</v>
      </c>
      <c r="AT27" s="8">
        <v>859.03915300000006</v>
      </c>
      <c r="AU27" s="8">
        <v>-19.072737</v>
      </c>
      <c r="AV27" s="8"/>
      <c r="AW27" s="75">
        <f t="shared" ref="AW27:AW34" si="29">AS27--0.2807</f>
        <v>1.8955629999999999</v>
      </c>
      <c r="AX27" s="8">
        <f t="shared" ref="AX27:AX34" si="30">AT27-859.046</f>
        <v>-6.8469999999933862E-3</v>
      </c>
      <c r="AY27" s="8">
        <f t="shared" ref="AY27:AY34" si="31">AU27--19.064</f>
        <v>-8.7369999999999948E-3</v>
      </c>
      <c r="AZ27" s="132">
        <f t="shared" ref="AZ27:AZ34" si="32">AW27-AL27</f>
        <v>-4.4370000000000243E-3</v>
      </c>
      <c r="BA27" s="179"/>
      <c r="BB27" s="179"/>
      <c r="BC27" s="39"/>
      <c r="BD27" s="39"/>
      <c r="BE27" s="17"/>
      <c r="BF27" s="17"/>
      <c r="BG27" s="17"/>
      <c r="BH27" s="17"/>
      <c r="BI27" s="17">
        <v>2.9152544538555256E-3</v>
      </c>
      <c r="BJ27" s="18">
        <f t="shared" si="20"/>
        <v>4.1152544538555257E-3</v>
      </c>
    </row>
    <row r="28" spans="1:62" s="1" customFormat="1">
      <c r="A28" s="801">
        <f>A25+1</f>
        <v>7</v>
      </c>
      <c r="B28" s="788" t="s">
        <v>503</v>
      </c>
      <c r="C28" s="784">
        <v>11.130304000000001</v>
      </c>
      <c r="D28" s="784">
        <v>859.030216</v>
      </c>
      <c r="E28" s="784">
        <v>-26.870211000000001</v>
      </c>
      <c r="F28" s="788"/>
      <c r="G28" s="784">
        <f>C28-zerox2</f>
        <v>11.415966000000001</v>
      </c>
      <c r="H28" s="784">
        <f>D28-zeroy2</f>
        <v>-4.6260999999958585E-2</v>
      </c>
      <c r="I28" s="784">
        <f>E28-zeroz2</f>
        <v>-7.8201929999999997</v>
      </c>
      <c r="J28" s="783">
        <f>G28-pivot*(R13*3.1416/180)</f>
        <v>5.6657908000000008</v>
      </c>
      <c r="K28" s="784">
        <f>H28+pivot*(Q13*3.1416/180)</f>
        <v>-4.6260999999958585E-2</v>
      </c>
      <c r="L28" s="784">
        <f>I28-radius*(Q13*3.1416/180)</f>
        <v>-7.8201929999999997</v>
      </c>
      <c r="M28" s="777">
        <v>22</v>
      </c>
      <c r="N28" s="777">
        <v>0</v>
      </c>
      <c r="O28" s="778">
        <v>5.66</v>
      </c>
      <c r="P28" s="778">
        <v>-7.73</v>
      </c>
      <c r="Q28" s="778">
        <v>-0.17</v>
      </c>
      <c r="R28" s="778">
        <v>0</v>
      </c>
      <c r="S28" s="779">
        <v>0</v>
      </c>
      <c r="T28" s="780">
        <f t="shared" si="9"/>
        <v>22</v>
      </c>
      <c r="U28" s="781">
        <f>AVERAGE(J85:J87)</f>
        <v>3.2077333333354219E-2</v>
      </c>
      <c r="V28" s="781">
        <f>AVERAGE(K85:K87)</f>
        <v>5.5816787999999713</v>
      </c>
      <c r="W28" s="781">
        <f>AVERAGE(L85:L87)</f>
        <v>-7.7281107109111096</v>
      </c>
      <c r="X28" s="782">
        <v>-0.16900000000000001</v>
      </c>
      <c r="Y28" s="782">
        <f>ATAN(180*AA28/1938/3.1416)</f>
        <v>9.4834415339128746E-4</v>
      </c>
      <c r="Z28" s="782">
        <f>ATAN(180*(H85-H87)/878.1265/3.1416)</f>
        <v>-3.6199209674149337E-3</v>
      </c>
      <c r="AA28" s="783">
        <f t="shared" si="25"/>
        <v>3.2077333333354219E-2</v>
      </c>
      <c r="AB28" s="784">
        <f t="shared" si="25"/>
        <v>-7.8321200000028846E-2</v>
      </c>
      <c r="AC28" s="75">
        <f t="shared" si="26"/>
        <v>6.517436778792389E-2</v>
      </c>
      <c r="AD28" s="784">
        <f>W28-P28</f>
        <v>1.8892890888908553E-3</v>
      </c>
      <c r="AE28" s="75">
        <f>AD28--0.028</f>
        <v>2.9889289088890856E-2</v>
      </c>
      <c r="AF28" s="1008">
        <f t="shared" si="27"/>
        <v>1.0000000000000009E-3</v>
      </c>
      <c r="AG28" s="1008">
        <f t="shared" si="27"/>
        <v>9.4834415339128746E-4</v>
      </c>
      <c r="AH28" s="1007">
        <f t="shared" si="28"/>
        <v>1.8322222703643905E-3</v>
      </c>
      <c r="AI28" s="481">
        <f>Z28-S28</f>
        <v>-3.6199209674149337E-3</v>
      </c>
      <c r="AK28" s="430">
        <v>0.5</v>
      </c>
      <c r="AL28" s="342">
        <v>3.8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8"/>
      <c r="AS28" s="8">
        <v>3.5164399999999998</v>
      </c>
      <c r="AT28" s="8">
        <v>859.02878399999997</v>
      </c>
      <c r="AU28" s="8">
        <v>-19.075143000000001</v>
      </c>
      <c r="AV28" s="8"/>
      <c r="AW28" s="75">
        <f t="shared" si="29"/>
        <v>3.7971399999999997</v>
      </c>
      <c r="AX28" s="8">
        <f t="shared" si="30"/>
        <v>-1.7216000000075837E-2</v>
      </c>
      <c r="AY28" s="8">
        <f t="shared" si="31"/>
        <v>-1.1143000000000569E-2</v>
      </c>
      <c r="AZ28" s="132">
        <f t="shared" si="32"/>
        <v>-2.8600000000000847E-3</v>
      </c>
      <c r="BA28" s="179"/>
      <c r="BB28" s="179"/>
      <c r="BC28" s="39"/>
      <c r="BD28" s="39"/>
      <c r="BE28" s="17"/>
      <c r="BF28" s="17"/>
      <c r="BG28" s="17"/>
      <c r="BH28" s="17"/>
      <c r="BI28" s="17">
        <v>-1.1233021877570563E-3</v>
      </c>
      <c r="BJ28" s="18">
        <f t="shared" si="20"/>
        <v>7.6697812242943614E-5</v>
      </c>
    </row>
    <row r="29" spans="1:62" s="1" customFormat="1">
      <c r="A29" s="801"/>
      <c r="B29" s="788" t="s">
        <v>504</v>
      </c>
      <c r="C29" s="784">
        <v>-847.69027500000004</v>
      </c>
      <c r="D29" s="784">
        <v>0.90356599999999998</v>
      </c>
      <c r="E29" s="784">
        <v>-24.330341000000001</v>
      </c>
      <c r="F29" s="788"/>
      <c r="G29" s="784">
        <f>C29-zerox3</f>
        <v>11.385778999999957</v>
      </c>
      <c r="H29" s="784">
        <f>D29-zeroy3</f>
        <v>-1.7109000000000041E-2</v>
      </c>
      <c r="I29" s="784">
        <f>E29-zeroz3</f>
        <v>-5.2803229999999992</v>
      </c>
      <c r="J29" s="783">
        <f>G29-pivot*(R13*3.1416/180)</f>
        <v>5.6356037999999566</v>
      </c>
      <c r="K29" s="784">
        <f>H29+pivot*(Q13*3.1416/180)</f>
        <v>-1.7109000000000041E-2</v>
      </c>
      <c r="L29" s="784">
        <f>I29-radius*(R13*3.1416/180)</f>
        <v>-7.8857828672666663</v>
      </c>
      <c r="M29" s="777">
        <v>23</v>
      </c>
      <c r="N29" s="777">
        <v>0</v>
      </c>
      <c r="O29" s="778">
        <v>5.66</v>
      </c>
      <c r="P29" s="778">
        <v>-7.73</v>
      </c>
      <c r="Q29" s="778">
        <v>0</v>
      </c>
      <c r="R29" s="778">
        <v>0.17</v>
      </c>
      <c r="S29" s="779">
        <v>0</v>
      </c>
      <c r="T29" s="780">
        <f t="shared" si="9"/>
        <v>23</v>
      </c>
      <c r="U29" s="781">
        <f>AVERAGE(J88:J90)</f>
        <v>-2.5925333333430465E-3</v>
      </c>
      <c r="V29" s="781">
        <f>AVERAGE(K88:K90)</f>
        <v>5.5242199999999757</v>
      </c>
      <c r="W29" s="781">
        <f>AVERAGE(L88:L90)</f>
        <v>-7.7808296666666656</v>
      </c>
      <c r="X29" s="782">
        <f>ATAN(180*AB29/1938/3.1416)</f>
        <v>-4.0142213433322794E-3</v>
      </c>
      <c r="Y29" s="782">
        <v>0.16900000000000001</v>
      </c>
      <c r="Z29" s="782">
        <f>ATAN(180*(H88-H90)/878.1265/3.1416)</f>
        <v>-4.002527324289783E-3</v>
      </c>
      <c r="AA29" s="783">
        <f t="shared" si="25"/>
        <v>-2.5925333333430465E-3</v>
      </c>
      <c r="AB29" s="784">
        <f t="shared" si="25"/>
        <v>-0.13578000000002444</v>
      </c>
      <c r="AC29" s="75">
        <f t="shared" si="26"/>
        <v>0.11944563740780641</v>
      </c>
      <c r="AD29" s="784">
        <f>W29-P29</f>
        <v>-5.0829666666665219E-2</v>
      </c>
      <c r="AE29" s="75">
        <f>AD29--0.028</f>
        <v>-2.2829666666665218E-2</v>
      </c>
      <c r="AF29" s="1008">
        <f t="shared" si="27"/>
        <v>-4.0142213433322794E-3</v>
      </c>
      <c r="AG29" s="1008">
        <f t="shared" si="27"/>
        <v>-1.0000000000000009E-3</v>
      </c>
      <c r="AH29" s="1013">
        <f t="shared" si="28"/>
        <v>4.2248859784137748E-3</v>
      </c>
      <c r="AI29" s="481">
        <f>Z29-S29</f>
        <v>-4.002527324289783E-3</v>
      </c>
      <c r="AK29" s="430">
        <v>0.75</v>
      </c>
      <c r="AL29" s="342">
        <v>5.6999999999999993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8"/>
      <c r="AS29" s="8">
        <v>5.4337910000000003</v>
      </c>
      <c r="AT29" s="8">
        <v>859.02486799999997</v>
      </c>
      <c r="AU29" s="8">
        <v>-19.077143</v>
      </c>
      <c r="AV29" s="8"/>
      <c r="AW29" s="75">
        <f t="shared" si="29"/>
        <v>5.7144910000000007</v>
      </c>
      <c r="AX29" s="8">
        <f t="shared" si="30"/>
        <v>-2.1132000000079643E-2</v>
      </c>
      <c r="AY29" s="8">
        <f t="shared" si="31"/>
        <v>-1.3142999999999461E-2</v>
      </c>
      <c r="AZ29" s="132">
        <f t="shared" si="32"/>
        <v>1.4491000000001364E-2</v>
      </c>
      <c r="BA29" s="179"/>
      <c r="BB29" s="179"/>
      <c r="BC29" s="39"/>
      <c r="BD29" s="39"/>
      <c r="BE29" s="17"/>
      <c r="BF29" s="17"/>
      <c r="BG29" s="17"/>
      <c r="BH29" s="17"/>
      <c r="BI29" s="17">
        <v>-9.39565419353618E-5</v>
      </c>
      <c r="BJ29" s="18">
        <f t="shared" si="20"/>
        <v>1.106043458064638E-3</v>
      </c>
    </row>
    <row r="30" spans="1:62" s="1" customFormat="1">
      <c r="A30" s="789"/>
      <c r="B30" s="790" t="s">
        <v>505</v>
      </c>
      <c r="C30" s="791">
        <v>858.99303699999996</v>
      </c>
      <c r="D30" s="791">
        <v>-3.8367999999999999E-2</v>
      </c>
      <c r="E30" s="791">
        <v>-24.269022</v>
      </c>
      <c r="F30" s="790"/>
      <c r="G30" s="791">
        <f>C30-zerox1</f>
        <v>-8.3423000000038883E-2</v>
      </c>
      <c r="H30" s="791">
        <f>D30-zeroy1</f>
        <v>-3.8367999999999999E-2</v>
      </c>
      <c r="I30" s="791">
        <f>E30-zeroz1</f>
        <v>-5.2190039999999982</v>
      </c>
      <c r="J30" s="792">
        <f>G30-pivot*(R14*3.1416/180)</f>
        <v>5.6667521999999613</v>
      </c>
      <c r="K30" s="791">
        <f>H30+pivot*(Q14*3.1416/180)</f>
        <v>-3.8367999999999999E-2</v>
      </c>
      <c r="L30" s="793">
        <f>I30+radius*(R14*3.1416/180)</f>
        <v>-7.8244638672666653</v>
      </c>
      <c r="M30" s="777">
        <v>24</v>
      </c>
      <c r="N30" s="777">
        <v>0</v>
      </c>
      <c r="O30" s="778">
        <v>5.66</v>
      </c>
      <c r="P30" s="778">
        <v>-7.73</v>
      </c>
      <c r="Q30" s="778">
        <v>0</v>
      </c>
      <c r="R30" s="778">
        <v>-0.17</v>
      </c>
      <c r="S30" s="779">
        <v>0</v>
      </c>
      <c r="T30" s="780">
        <f t="shared" si="9"/>
        <v>24</v>
      </c>
      <c r="U30" s="781">
        <f>AVERAGE(J91:J93)</f>
        <v>7.244533333330712E-3</v>
      </c>
      <c r="V30" s="781">
        <f>AVERAGE(K91:K93)</f>
        <v>5.5474756666666325</v>
      </c>
      <c r="W30" s="781">
        <f>AVERAGE(L91:L93)</f>
        <v>-7.7636109999999983</v>
      </c>
      <c r="X30" s="782">
        <f>ATAN(180*AB30/1938/3.1416)</f>
        <v>-3.3266927414613611E-3</v>
      </c>
      <c r="Y30" s="782">
        <v>-0.17180000000000001</v>
      </c>
      <c r="Z30" s="782">
        <f>ATAN(180*(H91-H93)/878.1265/3.1416)</f>
        <v>-1.0010283257854303E-3</v>
      </c>
      <c r="AA30" s="783">
        <f t="shared" si="25"/>
        <v>7.244533333330712E-3</v>
      </c>
      <c r="AB30" s="784">
        <f t="shared" si="25"/>
        <v>-0.11252433333336764</v>
      </c>
      <c r="AC30" s="75">
        <f t="shared" si="26"/>
        <v>9.556406675804173E-2</v>
      </c>
      <c r="AD30" s="784">
        <f>W30-P30</f>
        <v>-3.3610999999997837E-2</v>
      </c>
      <c r="AE30" s="75">
        <f>AD30--0.028</f>
        <v>-5.6109999999978365E-3</v>
      </c>
      <c r="AF30" s="1008">
        <f t="shared" si="27"/>
        <v>-3.3266927414613611E-3</v>
      </c>
      <c r="AG30" s="1008">
        <f t="shared" si="27"/>
        <v>-1.799999999999996E-3</v>
      </c>
      <c r="AH30" s="1013">
        <f t="shared" si="28"/>
        <v>3.6942606422227767E-3</v>
      </c>
      <c r="AI30" s="481">
        <f>Z30-S30</f>
        <v>-1.0010283257854303E-3</v>
      </c>
      <c r="AK30" s="430">
        <v>1</v>
      </c>
      <c r="AL30" s="342">
        <v>7.6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8"/>
      <c r="AS30" s="8">
        <v>7.334371</v>
      </c>
      <c r="AT30" s="8">
        <v>859.04325900000003</v>
      </c>
      <c r="AU30" s="8">
        <v>-19.063880999999999</v>
      </c>
      <c r="AV30" s="8"/>
      <c r="AW30" s="75">
        <f t="shared" si="29"/>
        <v>7.6150710000000004</v>
      </c>
      <c r="AX30" s="8">
        <f t="shared" si="30"/>
        <v>-2.7410000000145374E-3</v>
      </c>
      <c r="AY30" s="8">
        <f t="shared" si="31"/>
        <v>1.1900000000153454E-4</v>
      </c>
      <c r="AZ30" s="132">
        <f t="shared" si="32"/>
        <v>1.5071000000000723E-2</v>
      </c>
      <c r="BA30" s="179"/>
      <c r="BB30" s="179"/>
      <c r="BC30" s="39"/>
      <c r="BD30" s="39"/>
      <c r="BE30" s="17"/>
      <c r="BF30" s="17"/>
      <c r="BG30" s="17"/>
      <c r="BH30" s="17"/>
      <c r="BI30" s="17">
        <v>-3.3237125583514504E-4</v>
      </c>
      <c r="BJ30" s="18">
        <f t="shared" si="20"/>
        <v>8.676287441648548E-4</v>
      </c>
    </row>
    <row r="31" spans="1:62" s="1" customFormat="1">
      <c r="A31" s="787">
        <f>A28+1</f>
        <v>8</v>
      </c>
      <c r="B31" s="788" t="s">
        <v>506</v>
      </c>
      <c r="C31" s="784">
        <v>-0.37420100000000001</v>
      </c>
      <c r="D31" s="784">
        <v>859.05939799999999</v>
      </c>
      <c r="E31" s="784">
        <v>-26.831171999999999</v>
      </c>
      <c r="F31" s="788"/>
      <c r="G31" s="784">
        <f>C31-zerox2</f>
        <v>-8.8538999999999979E-2</v>
      </c>
      <c r="H31" s="784">
        <f>D31-zeroy2</f>
        <v>-1.7078999999966982E-2</v>
      </c>
      <c r="I31" s="784">
        <f>E31-zeroz2</f>
        <v>-7.7811539999999972</v>
      </c>
      <c r="J31" s="783">
        <f>G31-pivot*(R14*3.1416/180)</f>
        <v>5.6616362000000002</v>
      </c>
      <c r="K31" s="784">
        <f>H31+pivot*(Q14*3.1416/180)</f>
        <v>-1.7078999999966982E-2</v>
      </c>
      <c r="L31" s="794">
        <f>I31-radius*(Q14*3.1416/180)</f>
        <v>-7.7811539999999972</v>
      </c>
      <c r="M31" s="49">
        <v>25</v>
      </c>
      <c r="N31" s="49">
        <v>0</v>
      </c>
      <c r="O31" s="50">
        <v>-5.66</v>
      </c>
      <c r="P31" s="50">
        <v>7.73</v>
      </c>
      <c r="Q31" s="50">
        <v>0.17</v>
      </c>
      <c r="R31" s="50">
        <v>0</v>
      </c>
      <c r="S31" s="766">
        <v>0</v>
      </c>
      <c r="T31" s="795">
        <f t="shared" si="9"/>
        <v>25</v>
      </c>
      <c r="U31" s="786"/>
      <c r="V31" s="786"/>
      <c r="W31" s="786"/>
      <c r="X31" s="51"/>
      <c r="Y31" s="51"/>
      <c r="Z31" s="51"/>
      <c r="AA31" s="7"/>
      <c r="AB31" s="8"/>
      <c r="AC31" s="75"/>
      <c r="AD31" s="8"/>
      <c r="AE31" s="75"/>
      <c r="AF31" s="17"/>
      <c r="AG31" s="17"/>
      <c r="AH31" s="1007"/>
      <c r="AI31" s="481"/>
      <c r="AK31" s="430">
        <v>-0.25</v>
      </c>
      <c r="AL31" s="342">
        <v>-1.9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8"/>
      <c r="AS31" s="8">
        <v>-2.1665589999999999</v>
      </c>
      <c r="AT31" s="8">
        <v>859.03632300000004</v>
      </c>
      <c r="AU31" s="8">
        <v>-19.067592999999999</v>
      </c>
      <c r="AV31" s="8"/>
      <c r="AW31" s="75">
        <f t="shared" si="29"/>
        <v>-1.885859</v>
      </c>
      <c r="AX31" s="8">
        <f t="shared" si="30"/>
        <v>-9.6770000000105938E-3</v>
      </c>
      <c r="AY31" s="8">
        <f t="shared" si="31"/>
        <v>-3.5929999999986251E-3</v>
      </c>
      <c r="AZ31" s="132">
        <f t="shared" si="32"/>
        <v>1.4140999999999959E-2</v>
      </c>
      <c r="BA31" s="6"/>
      <c r="BB31" s="6"/>
      <c r="BE31" s="17"/>
      <c r="BF31" s="17"/>
      <c r="BG31" s="17"/>
      <c r="BH31" s="17"/>
      <c r="BI31" s="17">
        <v>-1.7800831091380736E-3</v>
      </c>
      <c r="BJ31" s="18">
        <f t="shared" si="20"/>
        <v>-5.800831091380737E-4</v>
      </c>
    </row>
    <row r="32" spans="1:62" s="1" customFormat="1">
      <c r="A32" s="796"/>
      <c r="B32" s="797" t="s">
        <v>507</v>
      </c>
      <c r="C32" s="798">
        <v>-859.16328199999998</v>
      </c>
      <c r="D32" s="798">
        <v>0.90241000000000005</v>
      </c>
      <c r="E32" s="798">
        <v>-29.395629</v>
      </c>
      <c r="F32" s="797"/>
      <c r="G32" s="798">
        <f>C32-zerox3</f>
        <v>-8.7227999999981876E-2</v>
      </c>
      <c r="H32" s="798">
        <f>D32-zeroy3</f>
        <v>-1.8264999999999976E-2</v>
      </c>
      <c r="I32" s="798">
        <f>E32-zeroz3</f>
        <v>-10.345610999999998</v>
      </c>
      <c r="J32" s="799">
        <f>G32-pivot*(R14*3.1416/180)</f>
        <v>5.6629472000000183</v>
      </c>
      <c r="K32" s="798">
        <f>H32+pivot*(Q14*3.1416/180)</f>
        <v>-1.8264999999999976E-2</v>
      </c>
      <c r="L32" s="800">
        <f>I32-radius*(R14*3.1416/180)</f>
        <v>-7.740151132733331</v>
      </c>
      <c r="M32" s="49">
        <v>26</v>
      </c>
      <c r="N32" s="49">
        <v>0</v>
      </c>
      <c r="O32" s="50">
        <v>-5.66</v>
      </c>
      <c r="P32" s="50">
        <v>7.73</v>
      </c>
      <c r="Q32" s="50">
        <v>-0.17</v>
      </c>
      <c r="R32" s="50">
        <v>0</v>
      </c>
      <c r="S32" s="766">
        <v>0</v>
      </c>
      <c r="T32" s="767">
        <f t="shared" si="9"/>
        <v>26</v>
      </c>
      <c r="U32" s="786">
        <f>AVERAGE(J97:J99)</f>
        <v>2.2077666666671381E-2</v>
      </c>
      <c r="V32" s="786">
        <f>AVERAGE(K97:K99)</f>
        <v>-5.5793362000000348</v>
      </c>
      <c r="W32" s="786">
        <f>AVERAGE(L97:L99)</f>
        <v>7.7473842890888891</v>
      </c>
      <c r="X32" s="51">
        <v>-0.16830000000000001</v>
      </c>
      <c r="Y32" s="51">
        <f>ATAN(180*AA32/1938/3.1416)</f>
        <v>6.5271103397677251E-4</v>
      </c>
      <c r="Z32" s="51">
        <f>ATAN(180*(H97-H99)/878.1265/3.1416)</f>
        <v>-2.0250217070439639E-3</v>
      </c>
      <c r="AA32" s="7">
        <f t="shared" ref="AA32:AB34" si="33">U32-N32</f>
        <v>2.2077666666671381E-2</v>
      </c>
      <c r="AB32" s="8">
        <f t="shared" si="33"/>
        <v>8.0663799999965313E-2</v>
      </c>
      <c r="AC32" s="75">
        <f t="shared" ref="AC32:AC34" si="34">SQRT((AA32-0.01)*(AA32-0.01)+(AB32--0.017)*(AB32--0.017))</f>
        <v>9.8407763222951319E-2</v>
      </c>
      <c r="AD32" s="8">
        <f>W32-P32</f>
        <v>1.7384289088888671E-2</v>
      </c>
      <c r="AE32" s="1005">
        <f>AD32--0.028</f>
        <v>4.5384289088888669E-2</v>
      </c>
      <c r="AF32" s="17">
        <f t="shared" ref="AF32:AG34" si="35">X32-Q32</f>
        <v>1.7000000000000071E-3</v>
      </c>
      <c r="AG32" s="17">
        <f t="shared" si="35"/>
        <v>6.5271103397677251E-4</v>
      </c>
      <c r="AH32" s="1007">
        <f t="shared" ref="AH32:AH33" si="36">SQRT((AF32-0.0002)*(AF32-0.0002)+(AG32--0.0007)*(AG32--0.0007))</f>
        <v>2.0198581983502037E-3</v>
      </c>
      <c r="AI32" s="481">
        <f>Z32-S32</f>
        <v>-2.0250217070439639E-3</v>
      </c>
      <c r="AK32" s="430">
        <v>-0.5</v>
      </c>
      <c r="AL32" s="342">
        <v>-3.8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8"/>
      <c r="AS32" s="8">
        <v>-4.0576040000000004</v>
      </c>
      <c r="AT32" s="8">
        <v>859.047729</v>
      </c>
      <c r="AU32" s="8">
        <v>-19.059049000000002</v>
      </c>
      <c r="AV32" s="8"/>
      <c r="AW32" s="75">
        <f t="shared" si="29"/>
        <v>-3.7769040000000005</v>
      </c>
      <c r="AX32" s="8">
        <f t="shared" si="30"/>
        <v>1.7289999999547945E-3</v>
      </c>
      <c r="AY32" s="8">
        <f t="shared" si="31"/>
        <v>4.9509999999983734E-3</v>
      </c>
      <c r="AZ32" s="132">
        <f t="shared" si="32"/>
        <v>2.3095999999999339E-2</v>
      </c>
      <c r="BA32" s="6"/>
      <c r="BB32" s="6"/>
      <c r="BE32" s="17"/>
      <c r="BF32" s="17"/>
      <c r="BG32" s="17"/>
      <c r="BH32" s="17"/>
      <c r="BI32" s="17">
        <v>-3.6199209674149337E-3</v>
      </c>
      <c r="BJ32" s="18">
        <f t="shared" si="20"/>
        <v>-2.4199209674149336E-3</v>
      </c>
    </row>
    <row r="33" spans="1:62" s="1" customFormat="1">
      <c r="A33" s="804"/>
      <c r="B33" s="48" t="s">
        <v>508</v>
      </c>
      <c r="C33" s="764">
        <v>859.09129099999996</v>
      </c>
      <c r="D33" s="764">
        <v>-1.3646E-2</v>
      </c>
      <c r="E33" s="764">
        <v>-19.075326</v>
      </c>
      <c r="F33" s="48"/>
      <c r="G33" s="764">
        <f>C33-zerox1</f>
        <v>1.4830999999958294E-2</v>
      </c>
      <c r="H33" s="764">
        <f>D33-zeroy1</f>
        <v>-1.3646E-2</v>
      </c>
      <c r="I33" s="764">
        <f>E33-zeroz1</f>
        <v>-2.5307999999998998E-2</v>
      </c>
      <c r="J33" s="805"/>
      <c r="K33" s="764"/>
      <c r="L33" s="764"/>
      <c r="M33" s="49">
        <v>27</v>
      </c>
      <c r="N33" s="49">
        <v>0</v>
      </c>
      <c r="O33" s="50">
        <v>-5.66</v>
      </c>
      <c r="P33" s="50">
        <v>7.73</v>
      </c>
      <c r="Q33" s="50">
        <v>0</v>
      </c>
      <c r="R33" s="50">
        <v>0.17</v>
      </c>
      <c r="S33" s="766">
        <v>0</v>
      </c>
      <c r="T33" s="767">
        <f t="shared" si="9"/>
        <v>27</v>
      </c>
      <c r="U33" s="786">
        <f>AVERAGE(J100:J102)</f>
        <v>2.5564133333325263E-2</v>
      </c>
      <c r="V33" s="786">
        <f>AVERAGE(K100:K102)</f>
        <v>-5.5841756666666997</v>
      </c>
      <c r="W33" s="786">
        <f>AVERAGE(L100:L102)</f>
        <v>7.7085313333333332</v>
      </c>
      <c r="X33" s="51">
        <f>ATAN(180*AB33/1938/3.1416)</f>
        <v>2.2416908401175096E-3</v>
      </c>
      <c r="Y33" s="51">
        <v>0.1668</v>
      </c>
      <c r="Z33" s="51">
        <f>ATAN(180*(H100-H102)/878.1265/3.1416)</f>
        <v>-2.3440156923847442E-3</v>
      </c>
      <c r="AA33" s="7">
        <f t="shared" si="33"/>
        <v>2.5564133333325263E-2</v>
      </c>
      <c r="AB33" s="8">
        <f t="shared" si="33"/>
        <v>7.5824333333300409E-2</v>
      </c>
      <c r="AC33" s="75">
        <f t="shared" si="34"/>
        <v>9.4120131242945007E-2</v>
      </c>
      <c r="AD33" s="8">
        <f>W33-P33</f>
        <v>-2.1468666666667247E-2</v>
      </c>
      <c r="AE33" s="75">
        <f>AD33--0.028</f>
        <v>6.531333333332754E-3</v>
      </c>
      <c r="AF33" s="17">
        <f t="shared" si="35"/>
        <v>2.2416908401175096E-3</v>
      </c>
      <c r="AG33" s="17">
        <f t="shared" si="35"/>
        <v>-3.2000000000000084E-3</v>
      </c>
      <c r="AH33" s="1013">
        <f t="shared" si="36"/>
        <v>3.2277703584083833E-3</v>
      </c>
      <c r="AI33" s="481">
        <f>Z33-S33</f>
        <v>-2.3440156923847442E-3</v>
      </c>
      <c r="AK33" s="430">
        <v>-0.75</v>
      </c>
      <c r="AL33" s="342">
        <v>-5.6999999999999993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8"/>
      <c r="AS33" s="8">
        <v>-5.9425150000000002</v>
      </c>
      <c r="AT33" s="8">
        <v>859.04867400000001</v>
      </c>
      <c r="AU33" s="8">
        <v>-19.057690999999998</v>
      </c>
      <c r="AV33" s="8"/>
      <c r="AW33" s="75">
        <f t="shared" si="29"/>
        <v>-5.6618149999999998</v>
      </c>
      <c r="AX33" s="8">
        <f t="shared" si="30"/>
        <v>2.6739999999563224E-3</v>
      </c>
      <c r="AY33" s="8">
        <f t="shared" si="31"/>
        <v>6.3090000000016744E-3</v>
      </c>
      <c r="AZ33" s="132">
        <f t="shared" si="32"/>
        <v>3.8184999999999469E-2</v>
      </c>
      <c r="BA33" s="6"/>
      <c r="BB33" s="6"/>
      <c r="BE33" s="17"/>
      <c r="BF33" s="17"/>
      <c r="BG33" s="17"/>
      <c r="BH33" s="17"/>
      <c r="BI33" s="17">
        <v>-4.002527324289783E-3</v>
      </c>
      <c r="BJ33" s="18">
        <f t="shared" si="20"/>
        <v>-2.8025273242897834E-3</v>
      </c>
    </row>
    <row r="34" spans="1:62" s="1" customFormat="1">
      <c r="A34" s="804" t="s">
        <v>24</v>
      </c>
      <c r="B34" s="48" t="s">
        <v>509</v>
      </c>
      <c r="C34" s="764">
        <v>-0.27654400000000001</v>
      </c>
      <c r="D34" s="764">
        <v>859.05905900000005</v>
      </c>
      <c r="E34" s="764">
        <v>-19.088484999999999</v>
      </c>
      <c r="F34" s="48"/>
      <c r="G34" s="764">
        <f>C34-zerox2</f>
        <v>9.118000000000015E-3</v>
      </c>
      <c r="H34" s="764">
        <f>D34-zeroy2</f>
        <v>-1.7417999999906897E-2</v>
      </c>
      <c r="I34" s="764">
        <f>E34-zeroz2</f>
        <v>-3.8466999999997142E-2</v>
      </c>
      <c r="J34" s="805"/>
      <c r="K34" s="764"/>
      <c r="L34" s="764"/>
      <c r="M34" s="49">
        <v>28</v>
      </c>
      <c r="N34" s="49">
        <v>0</v>
      </c>
      <c r="O34" s="50">
        <v>-5.66</v>
      </c>
      <c r="P34" s="50">
        <v>7.73</v>
      </c>
      <c r="Q34" s="50">
        <v>0</v>
      </c>
      <c r="R34" s="50">
        <v>-0.17</v>
      </c>
      <c r="S34" s="766">
        <v>0</v>
      </c>
      <c r="T34" s="767">
        <f t="shared" si="9"/>
        <v>28</v>
      </c>
      <c r="U34" s="786">
        <f>AVERAGE(J103:J105)</f>
        <v>8.2855333333545413E-3</v>
      </c>
      <c r="V34" s="786">
        <f>AVERAGE(K103:K105)</f>
        <v>-5.61382466666669</v>
      </c>
      <c r="W34" s="786">
        <f>AVERAGE(L103:L105)</f>
        <v>7.688918000000001</v>
      </c>
      <c r="X34" s="51">
        <f>ATAN(180*AB34/1938/3.1416)</f>
        <v>1.365141324795436E-3</v>
      </c>
      <c r="Y34" s="51">
        <v>-0.17319999999999999</v>
      </c>
      <c r="Z34" s="51">
        <f>ATAN(180*(H103-H105)/878.1265/3.1416)</f>
        <v>-7.1831069118667896E-4</v>
      </c>
      <c r="AA34" s="7">
        <f t="shared" si="33"/>
        <v>8.2855333333545413E-3</v>
      </c>
      <c r="AB34" s="8">
        <f t="shared" si="33"/>
        <v>4.6175333333310142E-2</v>
      </c>
      <c r="AC34" s="75">
        <f t="shared" si="34"/>
        <v>6.3198592846090224E-2</v>
      </c>
      <c r="AD34" s="8">
        <f>W34-P34</f>
        <v>-4.1081999999999397E-2</v>
      </c>
      <c r="AE34" s="75">
        <f>AD34--0.028</f>
        <v>-1.3081999999999396E-2</v>
      </c>
      <c r="AF34" s="17">
        <f t="shared" si="35"/>
        <v>1.365141324795436E-3</v>
      </c>
      <c r="AG34" s="17">
        <f t="shared" si="35"/>
        <v>-3.1999999999999806E-3</v>
      </c>
      <c r="AH34" s="1013">
        <f>SQRT((AF34-0.0002)*(AF34-0.0002)+(AG34--0.0007)*(AG34--0.0007))</f>
        <v>2.7581795276497081E-3</v>
      </c>
      <c r="AI34" s="481">
        <f>Z34-S34</f>
        <v>-7.1831069118667896E-4</v>
      </c>
      <c r="AK34" s="430">
        <v>-1</v>
      </c>
      <c r="AL34" s="343">
        <v>-7.6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8"/>
      <c r="AS34" s="8">
        <v>-7.8296219999999996</v>
      </c>
      <c r="AT34" s="8">
        <v>859.035166</v>
      </c>
      <c r="AU34" s="8">
        <v>-19.062598000000001</v>
      </c>
      <c r="AV34" s="8"/>
      <c r="AW34" s="75">
        <f t="shared" si="29"/>
        <v>-7.5489219999999992</v>
      </c>
      <c r="AX34" s="8">
        <f t="shared" si="30"/>
        <v>-1.0834000000045307E-2</v>
      </c>
      <c r="AY34" s="8">
        <f t="shared" si="31"/>
        <v>1.4019999999987931E-3</v>
      </c>
      <c r="AZ34" s="132">
        <f t="shared" si="32"/>
        <v>5.1078000000000401E-2</v>
      </c>
      <c r="BA34" s="6"/>
      <c r="BB34" s="6"/>
      <c r="BE34" s="17"/>
      <c r="BF34" s="17"/>
      <c r="BG34" s="17"/>
      <c r="BH34" s="17"/>
      <c r="BI34" s="17">
        <v>-1.0010283257854303E-3</v>
      </c>
      <c r="BJ34" s="18">
        <f t="shared" si="20"/>
        <v>1.9897167421456963E-4</v>
      </c>
    </row>
    <row r="35" spans="1:62" s="1" customFormat="1">
      <c r="A35" s="806">
        <f>STDEV(G33:G35,H33:H35,I33:I35)</f>
        <v>1.8038654772450056E-2</v>
      </c>
      <c r="B35" s="48" t="s">
        <v>510</v>
      </c>
      <c r="C35" s="764">
        <v>-859.08228099999997</v>
      </c>
      <c r="D35" s="764">
        <v>0.91525900000000004</v>
      </c>
      <c r="E35" s="764">
        <v>-19.083417000000001</v>
      </c>
      <c r="F35" s="48"/>
      <c r="G35" s="764">
        <f>C35-zerox3</f>
        <v>-6.2269999999671199E-3</v>
      </c>
      <c r="H35" s="764">
        <f>D35-zeroy3</f>
        <v>-5.4159999999999764E-3</v>
      </c>
      <c r="I35" s="764">
        <f>E35-zeroz3</f>
        <v>-3.339899999999929E-2</v>
      </c>
      <c r="J35" s="805"/>
      <c r="K35" s="764"/>
      <c r="L35" s="764"/>
      <c r="M35" s="777">
        <v>29</v>
      </c>
      <c r="N35" s="777">
        <v>0</v>
      </c>
      <c r="O35" s="778">
        <v>-5.66</v>
      </c>
      <c r="P35" s="778">
        <v>-7.73</v>
      </c>
      <c r="Q35" s="778">
        <v>0.17</v>
      </c>
      <c r="R35" s="778">
        <v>0</v>
      </c>
      <c r="S35" s="779">
        <v>0</v>
      </c>
      <c r="T35" s="807">
        <f t="shared" si="9"/>
        <v>29</v>
      </c>
      <c r="U35" s="781"/>
      <c r="V35" s="781"/>
      <c r="W35" s="781"/>
      <c r="X35" s="782"/>
      <c r="Y35" s="782"/>
      <c r="Z35" s="782"/>
      <c r="AA35" s="783"/>
      <c r="AB35" s="784"/>
      <c r="AC35" s="75"/>
      <c r="AD35" s="808"/>
      <c r="AE35" s="809"/>
      <c r="AF35" s="1008"/>
      <c r="AG35" s="1008"/>
      <c r="AH35" s="1007"/>
      <c r="AI35" s="481"/>
      <c r="AK35" s="2" t="s">
        <v>24</v>
      </c>
      <c r="AL35" s="2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20"/>
      <c r="AS35" s="120">
        <v>-0.28566200000000003</v>
      </c>
      <c r="AT35" s="120">
        <v>859.07647699999995</v>
      </c>
      <c r="AU35" s="120">
        <v>-19.050018000000001</v>
      </c>
      <c r="AV35" s="3"/>
      <c r="AW35" s="120"/>
      <c r="AX35" s="120"/>
      <c r="AY35" s="120"/>
      <c r="AZ35" s="136"/>
      <c r="BA35" s="6"/>
      <c r="BB35" s="6"/>
      <c r="BE35" s="17"/>
      <c r="BF35" s="17"/>
      <c r="BG35" s="17"/>
      <c r="BH35" s="17"/>
      <c r="BI35" s="17">
        <v>-2.0250217070439639E-3</v>
      </c>
      <c r="BJ35" s="18">
        <f t="shared" si="20"/>
        <v>-8.2502170704396396E-4</v>
      </c>
    </row>
    <row r="36" spans="1:62" s="1" customFormat="1">
      <c r="A36" s="353"/>
      <c r="B36" s="11" t="s">
        <v>511</v>
      </c>
      <c r="C36" s="66">
        <v>853.45958800000005</v>
      </c>
      <c r="D36" s="66">
        <v>-5.7633590000000003</v>
      </c>
      <c r="E36" s="66">
        <v>-11.355790000000001</v>
      </c>
      <c r="F36" s="11"/>
      <c r="G36" s="66">
        <f>C36-zerox12</f>
        <v>-5.6317029999999022</v>
      </c>
      <c r="H36" s="66">
        <f>D36-zeroy12</f>
        <v>-5.7497130000000007</v>
      </c>
      <c r="I36" s="66">
        <f>E36-zeroz12</f>
        <v>7.7195359999999997</v>
      </c>
      <c r="J36" s="165">
        <f>G36-pivot*(R15*3.1416/180)</f>
        <v>-5.6317029999999022</v>
      </c>
      <c r="K36" s="66">
        <f>H36+pivot*(Q15*3.1416/180)</f>
        <v>4.6219999999941308E-4</v>
      </c>
      <c r="L36" s="166">
        <f>I36+radius*(R15*3.1416/180)</f>
        <v>7.7195359999999997</v>
      </c>
      <c r="M36" s="777">
        <v>30</v>
      </c>
      <c r="N36" s="777">
        <v>0</v>
      </c>
      <c r="O36" s="778">
        <v>-5.66</v>
      </c>
      <c r="P36" s="778">
        <v>-7.73</v>
      </c>
      <c r="Q36" s="778">
        <v>-0.17</v>
      </c>
      <c r="R36" s="778">
        <v>0</v>
      </c>
      <c r="S36" s="779">
        <v>0</v>
      </c>
      <c r="T36" s="780">
        <f t="shared" si="9"/>
        <v>30</v>
      </c>
      <c r="U36" s="781">
        <f>AVERAGE(J109:J111)</f>
        <v>1.2632666666666237E-2</v>
      </c>
      <c r="V36" s="781">
        <f>AVERAGE(K109:K111)</f>
        <v>-5.5730588666666661</v>
      </c>
      <c r="W36" s="781">
        <f>AVERAGE(L109:L111)</f>
        <v>-7.7284510442444452</v>
      </c>
      <c r="X36" s="782">
        <v>-0.16900000000000001</v>
      </c>
      <c r="Y36" s="782">
        <f>ATAN(180*AA36/1938/3.1416)</f>
        <v>3.7347613921105883E-4</v>
      </c>
      <c r="Z36" s="782">
        <f>ATAN(180*(H109-H111)/878.1265/3.1416)</f>
        <v>1.9081637097489561E-3</v>
      </c>
      <c r="AA36" s="783">
        <f t="shared" ref="AA36:AB38" si="37">U36-N36</f>
        <v>1.2632666666666237E-2</v>
      </c>
      <c r="AB36" s="784">
        <f t="shared" si="37"/>
        <v>8.6941133333334086E-2</v>
      </c>
      <c r="AC36" s="75">
        <f t="shared" ref="AC36:AC37" si="38">SQRT((AA36-0.01)*(AA36-0.01)+(AB36--0.017)*(AB36--0.017))</f>
        <v>0.10397446865647215</v>
      </c>
      <c r="AD36" s="784">
        <f>W36-P36</f>
        <v>1.548955755555248E-3</v>
      </c>
      <c r="AE36" s="75">
        <f>AD36--0.028</f>
        <v>2.9548955755555249E-2</v>
      </c>
      <c r="AF36" s="1008">
        <f t="shared" ref="AF36:AG38" si="39">X36-Q36</f>
        <v>1.0000000000000009E-3</v>
      </c>
      <c r="AG36" s="1008">
        <f t="shared" si="39"/>
        <v>3.7347613921105883E-4</v>
      </c>
      <c r="AH36" s="1007">
        <f t="shared" ref="AH36:AH38" si="40">SQRT((AF36-0.0002)*(AF36-0.0002)+(AG36--0.0007)*(AG36--0.0007))</f>
        <v>1.3387871456865285E-3</v>
      </c>
      <c r="AI36" s="481">
        <f>Z36-S36</f>
        <v>1.9081637097489561E-3</v>
      </c>
      <c r="AR36" s="8"/>
      <c r="AS36" s="8"/>
      <c r="AT36" s="8"/>
      <c r="AU36" s="8"/>
      <c r="AW36" s="8"/>
      <c r="AX36" s="8"/>
      <c r="AY36" s="8"/>
      <c r="AZ36" s="66"/>
      <c r="BA36" s="6"/>
      <c r="BB36" s="6"/>
      <c r="BE36" s="17"/>
      <c r="BF36" s="17"/>
      <c r="BG36" s="17"/>
      <c r="BH36" s="17"/>
      <c r="BI36" s="17">
        <v>-2.3440156923847442E-3</v>
      </c>
      <c r="BJ36" s="18">
        <f t="shared" si="20"/>
        <v>-1.1440156923847443E-3</v>
      </c>
    </row>
    <row r="37" spans="1:62" s="1" customFormat="1">
      <c r="A37" s="354">
        <v>9</v>
      </c>
      <c r="B37" s="1" t="s">
        <v>512</v>
      </c>
      <c r="C37" s="8">
        <v>-5.9110250000000004</v>
      </c>
      <c r="D37" s="8">
        <v>853.30109000000004</v>
      </c>
      <c r="E37" s="8">
        <v>-8.8308230000000005</v>
      </c>
      <c r="G37" s="8">
        <f>C37-zerox22</f>
        <v>-5.6344810000000001</v>
      </c>
      <c r="H37" s="8">
        <f>D37-zeroy22</f>
        <v>-5.7579690000000028</v>
      </c>
      <c r="I37" s="8">
        <f>E37-zeroz22</f>
        <v>10.257661999999998</v>
      </c>
      <c r="J37" s="7">
        <f>G37-pivot*(R15*3.1416/180)</f>
        <v>-5.6344810000000001</v>
      </c>
      <c r="K37" s="8">
        <f>H37+pivot*(Q15*3.1416/180)</f>
        <v>-7.7938000000026264E-3</v>
      </c>
      <c r="L37" s="148">
        <f>I37-radius*(Q15*3.1416/180)</f>
        <v>7.6522021327333309</v>
      </c>
      <c r="M37" s="777">
        <v>31</v>
      </c>
      <c r="N37" s="777">
        <v>0</v>
      </c>
      <c r="O37" s="778">
        <v>-5.66</v>
      </c>
      <c r="P37" s="778">
        <v>-7.73</v>
      </c>
      <c r="Q37" s="778">
        <v>0</v>
      </c>
      <c r="R37" s="778">
        <v>0.17</v>
      </c>
      <c r="S37" s="779">
        <v>0</v>
      </c>
      <c r="T37" s="780">
        <f t="shared" si="9"/>
        <v>31</v>
      </c>
      <c r="U37" s="781">
        <f>AVERAGE(J112:J114)</f>
        <v>-3.9258666666738646E-3</v>
      </c>
      <c r="V37" s="781">
        <f>AVERAGE(K112:K114)</f>
        <v>-5.5895383333333113</v>
      </c>
      <c r="W37" s="781">
        <f>AVERAGE(L112:L114)</f>
        <v>-7.7694656666666679</v>
      </c>
      <c r="X37" s="782">
        <f>ATAN(180*AB37/1938/3.1416)</f>
        <v>2.083148006765693E-3</v>
      </c>
      <c r="Y37" s="782">
        <v>0.16800000000000001</v>
      </c>
      <c r="Z37" s="782">
        <f>ATAN(180*(H112-H114)/878.1265/3.1416)</f>
        <v>-6.0686784154913146E-4</v>
      </c>
      <c r="AA37" s="783">
        <f t="shared" si="37"/>
        <v>-3.9258666666738646E-3</v>
      </c>
      <c r="AB37" s="784">
        <f t="shared" si="37"/>
        <v>7.0461666666688849E-2</v>
      </c>
      <c r="AC37" s="75">
        <f t="shared" si="38"/>
        <v>8.85633835088349E-2</v>
      </c>
      <c r="AD37" s="803">
        <f>W37-P37</f>
        <v>-3.9465666666667509E-2</v>
      </c>
      <c r="AE37" s="186">
        <f>AD37--0.028</f>
        <v>-1.1465666666667509E-2</v>
      </c>
      <c r="AF37" s="1008">
        <f t="shared" si="39"/>
        <v>2.083148006765693E-3</v>
      </c>
      <c r="AG37" s="1008">
        <f t="shared" si="39"/>
        <v>-2.0000000000000018E-3</v>
      </c>
      <c r="AH37" s="1007">
        <f t="shared" si="40"/>
        <v>2.2882846010462959E-3</v>
      </c>
      <c r="AI37" s="481">
        <f>Z37-S37</f>
        <v>-6.0686784154913146E-4</v>
      </c>
      <c r="AK37" s="505" t="s">
        <v>652</v>
      </c>
      <c r="AL37" s="208"/>
      <c r="AM37" s="208"/>
      <c r="AN37" s="208"/>
      <c r="AO37" s="208"/>
      <c r="AP37" s="208"/>
      <c r="AQ37" s="208"/>
      <c r="AR37" s="438"/>
      <c r="AS37" s="438"/>
      <c r="AT37" s="438"/>
      <c r="AU37" s="438"/>
      <c r="AV37" s="11"/>
      <c r="AW37" s="66"/>
      <c r="AX37" s="66"/>
      <c r="AY37" s="66"/>
      <c r="AZ37" s="146"/>
      <c r="BA37" s="6"/>
      <c r="BB37" s="6"/>
      <c r="BE37" s="17"/>
      <c r="BF37" s="17"/>
      <c r="BG37" s="17"/>
      <c r="BH37" s="17"/>
      <c r="BI37" s="17">
        <v>-7.1831069118667896E-4</v>
      </c>
      <c r="BJ37" s="18">
        <f t="shared" si="20"/>
        <v>4.8168930881332093E-4</v>
      </c>
    </row>
    <row r="38" spans="1:62" s="1" customFormat="1">
      <c r="A38" s="785"/>
      <c r="B38" s="13" t="s">
        <v>513</v>
      </c>
      <c r="C38" s="69">
        <v>-864.70586300000002</v>
      </c>
      <c r="D38" s="69">
        <v>-4.8382579999999997</v>
      </c>
      <c r="E38" s="69">
        <v>-11.390306000000001</v>
      </c>
      <c r="F38" s="13"/>
      <c r="G38" s="69">
        <f>C38-zerox32</f>
        <v>-5.6235820000000558</v>
      </c>
      <c r="H38" s="69">
        <f>D38-zeroy32</f>
        <v>-5.7535169999999995</v>
      </c>
      <c r="I38" s="69">
        <f>E38-zeroz32</f>
        <v>7.693111</v>
      </c>
      <c r="J38" s="68">
        <f>G38-pivot*(R15*3.1416/180)</f>
        <v>-5.6235820000000558</v>
      </c>
      <c r="K38" s="69">
        <f>H38+pivot*(Q15*3.1416/180)</f>
        <v>-3.3417999999993953E-3</v>
      </c>
      <c r="L38" s="70">
        <f>I38-radius*(R15*3.1416/180)</f>
        <v>7.693111</v>
      </c>
      <c r="M38" s="810">
        <v>32</v>
      </c>
      <c r="N38" s="810">
        <v>0</v>
      </c>
      <c r="O38" s="811">
        <v>-5.66</v>
      </c>
      <c r="P38" s="811">
        <v>-7.73</v>
      </c>
      <c r="Q38" s="811">
        <v>0</v>
      </c>
      <c r="R38" s="811">
        <v>-0.17</v>
      </c>
      <c r="S38" s="812">
        <v>0</v>
      </c>
      <c r="T38" s="780">
        <f t="shared" si="9"/>
        <v>32</v>
      </c>
      <c r="U38" s="781">
        <f>AVERAGE(J115:J117)</f>
        <v>1.308986666667078E-2</v>
      </c>
      <c r="V38" s="781">
        <f>AVERAGE(K115:K117)</f>
        <v>-5.5690046666666433</v>
      </c>
      <c r="W38" s="781">
        <f>AVERAGE(L115:L117)</f>
        <v>-7.7293670000000008</v>
      </c>
      <c r="X38" s="782">
        <f>ATAN(180*AB38/1938/3.1416)</f>
        <v>2.6902083520220963E-3</v>
      </c>
      <c r="Y38" s="782">
        <v>-0.1719</v>
      </c>
      <c r="Z38" s="782">
        <f>ATAN(180*(H115-H117)/878.1265/3.1416)</f>
        <v>2.0079921530159685E-3</v>
      </c>
      <c r="AA38" s="783">
        <f t="shared" si="37"/>
        <v>1.308986666667078E-2</v>
      </c>
      <c r="AB38" s="784">
        <f t="shared" si="37"/>
        <v>9.0995333333356854E-2</v>
      </c>
      <c r="AC38" s="75">
        <f>SQRT((AA38-0.01)*(AA38-0.01)+(AB38--0.017)*(AB38--0.017))</f>
        <v>0.10803952655301977</v>
      </c>
      <c r="AD38" s="784">
        <f>W38-P38</f>
        <v>6.3299999999966161E-4</v>
      </c>
      <c r="AE38" s="75">
        <f>AD38--0.028</f>
        <v>2.8632999999999662E-2</v>
      </c>
      <c r="AF38" s="1008">
        <f t="shared" si="39"/>
        <v>2.6902083520220963E-3</v>
      </c>
      <c r="AG38" s="1008">
        <f t="shared" si="39"/>
        <v>-1.899999999999985E-3</v>
      </c>
      <c r="AH38" s="1013">
        <f t="shared" si="40"/>
        <v>2.7642607757736187E-3</v>
      </c>
      <c r="AI38" s="481">
        <f>Z38-S38</f>
        <v>2.0079921530159685E-3</v>
      </c>
      <c r="AK38" s="471" t="s">
        <v>275</v>
      </c>
      <c r="AL38" s="216"/>
      <c r="AM38" s="216"/>
      <c r="AN38" s="3"/>
      <c r="AO38" s="3"/>
      <c r="AP38" s="3"/>
      <c r="AQ38" s="4"/>
      <c r="AR38" s="8"/>
      <c r="AS38" s="1002"/>
      <c r="AT38" s="1002" t="s">
        <v>648</v>
      </c>
      <c r="AU38" s="759"/>
      <c r="AV38" s="758"/>
      <c r="AW38" s="8"/>
      <c r="AX38" s="8"/>
      <c r="AY38" s="8"/>
      <c r="AZ38" s="132"/>
      <c r="BA38" s="6"/>
      <c r="BB38" s="6"/>
      <c r="BE38" s="17"/>
      <c r="BF38" s="17"/>
      <c r="BG38" s="17"/>
      <c r="BH38" s="17"/>
      <c r="BI38" s="17">
        <v>1.9081637097489561E-3</v>
      </c>
      <c r="BJ38" s="18">
        <f t="shared" si="20"/>
        <v>3.1081637097489559E-3</v>
      </c>
    </row>
    <row r="39" spans="1:62" s="1" customFormat="1">
      <c r="A39" s="774"/>
      <c r="B39" s="1" t="s">
        <v>514</v>
      </c>
      <c r="C39" s="8">
        <v>853.45816200000002</v>
      </c>
      <c r="D39" s="8">
        <v>5.7515200000000002</v>
      </c>
      <c r="E39" s="8">
        <v>-11.338765</v>
      </c>
      <c r="G39" s="8">
        <f>C39-zerox12</f>
        <v>-5.6331289999999399</v>
      </c>
      <c r="H39" s="8">
        <f>D39-zeroy12</f>
        <v>5.7651659999999998</v>
      </c>
      <c r="I39" s="8">
        <f>E39-zeroz12</f>
        <v>7.736561</v>
      </c>
      <c r="J39" s="7">
        <f>G39-pivot*(R16*3.1416/180)</f>
        <v>-5.6331289999999399</v>
      </c>
      <c r="K39" s="8">
        <f>H39+pivot*(Q16*3.1416/180)</f>
        <v>1.4990799999999638E-2</v>
      </c>
      <c r="L39" s="8">
        <f>I39+radius*(R16*3.1416/180)</f>
        <v>7.736561</v>
      </c>
      <c r="M39" s="132"/>
      <c r="N39" s="8"/>
      <c r="O39" s="8"/>
      <c r="P39" s="8"/>
      <c r="Q39" s="8"/>
      <c r="R39" s="8"/>
      <c r="S39" s="128"/>
      <c r="T39" s="167" t="s">
        <v>515</v>
      </c>
      <c r="U39" s="161"/>
      <c r="V39" s="161"/>
      <c r="W39" s="161"/>
      <c r="X39" s="161"/>
      <c r="Y39" s="161"/>
      <c r="Z39" s="161"/>
      <c r="AA39" s="207">
        <f>AVERAGE(AA7:AA24,AA26:AA30,AA32:AA34,AA36:AA38)</f>
        <v>1.0134817241384779E-2</v>
      </c>
      <c r="AB39" s="207">
        <f>AVERAGE(AB7:AB24,AB26:AB30,AB32:AB34,AB36:AB38)</f>
        <v>-1.6814967816098675E-2</v>
      </c>
      <c r="AC39" s="415">
        <f>AVERAGE(AC7:AC24,AC26:AC30,AC32:AC34,AC36:AC38)</f>
        <v>5.8064050838651161E-2</v>
      </c>
      <c r="AD39" s="207">
        <f>AVERAGE(AD7:AD38)</f>
        <v>-2.8286382361685198E-2</v>
      </c>
      <c r="AE39" s="207">
        <f>AVERAGE(AE7:AE38)</f>
        <v>-2.8638236168519943E-4</v>
      </c>
      <c r="AF39" s="161">
        <f t="shared" ref="AF39:AG39" si="41">AVERAGE(AF7:AF24,AF26:AF30,AF32:AF34,AF36:AF38)</f>
        <v>1.7463024369873139E-4</v>
      </c>
      <c r="AG39" s="161">
        <f t="shared" si="41"/>
        <v>-6.9050205770061583E-4</v>
      </c>
      <c r="AH39" s="1014">
        <f>AVERAGE(AH7:AH38)</f>
        <v>1.8079958976296902E-3</v>
      </c>
      <c r="AI39" s="568">
        <f>AVERAGE(AI7:AI38)</f>
        <v>-1.1545574115220533E-3</v>
      </c>
      <c r="AK39" s="998" t="s">
        <v>647</v>
      </c>
      <c r="AL39" s="207"/>
      <c r="AM39" s="207"/>
      <c r="AN39" s="11"/>
      <c r="AO39" s="11"/>
      <c r="AP39" s="11"/>
      <c r="AQ39" s="86"/>
      <c r="AR39" s="8"/>
      <c r="AS39" s="165" t="s">
        <v>484</v>
      </c>
      <c r="AT39" s="66">
        <v>859.07751800000005</v>
      </c>
      <c r="AU39" s="66">
        <v>-4.2502999999999999E-2</v>
      </c>
      <c r="AV39" s="86">
        <v>-19.074154</v>
      </c>
      <c r="AW39" s="8"/>
      <c r="AX39" s="8"/>
      <c r="AY39" s="8"/>
      <c r="AZ39" s="132"/>
      <c r="BA39" s="6"/>
      <c r="BB39" s="6"/>
      <c r="BE39" s="17"/>
      <c r="BF39" s="17"/>
      <c r="BG39" s="17"/>
      <c r="BH39" s="17"/>
      <c r="BI39" s="17">
        <v>-6.0686784154913146E-4</v>
      </c>
      <c r="BJ39" s="18">
        <f t="shared" si="20"/>
        <v>5.9313215845086843E-4</v>
      </c>
    </row>
    <row r="40" spans="1:62" s="1" customFormat="1">
      <c r="A40" s="774">
        <f>A37+1</f>
        <v>10</v>
      </c>
      <c r="B40" s="1" t="s">
        <v>516</v>
      </c>
      <c r="C40" s="8">
        <v>-5.9184010000000002</v>
      </c>
      <c r="D40" s="8">
        <v>864.80003099999999</v>
      </c>
      <c r="E40" s="8">
        <v>-13.911299</v>
      </c>
      <c r="G40" s="8">
        <f>C40-zerox22</f>
        <v>-5.6418569999999999</v>
      </c>
      <c r="H40" s="8">
        <f>D40-zeroy22</f>
        <v>5.7409719999999425</v>
      </c>
      <c r="I40" s="8">
        <f>E40-zeroz22</f>
        <v>5.177185999999999</v>
      </c>
      <c r="J40" s="7">
        <f>G40-pivot*(R16*3.1416/180)</f>
        <v>-5.6418569999999999</v>
      </c>
      <c r="K40" s="8">
        <f>H40+pivot*(Q16*3.1416/180)</f>
        <v>-9.2032000000576986E-3</v>
      </c>
      <c r="L40" s="8">
        <f>I40-radius*(Q16*3.1416/180)</f>
        <v>7.7826458672666661</v>
      </c>
      <c r="M40" s="134"/>
      <c r="N40" s="13"/>
      <c r="O40" s="13"/>
      <c r="P40" s="13"/>
      <c r="Q40" s="13"/>
      <c r="R40" s="13"/>
      <c r="S40" s="13"/>
      <c r="T40" s="168" t="s">
        <v>103</v>
      </c>
      <c r="U40" s="164"/>
      <c r="V40" s="164"/>
      <c r="W40" s="164"/>
      <c r="X40" s="164"/>
      <c r="Y40" s="164"/>
      <c r="Z40" s="164"/>
      <c r="AA40" s="436"/>
      <c r="AB40" s="211"/>
      <c r="AC40" s="81">
        <f>STDEV(AC7:AC38)</f>
        <v>3.6056401264851115E-2</v>
      </c>
      <c r="AD40" s="211">
        <f>STDEV(AD7:AD38)</f>
        <v>2.7804547959821967E-2</v>
      </c>
      <c r="AE40" s="81">
        <f>STDEV(AE7:AE38)</f>
        <v>2.7804547959821974E-2</v>
      </c>
      <c r="AF40" s="212"/>
      <c r="AG40" s="212"/>
      <c r="AH40" s="164">
        <f>STDEV(AH7:AH38)</f>
        <v>9.5711750631280229E-4</v>
      </c>
      <c r="AI40" s="1012">
        <f>STDEV(AI7:AI38)</f>
        <v>2.043314909041037E-3</v>
      </c>
      <c r="AK40" s="995"/>
      <c r="AL40" s="262" t="s">
        <v>257</v>
      </c>
      <c r="AM40" s="262"/>
      <c r="AN40" s="13"/>
      <c r="AO40" s="13"/>
      <c r="AP40" s="13"/>
      <c r="AQ40" s="87"/>
      <c r="AR40" s="8"/>
      <c r="AS40" s="68" t="s">
        <v>485</v>
      </c>
      <c r="AT40" s="69">
        <v>-859.07577000000003</v>
      </c>
      <c r="AU40" s="69">
        <v>0.88609199999999999</v>
      </c>
      <c r="AV40" s="135">
        <v>-19.075368999999998</v>
      </c>
      <c r="AW40" s="8"/>
      <c r="AX40" s="8"/>
      <c r="AY40" s="8"/>
      <c r="AZ40" s="132"/>
      <c r="BA40" s="6"/>
      <c r="BB40" s="6"/>
      <c r="BE40" s="17"/>
      <c r="BF40" s="17"/>
      <c r="BG40" s="17"/>
      <c r="BH40" s="17"/>
      <c r="BI40" s="17">
        <v>2.0079921530159685E-3</v>
      </c>
      <c r="BJ40" s="18">
        <f t="shared" si="20"/>
        <v>3.2079921530159686E-3</v>
      </c>
    </row>
    <row r="41" spans="1:62" s="1" customFormat="1">
      <c r="A41" s="774"/>
      <c r="B41" s="1" t="s">
        <v>517</v>
      </c>
      <c r="C41" s="8">
        <v>-864.70532800000001</v>
      </c>
      <c r="D41" s="8">
        <v>6.646369</v>
      </c>
      <c r="E41" s="8">
        <v>-11.395408</v>
      </c>
      <c r="G41" s="8">
        <f>C41-zerox32</f>
        <v>-5.6230470000000423</v>
      </c>
      <c r="H41" s="8">
        <f>D41-zeroy32</f>
        <v>5.7311100000000001</v>
      </c>
      <c r="I41" s="8">
        <f>E41-zeroz32</f>
        <v>7.688009000000001</v>
      </c>
      <c r="J41" s="7">
        <f>G41-pivot*(R16*3.1416/180)</f>
        <v>-5.6230470000000423</v>
      </c>
      <c r="K41" s="8">
        <f>H41+pivot*(Q16*3.1416/180)</f>
        <v>-1.9065200000000004E-2</v>
      </c>
      <c r="L41" s="8">
        <f>I41-radius*(R16*3.1416/180)</f>
        <v>7.688009000000001</v>
      </c>
      <c r="M41" s="132"/>
      <c r="T41" s="128"/>
      <c r="Z41" s="17"/>
      <c r="AH41" s="440"/>
      <c r="AK41" s="27"/>
      <c r="AM41" s="1" t="s">
        <v>649</v>
      </c>
      <c r="AN41" s="50"/>
      <c r="AO41" s="50"/>
      <c r="AP41" s="1" t="s">
        <v>658</v>
      </c>
      <c r="AQ41" s="135"/>
      <c r="AS41" s="996" t="s">
        <v>660</v>
      </c>
      <c r="AT41" s="996"/>
      <c r="AU41" s="997"/>
      <c r="AV41" s="10" t="s">
        <v>650</v>
      </c>
      <c r="AW41" s="66"/>
      <c r="AX41" s="66"/>
      <c r="AY41" s="166"/>
      <c r="AZ41" s="624" t="s">
        <v>96</v>
      </c>
      <c r="BA41" s="6"/>
      <c r="BB41" s="12"/>
      <c r="BC41" s="13"/>
      <c r="BD41" s="13"/>
      <c r="BE41" s="19"/>
      <c r="BF41" s="19"/>
      <c r="BG41" s="19"/>
      <c r="BH41" s="19"/>
      <c r="BI41" s="19"/>
      <c r="BJ41" s="87"/>
    </row>
    <row r="42" spans="1:62" s="1" customFormat="1">
      <c r="A42" s="353"/>
      <c r="B42" s="11" t="s">
        <v>518</v>
      </c>
      <c r="C42" s="66">
        <v>859.21020499999997</v>
      </c>
      <c r="D42" s="66">
        <v>-3.0020999999999999E-2</v>
      </c>
      <c r="E42" s="66">
        <v>-13.895059</v>
      </c>
      <c r="F42" s="11"/>
      <c r="G42" s="66">
        <f>C42-zerox12</f>
        <v>0.11891400000001795</v>
      </c>
      <c r="H42" s="66">
        <f>D42-zeroy12</f>
        <v>-1.6375000000000001E-2</v>
      </c>
      <c r="I42" s="66">
        <f>E42-zeroz12</f>
        <v>5.1802670000000006</v>
      </c>
      <c r="J42" s="165">
        <f>G42-pivot*(R17*3.1416/180)</f>
        <v>-5.6312611999999822</v>
      </c>
      <c r="K42" s="66">
        <f>H42+pivot*(Q17*3.1416/180)</f>
        <v>-1.6375000000000001E-2</v>
      </c>
      <c r="L42" s="166">
        <f>I42+radius*(R17*3.1416/180)</f>
        <v>7.7857268672666677</v>
      </c>
      <c r="M42" s="27"/>
      <c r="N42" s="1043" t="s">
        <v>720</v>
      </c>
      <c r="O42" s="1044"/>
      <c r="P42" s="1044"/>
      <c r="Q42" s="1044"/>
      <c r="R42" s="1045"/>
      <c r="T42" s="813" t="s">
        <v>519</v>
      </c>
      <c r="U42" s="11"/>
      <c r="V42" s="11"/>
      <c r="W42" s="11"/>
      <c r="X42" s="11"/>
      <c r="Y42" s="11"/>
      <c r="Z42" s="16"/>
      <c r="AA42" s="11"/>
      <c r="AB42" s="11"/>
      <c r="AC42" s="11"/>
      <c r="AD42" s="11"/>
      <c r="AE42" s="11"/>
      <c r="AF42" s="11"/>
      <c r="AG42" s="11"/>
      <c r="AH42" s="460"/>
      <c r="AI42" s="86"/>
      <c r="AK42" s="999" t="s">
        <v>253</v>
      </c>
      <c r="AL42" s="918" t="s">
        <v>0</v>
      </c>
      <c r="AM42" s="918" t="s">
        <v>1</v>
      </c>
      <c r="AN42" s="918" t="s">
        <v>2</v>
      </c>
      <c r="AO42" s="918" t="s">
        <v>3</v>
      </c>
      <c r="AP42" s="918" t="s">
        <v>4</v>
      </c>
      <c r="AQ42" s="986" t="s">
        <v>5</v>
      </c>
      <c r="AS42" s="806" t="s">
        <v>0</v>
      </c>
      <c r="AT42" s="806" t="s">
        <v>1</v>
      </c>
      <c r="AU42" s="625" t="s">
        <v>2</v>
      </c>
      <c r="AV42" s="936"/>
      <c r="AW42" s="772" t="s">
        <v>3</v>
      </c>
      <c r="AX42" s="772" t="s">
        <v>4</v>
      </c>
      <c r="AY42" s="1000" t="s">
        <v>5</v>
      </c>
      <c r="AZ42" s="624" t="s">
        <v>198</v>
      </c>
      <c r="BA42" s="213" t="s">
        <v>696</v>
      </c>
      <c r="BB42" s="415">
        <f>BB13</f>
        <v>4.9527500000000002E-2</v>
      </c>
      <c r="BC42" s="415">
        <f>BC18</f>
        <v>-1.7292500000053224E-2</v>
      </c>
      <c r="BD42" s="1057">
        <f>BD14</f>
        <v>-1.3048500000000018E-2</v>
      </c>
      <c r="BE42" s="16"/>
      <c r="BF42" s="1014">
        <f>BF21</f>
        <v>-3.7142213433322795E-3</v>
      </c>
      <c r="BG42" s="16"/>
      <c r="BH42" s="1014">
        <f>BH21</f>
        <v>-1.7156863536469038E-3</v>
      </c>
      <c r="BI42" s="161"/>
      <c r="BJ42" s="1016">
        <f>BJ14</f>
        <v>-4.8605795018069678E-3</v>
      </c>
    </row>
    <row r="43" spans="1:62" s="1" customFormat="1">
      <c r="A43" s="354">
        <f>A40+1</f>
        <v>11</v>
      </c>
      <c r="B43" s="1" t="s">
        <v>520</v>
      </c>
      <c r="C43" s="8">
        <v>-0.13786899999999999</v>
      </c>
      <c r="D43" s="8">
        <v>859.06299200000001</v>
      </c>
      <c r="E43" s="8">
        <v>-11.344716999999999</v>
      </c>
      <c r="G43" s="8">
        <f>C43-zerox22</f>
        <v>0.13867500000000002</v>
      </c>
      <c r="H43" s="8">
        <f>D43-zeroy22</f>
        <v>3.9329999999608845E-3</v>
      </c>
      <c r="I43" s="8">
        <f>E43-zeroz22</f>
        <v>7.7437679999999993</v>
      </c>
      <c r="J43" s="7">
        <f>G43-pivot*(R17*3.1416/180)</f>
        <v>-5.6115002</v>
      </c>
      <c r="K43" s="8">
        <f>H43+pivot*(Q17*3.1416/180)</f>
        <v>3.9329999999608845E-3</v>
      </c>
      <c r="L43" s="148">
        <f>I43-radius*(Q17*3.1416/180)</f>
        <v>7.7437679999999993</v>
      </c>
      <c r="M43" s="27"/>
      <c r="N43" s="392" t="s">
        <v>521</v>
      </c>
      <c r="O43" s="1046" t="s">
        <v>522</v>
      </c>
      <c r="P43" s="1046"/>
      <c r="Q43" s="1046">
        <v>1938</v>
      </c>
      <c r="R43" s="1047" t="s">
        <v>7</v>
      </c>
      <c r="T43" s="127" t="s">
        <v>523</v>
      </c>
      <c r="U43" s="1" t="s">
        <v>524</v>
      </c>
      <c r="Z43" s="17"/>
      <c r="AH43" s="50"/>
      <c r="AI43" s="135"/>
      <c r="AK43" s="133"/>
      <c r="AL43" s="3"/>
      <c r="AM43" s="3"/>
      <c r="AN43" s="3"/>
      <c r="AO43" s="83">
        <v>0</v>
      </c>
      <c r="AP43" s="3"/>
      <c r="AQ43" s="4"/>
      <c r="AS43" s="120">
        <v>1.3949999998885687E-4</v>
      </c>
      <c r="AT43" s="156">
        <v>-5.0000000000050004E-7</v>
      </c>
      <c r="AU43" s="120">
        <v>-1.4349999999989649E-3</v>
      </c>
      <c r="AV43" s="3"/>
      <c r="AW43" s="156">
        <f t="shared" ref="AW43:AW51" si="42">-180*AT43/pivot/3.1416</f>
        <v>1.4782158289730894E-8</v>
      </c>
      <c r="AX43" s="120"/>
      <c r="AY43" s="120"/>
      <c r="AZ43" s="246">
        <f>AW43-AO43</f>
        <v>1.4782158289730894E-8</v>
      </c>
      <c r="BA43" s="217" t="s">
        <v>697</v>
      </c>
      <c r="BB43" s="211">
        <f>AVERAGE(BB12:BB40)</f>
        <v>2.431616666666668E-2</v>
      </c>
      <c r="BC43" s="211">
        <f t="shared" ref="BC43:BE43" si="43">AVERAGE(BC12:BC40)</f>
        <v>-1.2015833333363288E-2</v>
      </c>
      <c r="BD43" s="1055">
        <f t="shared" si="43"/>
        <v>1.8261111111112565E-3</v>
      </c>
      <c r="BE43" s="19">
        <f t="shared" si="43"/>
        <v>-3.2571486218245179E-4</v>
      </c>
      <c r="BF43" s="19">
        <f t="shared" ref="BF43" si="44">AVERAGE(BF12:BF40)</f>
        <v>-2.5714862182451855E-5</v>
      </c>
      <c r="BG43" s="19">
        <f t="shared" ref="BG43:BI43" si="45">AVERAGE(BG12:BG40)</f>
        <v>3.1967430904872356E-4</v>
      </c>
      <c r="BH43" s="19">
        <f t="shared" si="45"/>
        <v>1.9674309048723643E-5</v>
      </c>
      <c r="BI43" s="19">
        <f t="shared" si="45"/>
        <v>-1.1545574115220533E-3</v>
      </c>
      <c r="BJ43" s="20">
        <f>AVERAGE(BJ12:BJ40)</f>
        <v>4.5442588477946531E-5</v>
      </c>
    </row>
    <row r="44" spans="1:62" s="1" customFormat="1">
      <c r="A44" s="785"/>
      <c r="B44" s="13" t="s">
        <v>525</v>
      </c>
      <c r="C44" s="69">
        <v>-858.94245699999999</v>
      </c>
      <c r="D44" s="69">
        <v>0.91563399999999995</v>
      </c>
      <c r="E44" s="69">
        <v>-8.8246839999999995</v>
      </c>
      <c r="F44" s="13"/>
      <c r="G44" s="69">
        <f>C44-zerox32</f>
        <v>0.13982399999997597</v>
      </c>
      <c r="H44" s="69">
        <f>D44-zeroy32</f>
        <v>3.7499999999990319E-4</v>
      </c>
      <c r="I44" s="69">
        <f>E44-zeroz32</f>
        <v>10.258733000000001</v>
      </c>
      <c r="J44" s="68">
        <f>G44-pivot*(R17*3.1416/180)</f>
        <v>-5.6103512000000242</v>
      </c>
      <c r="K44" s="69">
        <f>H44+pivot*(Q17*3.1416/180)</f>
        <v>3.7499999999990319E-4</v>
      </c>
      <c r="L44" s="70">
        <f>I44-radius*(R17*3.1416/180)</f>
        <v>7.6532731327333341</v>
      </c>
      <c r="M44" s="27"/>
      <c r="N44" s="1048"/>
      <c r="O44" s="1035" t="s">
        <v>526</v>
      </c>
      <c r="P44" s="1035"/>
      <c r="Q44" s="1035">
        <v>0.17</v>
      </c>
      <c r="R44" s="1049" t="s">
        <v>198</v>
      </c>
      <c r="T44" s="126"/>
      <c r="U44" s="13" t="s">
        <v>527</v>
      </c>
      <c r="V44" s="13"/>
      <c r="W44" s="13"/>
      <c r="X44" s="13"/>
      <c r="Y44" s="13"/>
      <c r="Z44" s="19"/>
      <c r="AA44" s="13"/>
      <c r="AB44" s="13"/>
      <c r="AC44" s="13"/>
      <c r="AD44" s="13"/>
      <c r="AE44" s="13"/>
      <c r="AF44" s="13"/>
      <c r="AG44" s="13"/>
      <c r="AH44" s="262"/>
      <c r="AI44" s="87"/>
      <c r="AK44" s="994">
        <v>0.25</v>
      </c>
      <c r="AO44" s="79">
        <f>0.24*0.25</f>
        <v>0.06</v>
      </c>
      <c r="AQ44" s="135"/>
      <c r="AS44" s="8">
        <v>7.5874999999996362E-3</v>
      </c>
      <c r="AT44" s="75">
        <v>-2.01641</v>
      </c>
      <c r="AU44" s="8">
        <v>-1.4599999999980184E-3</v>
      </c>
      <c r="AW44" s="75">
        <f>-180*AT44/pivot/3.1416</f>
        <v>5.9613783593932927E-2</v>
      </c>
      <c r="AX44" s="8"/>
      <c r="AY44" s="8"/>
      <c r="AZ44" s="65">
        <f t="shared" ref="AZ44:AZ51" si="46">AW44-AO44</f>
        <v>-3.8621640606707058E-4</v>
      </c>
      <c r="BA44" s="217" t="s">
        <v>698</v>
      </c>
      <c r="BB44" s="81">
        <f>STDEV(BB12:BB40)</f>
        <v>1.7769829701631917E-2</v>
      </c>
      <c r="BC44" s="81">
        <f t="shared" ref="BC44:BE44" si="47">STDEV(BC12:BC40)</f>
        <v>4.2496042757005541E-3</v>
      </c>
      <c r="BD44" s="482">
        <f t="shared" si="47"/>
        <v>7.5302206299756201E-3</v>
      </c>
      <c r="BE44" s="164">
        <f t="shared" si="47"/>
        <v>1.9716551819235965E-3</v>
      </c>
      <c r="BF44" s="1038">
        <f t="shared" ref="BF44:BI44" si="48">STDEV(BF12:BF40)</f>
        <v>1.9716551819235965E-3</v>
      </c>
      <c r="BG44" s="164">
        <f t="shared" si="48"/>
        <v>9.5990047194428484E-4</v>
      </c>
      <c r="BH44" s="1038">
        <f t="shared" si="48"/>
        <v>9.5990047194428484E-4</v>
      </c>
      <c r="BI44" s="19">
        <f t="shared" si="48"/>
        <v>2.043314909041037E-3</v>
      </c>
      <c r="BJ44" s="1012">
        <f t="shared" ref="BJ44" si="49">STDEV(BJ12:BJ40)</f>
        <v>2.0433149090410365E-3</v>
      </c>
    </row>
    <row r="45" spans="1:62" s="1" customFormat="1">
      <c r="A45" s="774"/>
      <c r="B45" s="1" t="s">
        <v>528</v>
      </c>
      <c r="C45" s="8">
        <v>847.72489399999995</v>
      </c>
      <c r="D45" s="8">
        <v>-2.7813000000000001E-2</v>
      </c>
      <c r="E45" s="8">
        <v>-8.7943409999999993</v>
      </c>
      <c r="G45" s="8">
        <f>C45-zerox12</f>
        <v>-11.366397000000006</v>
      </c>
      <c r="H45" s="8">
        <f>D45-zeroy12</f>
        <v>-1.4167000000000001E-2</v>
      </c>
      <c r="I45" s="8">
        <f>E45-zeroz12</f>
        <v>10.280985000000001</v>
      </c>
      <c r="J45" s="7">
        <f>G45-pivot*(R18*3.1416/180)</f>
        <v>-5.6162218000000061</v>
      </c>
      <c r="K45" s="8">
        <f>H45+pivot*(Q18*3.1416/180)</f>
        <v>-1.4167000000000001E-2</v>
      </c>
      <c r="L45" s="8">
        <f>I45+radius*(R18*3.1416/180)</f>
        <v>7.675525132733334</v>
      </c>
      <c r="M45" s="27"/>
      <c r="N45" s="1050" t="s">
        <v>529</v>
      </c>
      <c r="O45" s="1051"/>
      <c r="P45" s="1051"/>
      <c r="Q45" s="1051">
        <f>Q43*(Q44*3.1416/180)</f>
        <v>5.7501752000000002</v>
      </c>
      <c r="R45" s="1052" t="s">
        <v>7</v>
      </c>
      <c r="T45" s="813" t="s">
        <v>530</v>
      </c>
      <c r="U45" s="11"/>
      <c r="V45" s="11"/>
      <c r="W45" s="11"/>
      <c r="X45" s="11"/>
      <c r="Y45" s="11"/>
      <c r="Z45" s="16"/>
      <c r="AA45" s="11"/>
      <c r="AB45" s="11"/>
      <c r="AC45" s="11"/>
      <c r="AD45" s="11"/>
      <c r="AE45" s="11"/>
      <c r="AF45" s="11"/>
      <c r="AG45" s="11"/>
      <c r="AH45" s="814"/>
      <c r="AI45" s="86"/>
      <c r="AJ45" s="6"/>
      <c r="AK45" s="27">
        <v>50</v>
      </c>
      <c r="AO45" s="79">
        <f>0.24*0.5</f>
        <v>0.12</v>
      </c>
      <c r="AQ45" s="135"/>
      <c r="AS45" s="8">
        <v>3.1522999999992862E-2</v>
      </c>
      <c r="AT45" s="75">
        <v>-4.0415070000000002</v>
      </c>
      <c r="AU45" s="8">
        <v>-1.1986999999999526E-2</v>
      </c>
      <c r="AW45" s="75">
        <f t="shared" si="42"/>
        <v>0.11948439240599139</v>
      </c>
      <c r="AX45" s="8"/>
      <c r="AY45" s="8"/>
      <c r="AZ45" s="65">
        <f t="shared" si="46"/>
        <v>-5.1560759400860745E-4</v>
      </c>
      <c r="BA45" s="8"/>
    </row>
    <row r="46" spans="1:62" s="1" customFormat="1">
      <c r="A46" s="774">
        <f>A43+1</f>
        <v>12</v>
      </c>
      <c r="B46" s="1" t="s">
        <v>531</v>
      </c>
      <c r="C46" s="8">
        <v>-11.637259999999999</v>
      </c>
      <c r="D46" s="8">
        <v>859.05988400000001</v>
      </c>
      <c r="E46" s="8">
        <v>-11.334530000000001</v>
      </c>
      <c r="G46" s="8">
        <f>C46-zerox22</f>
        <v>-11.360716</v>
      </c>
      <c r="H46" s="8">
        <f>D46-zeroy22</f>
        <v>8.2499999996343831E-4</v>
      </c>
      <c r="I46" s="8">
        <f>E46-zeroz22</f>
        <v>7.7539549999999977</v>
      </c>
      <c r="J46" s="7">
        <f>G46-pivot*(R18*3.1416/180)</f>
        <v>-5.6105407999999999</v>
      </c>
      <c r="K46" s="8">
        <f>H46+pivot*(Q18*3.1416/180)</f>
        <v>8.2499999996343831E-4</v>
      </c>
      <c r="L46" s="8">
        <f>I46-radius*(Q18*3.1416/180)</f>
        <v>7.7539549999999977</v>
      </c>
      <c r="M46" s="27"/>
      <c r="N46" s="392" t="s">
        <v>532</v>
      </c>
      <c r="O46" s="1046"/>
      <c r="P46" s="1046"/>
      <c r="Q46" s="1046">
        <v>878.12649999999996</v>
      </c>
      <c r="R46" s="1053" t="s">
        <v>7</v>
      </c>
      <c r="T46" s="127" t="s">
        <v>533</v>
      </c>
      <c r="Z46" s="17"/>
      <c r="AH46" s="766"/>
      <c r="AI46" s="135"/>
      <c r="AJ46" s="6"/>
      <c r="AK46" s="27">
        <v>75</v>
      </c>
      <c r="AO46" s="79">
        <f>0.24*0.75</f>
        <v>0.18</v>
      </c>
      <c r="AQ46" s="135"/>
      <c r="AS46" s="8">
        <v>4.1216000000019903E-2</v>
      </c>
      <c r="AT46" s="75">
        <v>-6.0763274999999997</v>
      </c>
      <c r="AU46" s="8">
        <v>-2.9301499999998981E-2</v>
      </c>
      <c r="AW46" s="75">
        <f t="shared" si="42"/>
        <v>0.17964246985030993</v>
      </c>
      <c r="AX46" s="8"/>
      <c r="AY46" s="8"/>
      <c r="AZ46" s="65">
        <f t="shared" si="46"/>
        <v>-3.5753014969006069E-4</v>
      </c>
      <c r="BA46" s="8"/>
    </row>
    <row r="47" spans="1:62" s="1" customFormat="1">
      <c r="A47" s="774"/>
      <c r="B47" s="1" t="s">
        <v>534</v>
      </c>
      <c r="C47" s="8">
        <v>-870.44059900000002</v>
      </c>
      <c r="D47" s="8">
        <v>0.89616399999999996</v>
      </c>
      <c r="E47" s="8">
        <v>-13.924498</v>
      </c>
      <c r="G47" s="8">
        <f>C47-zerox32</f>
        <v>-11.358318000000054</v>
      </c>
      <c r="H47" s="8">
        <f>D47-zeroy32</f>
        <v>-1.9095000000000084E-2</v>
      </c>
      <c r="I47" s="8">
        <f>E47-zeroz32</f>
        <v>5.1589190000000009</v>
      </c>
      <c r="J47" s="7">
        <f>G47-pivot*(R18*3.1416/180)</f>
        <v>-5.6081428000000537</v>
      </c>
      <c r="K47" s="8">
        <f>H47+pivot*(Q18*3.1416/180)</f>
        <v>-1.9095000000000084E-2</v>
      </c>
      <c r="L47" s="8">
        <f>I47-radius*(R18*3.1416/180)</f>
        <v>7.764378867266668</v>
      </c>
      <c r="M47" s="27"/>
      <c r="N47" s="1048"/>
      <c r="O47" s="1035" t="s">
        <v>526</v>
      </c>
      <c r="P47" s="1035"/>
      <c r="Q47" s="1035">
        <v>0.17</v>
      </c>
      <c r="R47" s="1049" t="s">
        <v>198</v>
      </c>
      <c r="S47" s="8"/>
      <c r="T47" s="127" t="s">
        <v>535</v>
      </c>
      <c r="Z47" s="17"/>
      <c r="AH47" s="766"/>
      <c r="AI47" s="135"/>
      <c r="AJ47" s="6"/>
      <c r="AK47" s="27">
        <v>100</v>
      </c>
      <c r="AO47" s="79">
        <f>0.24*1</f>
        <v>0.24</v>
      </c>
      <c r="AQ47" s="135"/>
      <c r="AS47" s="8">
        <v>2.7001999999981763E-2</v>
      </c>
      <c r="AT47" s="75">
        <v>-8.1081485000000004</v>
      </c>
      <c r="AU47" s="8">
        <v>-3.4170499999998327E-2</v>
      </c>
      <c r="AW47" s="75">
        <f t="shared" si="42"/>
        <v>0.23971186912704853</v>
      </c>
      <c r="AX47" s="8"/>
      <c r="AY47" s="8"/>
      <c r="AZ47" s="65">
        <f t="shared" si="46"/>
        <v>-2.8813087295145867E-4</v>
      </c>
      <c r="BA47" s="8"/>
    </row>
    <row r="48" spans="1:62" s="1" customFormat="1">
      <c r="A48" s="789"/>
      <c r="B48" s="790" t="s">
        <v>536</v>
      </c>
      <c r="C48" s="791">
        <v>853.44850699999995</v>
      </c>
      <c r="D48" s="791">
        <v>-5.7924559999999996</v>
      </c>
      <c r="E48" s="791">
        <v>-26.817095999999999</v>
      </c>
      <c r="F48" s="790"/>
      <c r="G48" s="791">
        <f>C48-zerox12</f>
        <v>-5.642784000000006</v>
      </c>
      <c r="H48" s="791">
        <f>D48-zeroy12</f>
        <v>-5.77881</v>
      </c>
      <c r="I48" s="791">
        <f>E48-zeroz12</f>
        <v>-7.7417699999999989</v>
      </c>
      <c r="J48" s="792">
        <f>G48-pivot*(R19*3.1416/180)</f>
        <v>-5.642784000000006</v>
      </c>
      <c r="K48" s="791">
        <f>H48+pivot*(Q19*3.1416/180)</f>
        <v>-2.8634799999999849E-2</v>
      </c>
      <c r="L48" s="793">
        <f>I48+radius*(R19*3.1416/180)</f>
        <v>-7.7417699999999989</v>
      </c>
      <c r="M48" s="27"/>
      <c r="N48" s="1050" t="s">
        <v>529</v>
      </c>
      <c r="O48" s="1051"/>
      <c r="P48" s="1051"/>
      <c r="Q48" s="1051">
        <f>Q46*(0.17*3.1416/180)</f>
        <v>2.6054598672666667</v>
      </c>
      <c r="R48" s="1052" t="s">
        <v>7</v>
      </c>
      <c r="S48" s="8"/>
      <c r="T48" s="127" t="s">
        <v>537</v>
      </c>
      <c r="Z48" s="17"/>
      <c r="AH48" s="135"/>
      <c r="AI48" s="135"/>
      <c r="AJ48" s="6"/>
      <c r="AK48" s="27">
        <v>-25</v>
      </c>
      <c r="AO48" s="79">
        <f>-AO44</f>
        <v>-0.06</v>
      </c>
      <c r="AQ48" s="135"/>
      <c r="AS48" s="8">
        <v>2.4607500000001892E-2</v>
      </c>
      <c r="AT48" s="75">
        <v>2.0395185000000002</v>
      </c>
      <c r="AU48" s="8">
        <v>-6.2199999999990041E-4</v>
      </c>
      <c r="AW48" s="75">
        <f t="shared" si="42"/>
        <v>-6.0296970603608738E-2</v>
      </c>
      <c r="AX48" s="8"/>
      <c r="AY48" s="8"/>
      <c r="AZ48" s="65">
        <f t="shared" si="46"/>
        <v>-2.9697060360873995E-4</v>
      </c>
      <c r="BA48" s="8"/>
    </row>
    <row r="49" spans="1:53" s="1" customFormat="1">
      <c r="A49" s="787">
        <f>A46+1</f>
        <v>13</v>
      </c>
      <c r="B49" s="788" t="s">
        <v>538</v>
      </c>
      <c r="C49" s="784">
        <v>-5.897767</v>
      </c>
      <c r="D49" s="784">
        <v>853.27854600000001</v>
      </c>
      <c r="E49" s="784">
        <v>-24.296181000000001</v>
      </c>
      <c r="F49" s="788"/>
      <c r="G49" s="784">
        <f>C49-zerox22</f>
        <v>-5.6212229999999996</v>
      </c>
      <c r="H49" s="784">
        <f>D49-zeroy22</f>
        <v>-5.7805130000000418</v>
      </c>
      <c r="I49" s="784">
        <f>E49-zeroz22</f>
        <v>-5.2076960000000021</v>
      </c>
      <c r="J49" s="783">
        <f>G49-pivot*(R19*3.1416/180)</f>
        <v>-5.6212229999999996</v>
      </c>
      <c r="K49" s="784">
        <f>H49+pivot*(Q19*3.1416/180)</f>
        <v>-3.0337800000041604E-2</v>
      </c>
      <c r="L49" s="794">
        <f>I49-radius*(Q19*3.1416/180)</f>
        <v>-7.8131558672666692</v>
      </c>
      <c r="M49" s="27"/>
      <c r="N49" s="6"/>
      <c r="T49" s="127" t="s">
        <v>539</v>
      </c>
      <c r="U49" s="17"/>
      <c r="V49" s="17"/>
      <c r="W49" s="17"/>
      <c r="X49" s="17"/>
      <c r="Y49" s="17"/>
      <c r="Z49" s="17"/>
      <c r="AH49" s="135"/>
      <c r="AI49" s="135"/>
      <c r="AJ49" s="6"/>
      <c r="AK49" s="27">
        <v>-50</v>
      </c>
      <c r="AO49" s="79">
        <f>-AO45</f>
        <v>-0.12</v>
      </c>
      <c r="AQ49" s="135"/>
      <c r="AS49" s="8">
        <v>1.51299999999992E-2</v>
      </c>
      <c r="AT49" s="75">
        <v>4.0770109999999997</v>
      </c>
      <c r="AU49" s="8">
        <v>-1.2543499999999597E-2</v>
      </c>
      <c r="AW49" s="75">
        <f t="shared" si="42"/>
        <v>-0.12053404390182752</v>
      </c>
      <c r="AX49" s="8"/>
      <c r="AY49" s="8"/>
      <c r="AZ49" s="65">
        <f t="shared" si="46"/>
        <v>-5.3404390182752726E-4</v>
      </c>
      <c r="BA49" s="8"/>
    </row>
    <row r="50" spans="1:53" s="1" customFormat="1">
      <c r="A50" s="796"/>
      <c r="B50" s="797" t="s">
        <v>540</v>
      </c>
      <c r="C50" s="798">
        <v>-864.72206400000005</v>
      </c>
      <c r="D50" s="798">
        <v>-4.8520329999999996</v>
      </c>
      <c r="E50" s="798">
        <v>-26.892192000000001</v>
      </c>
      <c r="F50" s="797"/>
      <c r="G50" s="798">
        <f>C50-zerox32</f>
        <v>-5.6397830000000795</v>
      </c>
      <c r="H50" s="798">
        <f>D50-zeroy32</f>
        <v>-5.7672919999999994</v>
      </c>
      <c r="I50" s="798">
        <f>E50-zeroz32</f>
        <v>-7.8087750000000007</v>
      </c>
      <c r="J50" s="799">
        <f>G50-pivot*(R19*3.1416/180)</f>
        <v>-5.6397830000000795</v>
      </c>
      <c r="K50" s="798">
        <f>H50+pivot*(Q19*3.1416/180)</f>
        <v>-1.7116799999999266E-2</v>
      </c>
      <c r="L50" s="800">
        <f>I50-radius*(R19*3.1416/180)</f>
        <v>-7.8087750000000007</v>
      </c>
      <c r="M50" s="27"/>
      <c r="N50" s="6"/>
      <c r="T50" s="126" t="s">
        <v>690</v>
      </c>
      <c r="U50" s="19"/>
      <c r="V50" s="19"/>
      <c r="W50" s="19"/>
      <c r="X50" s="19"/>
      <c r="Y50" s="19"/>
      <c r="Z50" s="19"/>
      <c r="AA50" s="13"/>
      <c r="AB50" s="13"/>
      <c r="AC50" s="13"/>
      <c r="AD50" s="13"/>
      <c r="AE50" s="13"/>
      <c r="AF50" s="13"/>
      <c r="AG50" s="13"/>
      <c r="AH50" s="87"/>
      <c r="AI50" s="87"/>
      <c r="AK50" s="27">
        <v>-75</v>
      </c>
      <c r="AO50" s="79">
        <f t="shared" ref="AO50:AO51" si="50">-AO46</f>
        <v>-0.18</v>
      </c>
      <c r="AQ50" s="135"/>
      <c r="AS50" s="8">
        <v>1.982900000001564E-2</v>
      </c>
      <c r="AT50" s="75">
        <v>6.1076519999999999</v>
      </c>
      <c r="AU50" s="8">
        <v>-5.7010000000001781E-3</v>
      </c>
      <c r="AW50" s="75">
        <f t="shared" si="42"/>
        <v>-0.18056855728500237</v>
      </c>
      <c r="AX50" s="8"/>
      <c r="AY50" s="8"/>
      <c r="AZ50" s="65">
        <f t="shared" si="46"/>
        <v>-5.6855728500238012E-4</v>
      </c>
      <c r="BA50" s="8"/>
    </row>
    <row r="51" spans="1:53" s="1" customFormat="1">
      <c r="A51" s="789"/>
      <c r="B51" s="790" t="s">
        <v>541</v>
      </c>
      <c r="C51" s="791">
        <v>853.46006399999999</v>
      </c>
      <c r="D51" s="791">
        <v>5.6819110000000004</v>
      </c>
      <c r="E51" s="791">
        <v>-26.839452999999999</v>
      </c>
      <c r="F51" s="790"/>
      <c r="G51" s="791">
        <f>C51-zerox12</f>
        <v>-5.6312269999999671</v>
      </c>
      <c r="H51" s="791">
        <f>D51-zeroy12</f>
        <v>5.695557</v>
      </c>
      <c r="I51" s="791">
        <f>E51-zeroz12</f>
        <v>-7.7641269999999984</v>
      </c>
      <c r="J51" s="792">
        <f>G51-pivot*(R20*3.1416/180)</f>
        <v>-5.6312269999999671</v>
      </c>
      <c r="K51" s="791">
        <f>H51+pivot*(Q20*3.1416/180)</f>
        <v>-5.4618200000000172E-2</v>
      </c>
      <c r="L51" s="793">
        <f>I51+radius*(R20*3.1416/180)</f>
        <v>-7.7641269999999984</v>
      </c>
      <c r="M51" s="27"/>
      <c r="N51" s="6"/>
      <c r="T51" s="128"/>
      <c r="U51" s="17"/>
      <c r="V51" s="17"/>
      <c r="W51" s="17"/>
      <c r="X51" s="17"/>
      <c r="Y51" s="17"/>
      <c r="Z51" s="17"/>
      <c r="AK51" s="27">
        <v>-100</v>
      </c>
      <c r="AO51" s="79">
        <f t="shared" si="50"/>
        <v>-0.24</v>
      </c>
      <c r="AQ51" s="135"/>
      <c r="AS51" s="8">
        <v>-3.8500000016483682E-5</v>
      </c>
      <c r="AT51" s="75">
        <v>8.1299899999999994</v>
      </c>
      <c r="AU51" s="8">
        <v>-8.5409999999992436E-3</v>
      </c>
      <c r="AW51" s="75">
        <f t="shared" si="42"/>
        <v>-0.24035759814761815</v>
      </c>
      <c r="AX51" s="8"/>
      <c r="AY51" s="8"/>
      <c r="AZ51" s="65">
        <f t="shared" si="46"/>
        <v>-3.5759814761815445E-4</v>
      </c>
      <c r="BA51" s="8"/>
    </row>
    <row r="52" spans="1:53" s="1" customFormat="1">
      <c r="A52" s="787">
        <f>A49+1</f>
        <v>14</v>
      </c>
      <c r="B52" s="788" t="s">
        <v>542</v>
      </c>
      <c r="C52" s="784">
        <v>-5.8977050000000002</v>
      </c>
      <c r="D52" s="784">
        <v>864.76333599999998</v>
      </c>
      <c r="E52" s="784">
        <v>-29.387481999999999</v>
      </c>
      <c r="F52" s="788"/>
      <c r="G52" s="784">
        <f>C52-zerox22</f>
        <v>-5.6211609999999999</v>
      </c>
      <c r="H52" s="784">
        <f>D52-zeroy22</f>
        <v>5.7042769999999337</v>
      </c>
      <c r="I52" s="784">
        <f>E52-zeroz22</f>
        <v>-10.298997</v>
      </c>
      <c r="J52" s="783">
        <f>G52-pivot*(R20*3.1416/180)</f>
        <v>-5.6211609999999999</v>
      </c>
      <c r="K52" s="784">
        <f>H52+pivot*(Q20*3.1416/180)</f>
        <v>-4.5898200000066502E-2</v>
      </c>
      <c r="L52" s="794">
        <f>I52-radius*(Q20*3.1416/180)</f>
        <v>-7.6935371327333328</v>
      </c>
      <c r="M52" s="27"/>
      <c r="N52" s="6"/>
      <c r="T52" s="128"/>
      <c r="U52" s="17"/>
      <c r="V52" s="17"/>
      <c r="W52" s="17"/>
      <c r="X52" s="17"/>
      <c r="Y52" s="17"/>
      <c r="Z52" s="17"/>
      <c r="AK52" s="471" t="s">
        <v>276</v>
      </c>
      <c r="AL52" s="216"/>
      <c r="AM52" s="216"/>
      <c r="AN52" s="3"/>
      <c r="AO52" s="3"/>
      <c r="AP52" s="3"/>
      <c r="AQ52" s="4"/>
      <c r="AS52" s="120"/>
      <c r="AT52" s="120"/>
      <c r="AU52" s="120"/>
      <c r="AV52" s="3"/>
      <c r="AW52" s="120"/>
      <c r="AX52" s="120"/>
      <c r="AY52" s="120"/>
      <c r="AZ52" s="246"/>
      <c r="BA52" s="8"/>
    </row>
    <row r="53" spans="1:53" s="1" customFormat="1">
      <c r="A53" s="796"/>
      <c r="B53" s="797" t="s">
        <v>543</v>
      </c>
      <c r="C53" s="798">
        <v>-864.70259599999997</v>
      </c>
      <c r="D53" s="798">
        <v>6.626036</v>
      </c>
      <c r="E53" s="798">
        <v>-26.863937</v>
      </c>
      <c r="F53" s="797"/>
      <c r="G53" s="798">
        <f>C53-zerox32</f>
        <v>-5.6203150000000051</v>
      </c>
      <c r="H53" s="798">
        <f>D53-zeroy32</f>
        <v>5.7107770000000002</v>
      </c>
      <c r="I53" s="798">
        <f>E53-zeroz32</f>
        <v>-7.7805199999999992</v>
      </c>
      <c r="J53" s="799">
        <f>G53-pivot*(R20*3.1416/180)</f>
        <v>-5.6203150000000051</v>
      </c>
      <c r="K53" s="798">
        <f>H53+pivot*(Q20*3.1416/180)</f>
        <v>-3.9398199999999939E-2</v>
      </c>
      <c r="L53" s="800">
        <f>I53-radius*(R20*3.1416/180)</f>
        <v>-7.7805199999999992</v>
      </c>
      <c r="M53" s="27"/>
      <c r="T53" s="128"/>
      <c r="U53" s="17"/>
      <c r="V53" s="17"/>
      <c r="W53" s="17"/>
      <c r="X53" s="17"/>
      <c r="Y53" s="17"/>
      <c r="Z53" s="17"/>
      <c r="AK53" s="133"/>
      <c r="AL53" s="3"/>
      <c r="AM53" s="3"/>
      <c r="AN53" s="3"/>
      <c r="AO53" s="3"/>
      <c r="AP53" s="83">
        <v>0</v>
      </c>
      <c r="AQ53" s="4"/>
      <c r="AS53" s="156">
        <v>6.349999995336475E-5</v>
      </c>
      <c r="AT53" s="120">
        <v>0</v>
      </c>
      <c r="AU53" s="120">
        <v>-1.0000000010279564E-6</v>
      </c>
      <c r="AV53" s="3"/>
      <c r="AW53" s="120"/>
      <c r="AX53" s="156">
        <f t="shared" ref="AX53:AX61" si="51">180*AS53/pivot/3.1416</f>
        <v>1.877334101415207E-6</v>
      </c>
      <c r="AY53" s="120"/>
      <c r="AZ53" s="246">
        <f>AX53-AP53</f>
        <v>1.877334101415207E-6</v>
      </c>
      <c r="BA53" s="8"/>
    </row>
    <row r="54" spans="1:53" s="1" customFormat="1">
      <c r="A54" s="391"/>
      <c r="B54" s="815" t="s">
        <v>544</v>
      </c>
      <c r="C54" s="69"/>
      <c r="D54" s="69"/>
      <c r="E54" s="69"/>
      <c r="F54" s="13"/>
      <c r="G54" s="69"/>
      <c r="H54" s="69"/>
      <c r="I54" s="69"/>
      <c r="J54" s="68"/>
      <c r="K54" s="69"/>
      <c r="L54" s="69"/>
      <c r="M54" s="27"/>
      <c r="T54" s="128"/>
      <c r="U54" s="17"/>
      <c r="V54" s="17"/>
      <c r="W54" s="17"/>
      <c r="X54" s="17"/>
      <c r="Y54" s="17"/>
      <c r="Z54" s="17"/>
      <c r="AK54" s="994">
        <v>0.25</v>
      </c>
      <c r="AP54" s="79">
        <v>0.06</v>
      </c>
      <c r="AQ54" s="135"/>
      <c r="AS54" s="75">
        <v>2.025427499999978</v>
      </c>
      <c r="AT54" s="8">
        <v>1.7498999999999997E-2</v>
      </c>
      <c r="AU54" s="8">
        <v>-1.6198000000001045E-2</v>
      </c>
      <c r="AW54" s="8"/>
      <c r="AX54" s="75">
        <f t="shared" si="51"/>
        <v>5.988037981868731E-2</v>
      </c>
      <c r="AY54" s="8"/>
      <c r="AZ54" s="65">
        <f t="shared" ref="AZ54:AZ61" si="52">AX54-AP54</f>
        <v>-1.1962018131268792E-4</v>
      </c>
      <c r="BA54" s="8"/>
    </row>
    <row r="55" spans="1:53" s="1" customFormat="1">
      <c r="A55" s="816"/>
      <c r="B55" s="758" t="s">
        <v>484</v>
      </c>
      <c r="C55" s="759">
        <v>859.04458299999999</v>
      </c>
      <c r="D55" s="759">
        <v>0</v>
      </c>
      <c r="E55" s="759">
        <v>-19.05001</v>
      </c>
      <c r="F55" s="758"/>
      <c r="G55" s="759">
        <f>C55-zerox12</f>
        <v>-4.6707999999966887E-2</v>
      </c>
      <c r="H55" s="759">
        <f>D55-zeroy12</f>
        <v>1.3646E-2</v>
      </c>
      <c r="I55" s="759">
        <f>E55-zeroz12</f>
        <v>2.5316000000000116E-2</v>
      </c>
      <c r="J55" s="817"/>
      <c r="K55" s="759"/>
      <c r="L55" s="759"/>
      <c r="M55" s="27"/>
      <c r="T55" s="128"/>
      <c r="U55" s="17"/>
      <c r="V55" s="17"/>
      <c r="W55" s="17"/>
      <c r="X55" s="17"/>
      <c r="Y55" s="17"/>
      <c r="Z55" s="17"/>
      <c r="AK55" s="27">
        <v>50</v>
      </c>
      <c r="AP55" s="79">
        <v>0.12</v>
      </c>
      <c r="AQ55" s="135"/>
      <c r="AS55" s="75">
        <v>4.0543384999999716</v>
      </c>
      <c r="AT55" s="8">
        <v>-9.7279999999999728E-3</v>
      </c>
      <c r="AU55" s="8">
        <v>-1.5928500000001122E-2</v>
      </c>
      <c r="AW55" s="8"/>
      <c r="AX55" s="75">
        <f t="shared" si="51"/>
        <v>0.11986374693417953</v>
      </c>
      <c r="AY55" s="8"/>
      <c r="AZ55" s="65">
        <f t="shared" si="52"/>
        <v>-1.3625306582046304E-4</v>
      </c>
      <c r="BA55" s="8"/>
    </row>
    <row r="56" spans="1:53" s="1" customFormat="1">
      <c r="A56" s="804" t="s">
        <v>24</v>
      </c>
      <c r="B56" s="48" t="s">
        <v>485</v>
      </c>
      <c r="C56" s="764">
        <v>-0.31890200000000002</v>
      </c>
      <c r="D56" s="764">
        <v>859.04461300000003</v>
      </c>
      <c r="E56" s="764">
        <v>-19.05001</v>
      </c>
      <c r="F56" s="48"/>
      <c r="G56" s="764">
        <f>C56-zerox22</f>
        <v>-4.2358000000000007E-2</v>
      </c>
      <c r="H56" s="764">
        <f>D56-zeroy22</f>
        <v>-1.4446000000020831E-2</v>
      </c>
      <c r="I56" s="764">
        <f>E56-zeroz22</f>
        <v>3.8474999999998261E-2</v>
      </c>
      <c r="J56" s="805"/>
      <c r="K56" s="764"/>
      <c r="L56" s="764"/>
      <c r="M56" s="27"/>
      <c r="T56" s="128"/>
      <c r="U56" s="17"/>
      <c r="V56" s="17"/>
      <c r="W56" s="17"/>
      <c r="X56" s="17"/>
      <c r="AK56" s="27">
        <v>75</v>
      </c>
      <c r="AP56" s="79">
        <v>0.18</v>
      </c>
      <c r="AQ56" s="135"/>
      <c r="AS56" s="75">
        <v>6.081117499999948</v>
      </c>
      <c r="AT56" s="8">
        <v>1.0778500000000038E-2</v>
      </c>
      <c r="AU56" s="8">
        <v>-2.593350000000072E-2</v>
      </c>
      <c r="AW56" s="8"/>
      <c r="AX56" s="75">
        <f t="shared" si="51"/>
        <v>0.1797840829267239</v>
      </c>
      <c r="AY56" s="8"/>
      <c r="AZ56" s="65">
        <f t="shared" si="52"/>
        <v>-2.1591707327608956E-4</v>
      </c>
      <c r="BA56" s="8"/>
    </row>
    <row r="57" spans="1:53" s="1" customFormat="1">
      <c r="A57" s="818">
        <f>STDEV(G55:G57,H55:H57,I55:I57)</f>
        <v>3.7306378801443135E-2</v>
      </c>
      <c r="B57" s="771" t="s">
        <v>486</v>
      </c>
      <c r="C57" s="772">
        <v>-859.04424800000004</v>
      </c>
      <c r="D57" s="772">
        <v>0.86965599999999998</v>
      </c>
      <c r="E57" s="772">
        <v>-19.05001</v>
      </c>
      <c r="F57" s="771"/>
      <c r="G57" s="772">
        <f>C57-zerox32</f>
        <v>3.8032999999927597E-2</v>
      </c>
      <c r="H57" s="772">
        <f>D57-zeroy32</f>
        <v>-4.560300000000006E-2</v>
      </c>
      <c r="I57" s="772">
        <f>E57-zeroz32</f>
        <v>3.3407000000000409E-2</v>
      </c>
      <c r="J57" s="819"/>
      <c r="K57" s="772"/>
      <c r="L57" s="772"/>
      <c r="M57" s="27"/>
      <c r="T57" s="128"/>
      <c r="U57" s="17"/>
      <c r="V57" s="17"/>
      <c r="W57" s="17"/>
      <c r="X57" s="17"/>
      <c r="AK57" s="27">
        <v>100</v>
      </c>
      <c r="AP57" s="79">
        <v>0.24</v>
      </c>
      <c r="AQ57" s="135"/>
      <c r="AS57" s="75">
        <v>8.129316499999959</v>
      </c>
      <c r="AT57" s="8">
        <v>6.1750000000001387E-4</v>
      </c>
      <c r="AU57" s="8">
        <v>-3.3249000000000528E-2</v>
      </c>
      <c r="AW57" s="8"/>
      <c r="AX57" s="75">
        <f t="shared" si="51"/>
        <v>0.24033768658040072</v>
      </c>
      <c r="AY57" s="8"/>
      <c r="AZ57" s="65">
        <f t="shared" si="52"/>
        <v>3.3768658040073118E-4</v>
      </c>
      <c r="BA57" s="8"/>
    </row>
    <row r="58" spans="1:53" s="1" customFormat="1">
      <c r="A58" s="820"/>
      <c r="B58" s="821" t="s">
        <v>484</v>
      </c>
      <c r="C58" s="822">
        <v>853.41461700000002</v>
      </c>
      <c r="D58" s="822">
        <v>5.7196230000000003</v>
      </c>
      <c r="E58" s="822">
        <v>-26.793903</v>
      </c>
      <c r="F58" s="788"/>
      <c r="G58" s="791">
        <f>C58-zerox13</f>
        <v>-5.6299659999999676</v>
      </c>
      <c r="H58" s="791">
        <f>D58-zeroy13</f>
        <v>5.7196230000000003</v>
      </c>
      <c r="I58" s="791">
        <f>E58-zeroz13</f>
        <v>-7.7438929999999999</v>
      </c>
      <c r="J58" s="792">
        <f>G58-pivot*(R20*3.1416/180)</f>
        <v>-5.6299659999999676</v>
      </c>
      <c r="K58" s="791">
        <f>H58+pivot*(Q20*3.1416/180)</f>
        <v>-3.0552199999999807E-2</v>
      </c>
      <c r="L58" s="791">
        <f>I58+radius*(R20*3.1416/180)</f>
        <v>-7.7438929999999999</v>
      </c>
      <c r="M58" s="27"/>
      <c r="T58" s="128"/>
      <c r="U58" s="17"/>
      <c r="V58" s="17"/>
      <c r="W58" s="17"/>
      <c r="X58" s="17"/>
      <c r="AK58" s="27">
        <v>-25</v>
      </c>
      <c r="AP58" s="79">
        <v>-0.06</v>
      </c>
      <c r="AQ58" s="135"/>
      <c r="AS58" s="75">
        <v>-2.036737500000072</v>
      </c>
      <c r="AT58" s="8">
        <v>1.8046000000000017E-2</v>
      </c>
      <c r="AU58" s="8">
        <v>-1.0976499999999945E-2</v>
      </c>
      <c r="AW58" s="8"/>
      <c r="AX58" s="75">
        <f t="shared" si="51"/>
        <v>-6.0214752239203466E-2</v>
      </c>
      <c r="AY58" s="8"/>
      <c r="AZ58" s="65">
        <f t="shared" si="52"/>
        <v>-2.1475223920346814E-4</v>
      </c>
      <c r="BA58" s="8"/>
    </row>
    <row r="59" spans="1:53" s="1" customFormat="1">
      <c r="A59" s="820">
        <v>14</v>
      </c>
      <c r="B59" s="821" t="s">
        <v>485</v>
      </c>
      <c r="C59" s="822">
        <v>-5.9263339999999998</v>
      </c>
      <c r="D59" s="822">
        <v>864.76158499999997</v>
      </c>
      <c r="E59" s="822">
        <v>-29.335649</v>
      </c>
      <c r="F59" s="788"/>
      <c r="G59" s="784">
        <f>C59-zerox23</f>
        <v>-5.6074319999999993</v>
      </c>
      <c r="H59" s="784">
        <f>D59-zeroy23</f>
        <v>5.7169719999999415</v>
      </c>
      <c r="I59" s="784">
        <f>E59-zeroz23</f>
        <v>-10.285639</v>
      </c>
      <c r="J59" s="783">
        <f>G59-pivot*(R20*3.1416/180)</f>
        <v>-5.6074319999999993</v>
      </c>
      <c r="K59" s="784">
        <f>H59+pivot*(Q20*3.1416/180)</f>
        <v>-3.3203200000058608E-2</v>
      </c>
      <c r="L59" s="784">
        <f>I59-radius*(Q20*3.1416/180)</f>
        <v>-7.6801791327333326</v>
      </c>
      <c r="M59" s="27"/>
      <c r="T59" s="128"/>
      <c r="U59" s="17"/>
      <c r="V59" s="17"/>
      <c r="W59" s="17"/>
      <c r="X59" s="17"/>
      <c r="AK59" s="27">
        <v>-50</v>
      </c>
      <c r="AP59" s="79">
        <v>-0.12</v>
      </c>
      <c r="AQ59" s="135"/>
      <c r="AS59" s="75">
        <v>-4.0581535000000599</v>
      </c>
      <c r="AT59" s="8">
        <v>2.6687999999999996E-2</v>
      </c>
      <c r="AU59" s="8">
        <v>1.1606499999999187E-2</v>
      </c>
      <c r="AW59" s="8"/>
      <c r="AX59" s="75">
        <f t="shared" si="51"/>
        <v>-0.11997653480193268</v>
      </c>
      <c r="AY59" s="8"/>
      <c r="AZ59" s="65">
        <f t="shared" si="52"/>
        <v>2.3465198067312842E-5</v>
      </c>
      <c r="BA59" s="8"/>
    </row>
    <row r="60" spans="1:53" s="1" customFormat="1">
      <c r="A60" s="820"/>
      <c r="B60" s="821" t="s">
        <v>486</v>
      </c>
      <c r="C60" s="822">
        <v>-864.67273399999999</v>
      </c>
      <c r="D60" s="822">
        <v>6.6114459999999999</v>
      </c>
      <c r="E60" s="822">
        <v>-26.815359999999998</v>
      </c>
      <c r="F60" s="788"/>
      <c r="G60" s="798">
        <f>C60-zerox33</f>
        <v>-5.6284859999999526</v>
      </c>
      <c r="H60" s="798">
        <f>D60-zeroy33</f>
        <v>5.7417899999999999</v>
      </c>
      <c r="I60" s="798">
        <f>E60-zeroz33</f>
        <v>-7.765349999999998</v>
      </c>
      <c r="J60" s="799">
        <f>G60-pivot*(R20*3.1416/180)</f>
        <v>-5.6284859999999526</v>
      </c>
      <c r="K60" s="798">
        <f>H60+pivot*(Q20*3.1416/180)</f>
        <v>-8.3852000000002036E-3</v>
      </c>
      <c r="L60" s="798">
        <f>I60-radius*(R20*3.1416/180)</f>
        <v>-7.765349999999998</v>
      </c>
      <c r="M60" s="27"/>
      <c r="T60" s="128"/>
      <c r="U60" s="17"/>
      <c r="V60" s="17"/>
      <c r="W60" s="17"/>
      <c r="X60" s="17"/>
      <c r="AK60" s="27">
        <v>-75</v>
      </c>
      <c r="AP60" s="79">
        <v>-0.18</v>
      </c>
      <c r="AQ60" s="135"/>
      <c r="AS60" s="75">
        <v>-6.092817000000025</v>
      </c>
      <c r="AT60" s="8">
        <v>2.2048000000000026E-2</v>
      </c>
      <c r="AU60" s="8">
        <v>-1.5557500000001667E-2</v>
      </c>
      <c r="AW60" s="8"/>
      <c r="AX60" s="75">
        <f t="shared" si="51"/>
        <v>-0.18012997064854722</v>
      </c>
      <c r="AY60" s="8"/>
      <c r="AZ60" s="65">
        <f t="shared" si="52"/>
        <v>-1.2997064854722296E-4</v>
      </c>
      <c r="BA60" s="8"/>
    </row>
    <row r="61" spans="1:53" s="1" customFormat="1">
      <c r="A61" s="823"/>
      <c r="B61" s="790" t="s">
        <v>487</v>
      </c>
      <c r="C61" s="791">
        <v>859.16082600000004</v>
      </c>
      <c r="D61" s="791">
        <v>-6.2168000000000001E-2</v>
      </c>
      <c r="E61" s="791">
        <v>-29.338282</v>
      </c>
      <c r="F61" s="788"/>
      <c r="G61" s="791">
        <f>C61-zerox13</f>
        <v>0.11624300000005405</v>
      </c>
      <c r="H61" s="791">
        <f>D61-zeroy13</f>
        <v>-6.2168000000000001E-2</v>
      </c>
      <c r="I61" s="791">
        <f>E61-zeroz13</f>
        <v>-10.288271999999999</v>
      </c>
      <c r="J61" s="792">
        <f>G61-pivot*(R21*3.1416/180)</f>
        <v>-5.6339321999999461</v>
      </c>
      <c r="K61" s="791">
        <f>H61+pivot*(Q21*3.1416/180)</f>
        <v>-6.2168000000000001E-2</v>
      </c>
      <c r="L61" s="791">
        <f>I61+radius*(R21*3.1416/180)</f>
        <v>-7.6828121327333321</v>
      </c>
      <c r="M61" s="27"/>
      <c r="T61" s="128"/>
      <c r="U61" s="17"/>
      <c r="V61" s="17"/>
      <c r="W61" s="17"/>
      <c r="X61" s="17"/>
      <c r="AK61" s="27">
        <v>-100</v>
      </c>
      <c r="AP61" s="79">
        <v>-0.24</v>
      </c>
      <c r="AQ61" s="135"/>
      <c r="AS61" s="75">
        <v>-8.113226500000053</v>
      </c>
      <c r="AT61" s="8">
        <v>1.30475E-2</v>
      </c>
      <c r="AU61" s="8">
        <v>-2.0744000000001428E-2</v>
      </c>
      <c r="AW61" s="8"/>
      <c r="AX61" s="75">
        <f t="shared" si="51"/>
        <v>-0.23986199672664044</v>
      </c>
      <c r="AY61" s="8"/>
      <c r="AZ61" s="65">
        <f t="shared" si="52"/>
        <v>1.3800327335955487E-4</v>
      </c>
      <c r="BA61" s="8"/>
    </row>
    <row r="62" spans="1:53" s="1" customFormat="1">
      <c r="A62" s="820">
        <f>A59+1</f>
        <v>15</v>
      </c>
      <c r="B62" s="821" t="s">
        <v>488</v>
      </c>
      <c r="C62" s="822">
        <v>-0.17189499999999999</v>
      </c>
      <c r="D62" s="822">
        <v>859.01767299999995</v>
      </c>
      <c r="E62" s="822">
        <v>-26.797965999999999</v>
      </c>
      <c r="F62" s="788"/>
      <c r="G62" s="784">
        <f>C62-zerox23</f>
        <v>0.14700700000000003</v>
      </c>
      <c r="H62" s="784">
        <f>D62-zeroy23</f>
        <v>-2.6940000000081454E-2</v>
      </c>
      <c r="I62" s="784">
        <f>E62-zeroz23</f>
        <v>-7.7479559999999985</v>
      </c>
      <c r="J62" s="783">
        <f>G62-pivot*(R21*3.1416/180)</f>
        <v>-5.6031681999999998</v>
      </c>
      <c r="K62" s="784">
        <f>H62+pivot*(Q21*3.1416/180)</f>
        <v>-2.6940000000081454E-2</v>
      </c>
      <c r="L62" s="784">
        <f>I62-radius*(Q21*3.1416/180)</f>
        <v>-7.7479559999999985</v>
      </c>
      <c r="M62" s="27"/>
      <c r="T62" s="128"/>
      <c r="U62" s="17"/>
      <c r="V62" s="17"/>
      <c r="W62" s="17"/>
      <c r="X62" s="17"/>
      <c r="AK62" s="133"/>
      <c r="AL62" s="3"/>
      <c r="AM62" s="3"/>
      <c r="AN62" s="3"/>
      <c r="AO62" s="3"/>
      <c r="AP62" s="3"/>
      <c r="AQ62" s="4"/>
      <c r="AR62" s="120"/>
      <c r="AS62" s="120"/>
      <c r="AT62" s="120"/>
      <c r="AU62" s="120"/>
      <c r="AV62" s="3"/>
      <c r="AW62" s="120"/>
      <c r="AX62" s="120"/>
      <c r="AY62" s="120"/>
      <c r="AZ62" s="136"/>
      <c r="BA62" s="8"/>
    </row>
    <row r="63" spans="1:53" s="1" customFormat="1">
      <c r="A63" s="820"/>
      <c r="B63" s="821" t="s">
        <v>489</v>
      </c>
      <c r="C63" s="822">
        <v>-858.91914999999995</v>
      </c>
      <c r="D63" s="822">
        <v>0.84189999999999998</v>
      </c>
      <c r="E63" s="822">
        <v>-24.302443</v>
      </c>
      <c r="F63" s="788"/>
      <c r="G63" s="798">
        <f>C63-zerox33</f>
        <v>0.12509800000009363</v>
      </c>
      <c r="H63" s="798">
        <f>D63-zeroy33</f>
        <v>-2.7756000000000003E-2</v>
      </c>
      <c r="I63" s="798">
        <f>E63-zeroz33</f>
        <v>-5.2524329999999999</v>
      </c>
      <c r="J63" s="799">
        <f>G63-pivot*(R21*3.1416/180)</f>
        <v>-5.6250771999999065</v>
      </c>
      <c r="K63" s="798">
        <f>H63+pivot*(Q21*3.1416/180)</f>
        <v>-2.7756000000000003E-2</v>
      </c>
      <c r="L63" s="798">
        <f>I63-radius*(R21*3.1416/180)</f>
        <v>-7.857892867266667</v>
      </c>
      <c r="M63" s="27"/>
      <c r="T63" s="128"/>
      <c r="U63" s="17"/>
      <c r="V63" s="17"/>
      <c r="W63" s="17"/>
      <c r="X63" s="17"/>
      <c r="Y63" s="17"/>
      <c r="Z63" s="17"/>
      <c r="AR63" s="9"/>
      <c r="AS63" s="9"/>
      <c r="AT63" s="9"/>
      <c r="AU63" s="9"/>
      <c r="AV63"/>
      <c r="AW63" s="9"/>
      <c r="AX63" s="9"/>
      <c r="AY63" s="9"/>
      <c r="AZ63" s="9"/>
      <c r="BA63" s="8"/>
    </row>
    <row r="64" spans="1:53" s="1" customFormat="1">
      <c r="A64" s="121"/>
      <c r="B64" s="11" t="s">
        <v>490</v>
      </c>
      <c r="C64" s="66">
        <v>847.63137900000004</v>
      </c>
      <c r="D64" s="66">
        <v>2.3668000000000002E-2</v>
      </c>
      <c r="E64" s="66">
        <v>-24.248398999999999</v>
      </c>
      <c r="G64" s="66">
        <f>C64-zerox13</f>
        <v>-11.413203999999951</v>
      </c>
      <c r="H64" s="66">
        <f>D64-zeroy13</f>
        <v>2.3668000000000002E-2</v>
      </c>
      <c r="I64" s="66">
        <f>E64-zeroz13</f>
        <v>-5.1983889999999988</v>
      </c>
      <c r="J64" s="165">
        <f>G64-pivot*(R22*3.1416/180)</f>
        <v>-5.6630287999999505</v>
      </c>
      <c r="K64" s="66">
        <f>H64+pivot*(Q22*3.1416/180)</f>
        <v>2.3668000000000002E-2</v>
      </c>
      <c r="L64" s="66">
        <f>I64+radius*(R22*3.1416/180)</f>
        <v>-7.8038488672666659</v>
      </c>
      <c r="M64" s="27"/>
      <c r="T64" s="128"/>
      <c r="U64" s="17"/>
      <c r="V64" s="17"/>
      <c r="W64" s="17"/>
      <c r="X64" s="17"/>
      <c r="Y64" s="17"/>
      <c r="Z64" s="17"/>
      <c r="AK64" s="10" t="s">
        <v>670</v>
      </c>
      <c r="AL64" s="11"/>
      <c r="AM64" s="11"/>
      <c r="AN64" s="11"/>
      <c r="AO64" s="11"/>
      <c r="AP64" s="11"/>
      <c r="AQ64" s="11"/>
      <c r="AR64" s="66"/>
      <c r="AS64" s="66"/>
      <c r="AT64" s="66"/>
      <c r="AU64" s="66"/>
      <c r="AV64" s="11"/>
      <c r="AW64" s="66"/>
      <c r="AX64" s="66"/>
      <c r="AY64" s="66"/>
      <c r="AZ64" s="166"/>
      <c r="BA64" s="622" t="s">
        <v>718</v>
      </c>
    </row>
    <row r="65" spans="1:53" s="1" customFormat="1">
      <c r="A65" s="128">
        <f>A62+1</f>
        <v>16</v>
      </c>
      <c r="B65" s="1" t="s">
        <v>491</v>
      </c>
      <c r="C65" s="8">
        <v>-11.725866999999999</v>
      </c>
      <c r="D65" s="8">
        <v>859.04237799999999</v>
      </c>
      <c r="E65" s="8">
        <v>-26.784751</v>
      </c>
      <c r="G65" s="8">
        <f>C65-zerox23</f>
        <v>-11.406965</v>
      </c>
      <c r="H65" s="8">
        <f>D65-zeroy23</f>
        <v>-2.2350000000415093E-3</v>
      </c>
      <c r="I65" s="8">
        <f>E65-zeroz23</f>
        <v>-7.7347409999999996</v>
      </c>
      <c r="J65" s="7">
        <f>G65-pivot*(R22*3.1416/180)</f>
        <v>-5.6567897999999994</v>
      </c>
      <c r="K65" s="8">
        <f>H65+pivot*(Q22*3.1416/180)</f>
        <v>-2.2350000000415093E-3</v>
      </c>
      <c r="L65" s="8">
        <f>I65-radius*(Q22*3.1416/180)</f>
        <v>-7.7347409999999996</v>
      </c>
      <c r="M65" s="27"/>
      <c r="T65" s="128"/>
      <c r="U65" s="17"/>
      <c r="V65" s="17"/>
      <c r="W65" s="17"/>
      <c r="X65" s="17"/>
      <c r="Y65" s="17"/>
      <c r="Z65" s="17"/>
      <c r="AK65" s="315" t="s">
        <v>657</v>
      </c>
      <c r="AL65" s="208"/>
      <c r="AM65" s="208" t="s">
        <v>659</v>
      </c>
      <c r="AN65" s="202"/>
      <c r="AO65" s="10"/>
      <c r="AP65" s="11"/>
      <c r="AQ65" s="86"/>
      <c r="AR65" s="8"/>
      <c r="AS65" s="8" t="s">
        <v>661</v>
      </c>
      <c r="AT65" s="8"/>
      <c r="AU65" s="8"/>
      <c r="AW65" s="8" t="s">
        <v>662</v>
      </c>
      <c r="AX65" s="8"/>
      <c r="AY65" s="8"/>
      <c r="AZ65" s="624" t="s">
        <v>96</v>
      </c>
      <c r="BA65" s="624" t="s">
        <v>295</v>
      </c>
    </row>
    <row r="66" spans="1:53" s="1" customFormat="1">
      <c r="A66" s="123"/>
      <c r="B66" s="13" t="s">
        <v>492</v>
      </c>
      <c r="C66" s="69">
        <v>-870.44777999999997</v>
      </c>
      <c r="D66" s="69">
        <v>0.84864399999999995</v>
      </c>
      <c r="E66" s="69">
        <v>-29.374419</v>
      </c>
      <c r="G66" s="69">
        <f>C66-zerox33</f>
        <v>-11.403531999999927</v>
      </c>
      <c r="H66" s="69">
        <f>D66-zeroy33</f>
        <v>-2.1012000000000031E-2</v>
      </c>
      <c r="I66" s="69">
        <f>E66-zeroz33</f>
        <v>-10.324408999999999</v>
      </c>
      <c r="J66" s="68">
        <f>G66-pivot*(R22*3.1416/180)</f>
        <v>-5.6533567999999272</v>
      </c>
      <c r="K66" s="69">
        <f>H66+pivot*(Q22*3.1416/180)</f>
        <v>-2.1012000000000031E-2</v>
      </c>
      <c r="L66" s="69">
        <f>I66-radius*(R22*3.1416/180)</f>
        <v>-7.7189491327333322</v>
      </c>
      <c r="M66" s="27"/>
      <c r="T66" s="128"/>
      <c r="U66" s="17"/>
      <c r="V66" s="17"/>
      <c r="W66" s="17"/>
      <c r="X66" s="17"/>
      <c r="Y66" s="17"/>
      <c r="Z66" s="17"/>
      <c r="AK66" s="450" t="s">
        <v>292</v>
      </c>
      <c r="AL66" s="918" t="s">
        <v>0</v>
      </c>
      <c r="AM66" s="918" t="s">
        <v>1</v>
      </c>
      <c r="AN66" s="1001" t="s">
        <v>2</v>
      </c>
      <c r="AO66" s="6"/>
      <c r="AQ66" s="135"/>
      <c r="AR66" s="8"/>
      <c r="AS66" s="806" t="s">
        <v>0</v>
      </c>
      <c r="AT66" s="806" t="s">
        <v>1</v>
      </c>
      <c r="AU66" s="1003" t="s">
        <v>2</v>
      </c>
      <c r="AW66" s="806" t="s">
        <v>0</v>
      </c>
      <c r="AX66" s="806" t="s">
        <v>1</v>
      </c>
      <c r="AY66" s="1003" t="s">
        <v>2</v>
      </c>
      <c r="AZ66" s="624" t="s">
        <v>7</v>
      </c>
      <c r="BA66" s="624" t="s">
        <v>717</v>
      </c>
    </row>
    <row r="67" spans="1:53" s="1" customFormat="1">
      <c r="A67" s="117"/>
      <c r="B67" t="s">
        <v>493</v>
      </c>
      <c r="C67" s="9">
        <v>859.00609399999996</v>
      </c>
      <c r="D67" s="9">
        <v>-0.16748399999999999</v>
      </c>
      <c r="E67" s="9">
        <v>-11.294419</v>
      </c>
      <c r="G67" s="66">
        <f>C67-zerox13</f>
        <v>-3.8489000000026863E-2</v>
      </c>
      <c r="H67" s="66">
        <f>D67-zeroy13</f>
        <v>-0.16748399999999999</v>
      </c>
      <c r="I67" s="66">
        <f>E67-zeroz13</f>
        <v>7.7555910000000008</v>
      </c>
      <c r="J67" s="165">
        <f>G67-pivot*(R23*3.1416/180)</f>
        <v>-3.8489000000026863E-2</v>
      </c>
      <c r="K67" s="66">
        <f>H67+pivot*(Q23*3.1416/180)</f>
        <v>5.5826912000000002</v>
      </c>
      <c r="L67" s="66">
        <f>I67+radius*(R23*3.1416/180)</f>
        <v>7.7555910000000008</v>
      </c>
      <c r="M67" s="27"/>
      <c r="T67" s="128"/>
      <c r="U67" s="17"/>
      <c r="V67" s="17"/>
      <c r="W67" s="17"/>
      <c r="X67" s="17"/>
      <c r="Y67" s="17"/>
      <c r="Z67" s="17"/>
      <c r="AK67" s="422" t="s">
        <v>24</v>
      </c>
      <c r="AL67" s="2">
        <v>0</v>
      </c>
      <c r="AM67" s="3">
        <v>0</v>
      </c>
      <c r="AN67" s="345">
        <v>0</v>
      </c>
      <c r="AO67" s="2"/>
      <c r="AP67" s="3"/>
      <c r="AQ67" s="4"/>
      <c r="AR67" s="120"/>
      <c r="AS67" s="120">
        <v>-859.07380000000001</v>
      </c>
      <c r="AT67" s="120">
        <v>0.9143</v>
      </c>
      <c r="AU67" s="150">
        <v>-19.065300000000001</v>
      </c>
      <c r="AW67" s="8">
        <f>AS67--859.074</f>
        <v>1.9999999994979589E-4</v>
      </c>
      <c r="AX67" s="8">
        <f>AT67-0.914</f>
        <v>2.9999999999996696E-4</v>
      </c>
      <c r="AY67" s="8">
        <f>AU67--19.0653</f>
        <v>0</v>
      </c>
      <c r="AZ67" s="148">
        <f>AY67-AN67</f>
        <v>0</v>
      </c>
      <c r="BA67" s="148">
        <f>AZ67--0.019</f>
        <v>1.9E-2</v>
      </c>
    </row>
    <row r="68" spans="1:53" s="1" customFormat="1">
      <c r="A68" s="117">
        <f>A65+1</f>
        <v>17</v>
      </c>
      <c r="B68" t="s">
        <v>494</v>
      </c>
      <c r="C68" s="9">
        <v>-0.343974</v>
      </c>
      <c r="D68" s="9">
        <v>858.86446799999999</v>
      </c>
      <c r="E68" s="9">
        <v>-8.7633469999999996</v>
      </c>
      <c r="G68" s="8">
        <f>C68-zerox23</f>
        <v>-2.5071999999999983E-2</v>
      </c>
      <c r="H68" s="8">
        <f>D68-zeroy23</f>
        <v>-0.18014500000003864</v>
      </c>
      <c r="I68" s="8">
        <f>E68-zeroz23</f>
        <v>10.286663000000001</v>
      </c>
      <c r="J68" s="7">
        <f>G68-pivot*(R23*3.1416/180)</f>
        <v>-2.5071999999999983E-2</v>
      </c>
      <c r="K68" s="8">
        <f>H68+pivot*(Q23*3.1416/180)</f>
        <v>5.5700301999999615</v>
      </c>
      <c r="L68" s="8">
        <f>I68-radius*(Q23*3.1416/180)</f>
        <v>7.6812031327333337</v>
      </c>
      <c r="M68" s="27"/>
      <c r="T68" s="128"/>
      <c r="U68" s="17"/>
      <c r="V68" s="17"/>
      <c r="W68" s="17"/>
      <c r="X68" s="17"/>
      <c r="Y68" s="17"/>
      <c r="Z68" s="17"/>
      <c r="AK68" s="994">
        <v>0.25</v>
      </c>
      <c r="AL68" s="1">
        <v>0</v>
      </c>
      <c r="AM68" s="1">
        <v>0</v>
      </c>
      <c r="AN68" s="323">
        <v>1.9</v>
      </c>
      <c r="AO68" s="6"/>
      <c r="AQ68" s="135"/>
      <c r="AR68" s="8"/>
      <c r="AS68" s="8">
        <v>-859.04719599999999</v>
      </c>
      <c r="AT68" s="8">
        <v>0.95658699999999997</v>
      </c>
      <c r="AU68" s="8">
        <v>-17.201581999999998</v>
      </c>
      <c r="AW68" s="8">
        <f>AS68--859.074</f>
        <v>2.6803999999970074E-2</v>
      </c>
      <c r="AX68" s="8">
        <f t="shared" ref="AX68:AX77" si="53">AT68-0.914</f>
        <v>4.258699999999993E-2</v>
      </c>
      <c r="AY68" s="75">
        <f t="shared" ref="AY68:AY77" si="54">AU68--19.0653</f>
        <v>1.8637180000000022</v>
      </c>
      <c r="AZ68" s="148">
        <f>AY68-AN68</f>
        <v>-3.6281999999997705E-2</v>
      </c>
      <c r="BA68" s="148">
        <f t="shared" ref="BA68:BA77" si="55">AZ68--0.019</f>
        <v>-1.7281999999997705E-2</v>
      </c>
    </row>
    <row r="69" spans="1:53" s="1" customFormat="1">
      <c r="A69" s="117"/>
      <c r="B69" t="s">
        <v>495</v>
      </c>
      <c r="C69" s="9">
        <v>-859.07996900000001</v>
      </c>
      <c r="D69" s="9">
        <v>0.71938800000000003</v>
      </c>
      <c r="E69" s="9">
        <v>-11.377385</v>
      </c>
      <c r="G69" s="69">
        <f>C69-zerox33</f>
        <v>-3.5720999999966807E-2</v>
      </c>
      <c r="H69" s="69">
        <f>D69-zeroy33</f>
        <v>-0.15026799999999996</v>
      </c>
      <c r="I69" s="69">
        <f>E69-zeroz33</f>
        <v>7.672625</v>
      </c>
      <c r="J69" s="68">
        <f>G69-pivot*(R23*3.1416/180)</f>
        <v>-3.5720999999966807E-2</v>
      </c>
      <c r="K69" s="69">
        <f>H69+pivot*(Q23*3.1416/180)</f>
        <v>5.5999072000000005</v>
      </c>
      <c r="L69" s="69">
        <f>I69-radius*(R23*3.1416/180)</f>
        <v>7.672625</v>
      </c>
      <c r="M69" s="27"/>
      <c r="T69" s="128"/>
      <c r="U69" s="17"/>
      <c r="V69" s="17"/>
      <c r="W69" s="17"/>
      <c r="X69" s="17"/>
      <c r="Y69" s="17"/>
      <c r="Z69" s="17"/>
      <c r="AK69" s="27">
        <v>50</v>
      </c>
      <c r="AL69" s="1">
        <v>0</v>
      </c>
      <c r="AM69" s="1">
        <v>0</v>
      </c>
      <c r="AN69" s="323">
        <v>3.8</v>
      </c>
      <c r="AO69" s="6"/>
      <c r="AQ69" s="135"/>
      <c r="AR69" s="8"/>
      <c r="AS69" s="8">
        <v>-859.06707100000006</v>
      </c>
      <c r="AT69" s="8">
        <v>0.94424200000000003</v>
      </c>
      <c r="AU69" s="8">
        <v>-15.260185</v>
      </c>
      <c r="AW69" s="8">
        <f t="shared" ref="AW69:AW77" si="56">AS69--859.074</f>
        <v>6.9289999999000429E-3</v>
      </c>
      <c r="AX69" s="8">
        <f t="shared" si="53"/>
        <v>3.0241999999999991E-2</v>
      </c>
      <c r="AY69" s="75">
        <f t="shared" si="54"/>
        <v>3.8051150000000007</v>
      </c>
      <c r="AZ69" s="148">
        <f t="shared" ref="AZ69:AZ77" si="57">AY69-AN69</f>
        <v>5.1150000000008689E-3</v>
      </c>
      <c r="BA69" s="148">
        <f t="shared" si="55"/>
        <v>2.4115000000000868E-2</v>
      </c>
    </row>
    <row r="70" spans="1:53" s="1" customFormat="1">
      <c r="A70" s="121"/>
      <c r="B70" s="11" t="s">
        <v>496</v>
      </c>
      <c r="C70" s="66">
        <v>858.997164</v>
      </c>
      <c r="D70" s="66">
        <v>11.317000999999999</v>
      </c>
      <c r="E70" s="66">
        <v>-11.330473</v>
      </c>
      <c r="G70" s="66">
        <f>C70-zerox13</f>
        <v>-4.7418999999990774E-2</v>
      </c>
      <c r="H70" s="66">
        <f>D70-zeroy13</f>
        <v>11.317000999999999</v>
      </c>
      <c r="I70" s="66">
        <f>E70-zeroz13</f>
        <v>7.7195370000000008</v>
      </c>
      <c r="J70" s="165">
        <f>G70-pivot*(R24*3.1416/180)</f>
        <v>-4.7418999999990774E-2</v>
      </c>
      <c r="K70" s="66">
        <f>H70+pivot*(Q24*3.1416/180)</f>
        <v>5.5668257999999993</v>
      </c>
      <c r="L70" s="66">
        <f>I70+radius*(R24*3.1416/180)</f>
        <v>7.7195370000000008</v>
      </c>
      <c r="M70" s="27"/>
      <c r="T70" s="128"/>
      <c r="U70" s="17"/>
      <c r="V70" s="17"/>
      <c r="W70" s="17"/>
      <c r="X70" s="17"/>
      <c r="Y70" s="17"/>
      <c r="Z70" s="17"/>
      <c r="AK70" s="27">
        <v>75</v>
      </c>
      <c r="AL70" s="1">
        <v>0</v>
      </c>
      <c r="AM70" s="1">
        <v>0</v>
      </c>
      <c r="AN70" s="323">
        <v>5.6999999999999993</v>
      </c>
      <c r="AO70" s="6"/>
      <c r="AQ70" s="135"/>
      <c r="AR70" s="8"/>
      <c r="AS70" s="8">
        <v>-859.03302499999995</v>
      </c>
      <c r="AT70" s="8">
        <v>0.969939</v>
      </c>
      <c r="AU70" s="8">
        <v>-13.38491</v>
      </c>
      <c r="AW70" s="8">
        <f t="shared" si="56"/>
        <v>4.0975000000003092E-2</v>
      </c>
      <c r="AX70" s="8">
        <f t="shared" si="53"/>
        <v>5.5938999999999961E-2</v>
      </c>
      <c r="AY70" s="75">
        <f t="shared" si="54"/>
        <v>5.6803900000000009</v>
      </c>
      <c r="AZ70" s="148">
        <f t="shared" si="57"/>
        <v>-1.9609999999998351E-2</v>
      </c>
      <c r="BA70" s="148">
        <f t="shared" si="55"/>
        <v>-6.0999999999835144E-4</v>
      </c>
    </row>
    <row r="71" spans="1:53" s="1" customFormat="1">
      <c r="A71" s="128">
        <f>A68+1</f>
        <v>18</v>
      </c>
      <c r="B71" s="1" t="s">
        <v>497</v>
      </c>
      <c r="C71" s="8">
        <v>-0.369452</v>
      </c>
      <c r="D71" s="8">
        <v>870.34243100000003</v>
      </c>
      <c r="E71" s="8">
        <v>-13.881187000000001</v>
      </c>
      <c r="G71" s="8">
        <f>C71-zerox23</f>
        <v>-5.0549999999999984E-2</v>
      </c>
      <c r="H71" s="8">
        <f>D71-zeroy23</f>
        <v>11.297818000000007</v>
      </c>
      <c r="I71" s="8">
        <f>E71-zeroz23</f>
        <v>5.1688229999999997</v>
      </c>
      <c r="J71" s="7">
        <f>G71-pivot*(R24*3.1416/180)</f>
        <v>-5.0549999999999984E-2</v>
      </c>
      <c r="K71" s="8">
        <f>H71+pivot*(Q24*3.1416/180)</f>
        <v>5.5476428000000064</v>
      </c>
      <c r="L71" s="8">
        <f>I71-radius*(Q24*3.1416/180)</f>
        <v>7.7742828672666668</v>
      </c>
      <c r="M71" s="27"/>
      <c r="T71" s="128"/>
      <c r="U71" s="17"/>
      <c r="V71" s="17"/>
      <c r="W71" s="17"/>
      <c r="X71" s="17"/>
      <c r="Y71" s="17"/>
      <c r="Z71" s="17"/>
      <c r="AK71" s="27">
        <v>100</v>
      </c>
      <c r="AL71" s="1">
        <v>0</v>
      </c>
      <c r="AM71" s="1">
        <v>0</v>
      </c>
      <c r="AN71" s="323">
        <v>7.6</v>
      </c>
      <c r="AO71" s="6"/>
      <c r="AQ71" s="135"/>
      <c r="AR71" s="8"/>
      <c r="AS71" s="8">
        <v>-859.05014800000004</v>
      </c>
      <c r="AT71" s="8">
        <v>0.95746200000000004</v>
      </c>
      <c r="AU71" s="8">
        <v>-11.473560000000001</v>
      </c>
      <c r="AW71" s="8">
        <f t="shared" si="56"/>
        <v>2.3851999999919826E-2</v>
      </c>
      <c r="AX71" s="8">
        <f t="shared" si="53"/>
        <v>4.3462000000000001E-2</v>
      </c>
      <c r="AY71" s="75">
        <f t="shared" si="54"/>
        <v>7.5917399999999997</v>
      </c>
      <c r="AZ71" s="148">
        <f t="shared" si="57"/>
        <v>-8.2599999999999341E-3</v>
      </c>
      <c r="BA71" s="148">
        <f t="shared" si="55"/>
        <v>1.0740000000000065E-2</v>
      </c>
    </row>
    <row r="72" spans="1:53" s="1" customFormat="1">
      <c r="A72" s="123"/>
      <c r="B72" s="13" t="s">
        <v>498</v>
      </c>
      <c r="C72" s="69">
        <v>-859.08993399999997</v>
      </c>
      <c r="D72" s="69">
        <v>12.188097000000001</v>
      </c>
      <c r="E72" s="69">
        <v>-11.340363</v>
      </c>
      <c r="G72" s="69">
        <f>C72-zerox33</f>
        <v>-4.5685999999932392E-2</v>
      </c>
      <c r="H72" s="69">
        <f>D72-zeroy33</f>
        <v>11.318441</v>
      </c>
      <c r="I72" s="69">
        <f>E72-zeroz33</f>
        <v>7.7096470000000004</v>
      </c>
      <c r="J72" s="68">
        <f>G72-pivot*(R24*3.1416/180)</f>
        <v>-4.5685999999932392E-2</v>
      </c>
      <c r="K72" s="69">
        <f>H72+pivot*(Q24*3.1416/180)</f>
        <v>5.5682657999999998</v>
      </c>
      <c r="L72" s="69">
        <f>I72-radius*(R24*3.1416/180)</f>
        <v>7.7096470000000004</v>
      </c>
      <c r="M72" s="27"/>
      <c r="T72" s="128"/>
      <c r="U72" s="17"/>
      <c r="V72" s="17"/>
      <c r="W72" s="17"/>
      <c r="X72" s="17"/>
      <c r="Y72" s="17"/>
      <c r="Z72" s="17"/>
      <c r="AK72" s="994" t="s">
        <v>668</v>
      </c>
      <c r="AL72" s="1">
        <v>0</v>
      </c>
      <c r="AM72" s="39">
        <v>0</v>
      </c>
      <c r="AN72" s="323">
        <v>8.6999999999999993</v>
      </c>
      <c r="AO72" s="6"/>
      <c r="AQ72" s="135"/>
      <c r="AR72" s="8"/>
      <c r="AS72" s="8">
        <v>-859.06265599999995</v>
      </c>
      <c r="AT72" s="8">
        <v>0.94181800000000004</v>
      </c>
      <c r="AU72" s="8">
        <v>-10.36369</v>
      </c>
      <c r="AW72" s="8">
        <f t="shared" si="56"/>
        <v>1.1344000000008236E-2</v>
      </c>
      <c r="AX72" s="8">
        <f t="shared" si="53"/>
        <v>2.7818000000000009E-2</v>
      </c>
      <c r="AY72" s="75">
        <f t="shared" si="54"/>
        <v>8.7016100000000005</v>
      </c>
      <c r="AZ72" s="148">
        <f t="shared" si="57"/>
        <v>1.6100000000012216E-3</v>
      </c>
      <c r="BA72" s="148">
        <f t="shared" si="55"/>
        <v>2.0610000000001221E-2</v>
      </c>
    </row>
    <row r="73" spans="1:53" s="1" customFormat="1">
      <c r="A73" s="774"/>
      <c r="C73" s="8"/>
      <c r="D73" s="8"/>
      <c r="E73" s="8"/>
      <c r="G73" s="66"/>
      <c r="H73" s="66"/>
      <c r="I73" s="66"/>
      <c r="J73" s="165"/>
      <c r="K73" s="66"/>
      <c r="L73" s="66"/>
      <c r="M73" s="27"/>
      <c r="T73" s="128"/>
      <c r="U73" s="17"/>
      <c r="V73" s="17"/>
      <c r="W73" s="17"/>
      <c r="X73" s="17"/>
      <c r="Y73" s="17"/>
      <c r="Z73" s="17"/>
      <c r="AK73" s="27">
        <v>-25</v>
      </c>
      <c r="AL73" s="1">
        <v>0</v>
      </c>
      <c r="AM73" s="1">
        <v>0</v>
      </c>
      <c r="AN73" s="323">
        <v>-1.9</v>
      </c>
      <c r="AO73" s="6"/>
      <c r="AQ73" s="135"/>
      <c r="AR73" s="8"/>
      <c r="AS73" s="8">
        <v>-859.04864499999996</v>
      </c>
      <c r="AT73" s="8">
        <v>0.94575200000000004</v>
      </c>
      <c r="AU73" s="8">
        <v>-21.009671000000001</v>
      </c>
      <c r="AW73" s="8">
        <f t="shared" si="56"/>
        <v>2.5354999999990468E-2</v>
      </c>
      <c r="AX73" s="8">
        <f t="shared" si="53"/>
        <v>3.1752000000000002E-2</v>
      </c>
      <c r="AY73" s="75">
        <f t="shared" si="54"/>
        <v>-1.9443710000000003</v>
      </c>
      <c r="AZ73" s="148">
        <f t="shared" si="57"/>
        <v>-4.4371000000000382E-2</v>
      </c>
      <c r="BA73" s="148">
        <f t="shared" si="55"/>
        <v>-2.5371000000000383E-2</v>
      </c>
    </row>
    <row r="74" spans="1:53" s="1" customFormat="1">
      <c r="A74" s="774">
        <v>19</v>
      </c>
      <c r="C74" s="8"/>
      <c r="D74" s="8"/>
      <c r="E74" s="8"/>
      <c r="G74" s="8"/>
      <c r="H74" s="8"/>
      <c r="I74" s="8"/>
      <c r="J74" s="824" t="s">
        <v>545</v>
      </c>
      <c r="K74" s="825"/>
      <c r="L74" s="825"/>
      <c r="M74" s="27"/>
      <c r="T74" s="128"/>
      <c r="U74" s="17"/>
      <c r="V74" s="17"/>
      <c r="W74" s="17"/>
      <c r="X74" s="17"/>
      <c r="Y74" s="17"/>
      <c r="Z74" s="17"/>
      <c r="AK74" s="27">
        <v>-50</v>
      </c>
      <c r="AL74" s="1">
        <v>0</v>
      </c>
      <c r="AM74" s="1">
        <v>0</v>
      </c>
      <c r="AN74" s="323">
        <v>-3.8</v>
      </c>
      <c r="AO74" s="6"/>
      <c r="AQ74" s="135"/>
      <c r="AR74" s="8"/>
      <c r="AS74" s="8">
        <v>-859.07237299999997</v>
      </c>
      <c r="AT74" s="8">
        <v>0.917354</v>
      </c>
      <c r="AU74" s="8">
        <v>-22.866067999999999</v>
      </c>
      <c r="AW74" s="8">
        <f t="shared" si="56"/>
        <v>1.626999999984946E-3</v>
      </c>
      <c r="AX74" s="8">
        <f t="shared" si="53"/>
        <v>3.3539999999999681E-3</v>
      </c>
      <c r="AY74" s="75">
        <f t="shared" si="54"/>
        <v>-3.8007679999999979</v>
      </c>
      <c r="AZ74" s="148">
        <f t="shared" si="57"/>
        <v>-7.6799999999810353E-4</v>
      </c>
      <c r="BA74" s="148">
        <f t="shared" si="55"/>
        <v>1.8232000000001896E-2</v>
      </c>
    </row>
    <row r="75" spans="1:53" s="1" customFormat="1">
      <c r="A75" s="774"/>
      <c r="C75" s="8"/>
      <c r="D75" s="8"/>
      <c r="E75" s="8"/>
      <c r="G75" s="69"/>
      <c r="H75" s="69"/>
      <c r="I75" s="69"/>
      <c r="J75" s="68"/>
      <c r="K75" s="69"/>
      <c r="L75" s="69"/>
      <c r="M75" s="27"/>
      <c r="T75" s="128"/>
      <c r="U75" s="17"/>
      <c r="V75" s="17"/>
      <c r="W75" s="17"/>
      <c r="X75" s="17"/>
      <c r="Y75" s="17"/>
      <c r="Z75" s="17"/>
      <c r="AK75" s="27">
        <v>-75</v>
      </c>
      <c r="AL75" s="1">
        <v>0</v>
      </c>
      <c r="AM75" s="1">
        <v>0</v>
      </c>
      <c r="AN75" s="323">
        <v>-5.6999999999999993</v>
      </c>
      <c r="AO75" s="6"/>
      <c r="AQ75" s="135"/>
      <c r="AR75" s="8"/>
      <c r="AS75" s="8">
        <v>-859.06413799999996</v>
      </c>
      <c r="AT75" s="8">
        <v>0.91376500000000005</v>
      </c>
      <c r="AU75" s="8">
        <v>-24.813756000000001</v>
      </c>
      <c r="AW75" s="8">
        <f t="shared" si="56"/>
        <v>9.861999999998261E-3</v>
      </c>
      <c r="AX75" s="8">
        <f t="shared" si="53"/>
        <v>-2.3499999999998522E-4</v>
      </c>
      <c r="AY75" s="75">
        <f t="shared" si="54"/>
        <v>-5.7484560000000009</v>
      </c>
      <c r="AZ75" s="148">
        <f t="shared" si="57"/>
        <v>-4.8456000000001609E-2</v>
      </c>
      <c r="BA75" s="148">
        <f t="shared" si="55"/>
        <v>-2.9456000000001609E-2</v>
      </c>
    </row>
    <row r="76" spans="1:53" s="1" customFormat="1">
      <c r="A76" s="121"/>
      <c r="B76" s="11" t="s">
        <v>502</v>
      </c>
      <c r="C76" s="66">
        <v>853.21277599999996</v>
      </c>
      <c r="D76" s="66">
        <v>5.576797</v>
      </c>
      <c r="E76" s="66">
        <v>-8.7724910000000005</v>
      </c>
      <c r="G76" s="66">
        <f>C76-zerox13</f>
        <v>-5.8318070000000262</v>
      </c>
      <c r="H76" s="66">
        <f>D76-zeroy13</f>
        <v>5.576797</v>
      </c>
      <c r="I76" s="66">
        <f>E76-zeroz13</f>
        <v>10.277519</v>
      </c>
      <c r="J76" s="165">
        <f>G76-pivot*(R26*3.1416/180)</f>
        <v>-8.1631800000026011E-2</v>
      </c>
      <c r="K76" s="66">
        <f>H76+pivot*(Q26*3.1416/180)</f>
        <v>5.576797</v>
      </c>
      <c r="L76" s="66">
        <f>I76+radius*(R26*3.1416/180)</f>
        <v>7.6720591327333327</v>
      </c>
      <c r="M76" s="27"/>
      <c r="T76" s="128"/>
      <c r="U76" s="17"/>
      <c r="V76" s="17"/>
      <c r="W76" s="17"/>
      <c r="X76" s="17"/>
      <c r="Y76" s="17"/>
      <c r="Z76" s="17"/>
      <c r="AK76" s="27">
        <v>-100</v>
      </c>
      <c r="AL76" s="1">
        <v>0</v>
      </c>
      <c r="AM76" s="1">
        <v>0</v>
      </c>
      <c r="AN76" s="323">
        <v>-7.6</v>
      </c>
      <c r="AO76" s="6"/>
      <c r="AQ76" s="135"/>
      <c r="AR76" s="8"/>
      <c r="AS76" s="8">
        <v>-859.05840499999999</v>
      </c>
      <c r="AT76" s="8">
        <v>0.90435100000000002</v>
      </c>
      <c r="AU76" s="8">
        <v>-26.698188999999999</v>
      </c>
      <c r="AW76" s="8">
        <f t="shared" si="56"/>
        <v>1.5594999999962056E-2</v>
      </c>
      <c r="AX76" s="8">
        <f t="shared" si="53"/>
        <v>-9.6490000000000187E-3</v>
      </c>
      <c r="AY76" s="75">
        <f t="shared" si="54"/>
        <v>-7.6328889999999987</v>
      </c>
      <c r="AZ76" s="148">
        <f t="shared" si="57"/>
        <v>-3.2888999999999058E-2</v>
      </c>
      <c r="BA76" s="148">
        <f t="shared" si="55"/>
        <v>-1.3888999999999058E-2</v>
      </c>
    </row>
    <row r="77" spans="1:53" s="1" customFormat="1">
      <c r="A77" s="128">
        <f>A74+1</f>
        <v>20</v>
      </c>
      <c r="B77" s="1" t="s">
        <v>503</v>
      </c>
      <c r="C77" s="8">
        <v>-6.1333849999999996</v>
      </c>
      <c r="D77" s="8">
        <v>864.60650499999997</v>
      </c>
      <c r="E77" s="8">
        <v>-11.321985</v>
      </c>
      <c r="G77" s="8">
        <f>C77-zerox23</f>
        <v>-5.8144829999999992</v>
      </c>
      <c r="H77" s="8">
        <f>D77-zeroy23</f>
        <v>5.5618919999999434</v>
      </c>
      <c r="I77" s="8">
        <f>E77-zeroz23</f>
        <v>7.7280250000000006</v>
      </c>
      <c r="J77" s="7">
        <f>G77-pivot*(R26*3.1416/180)</f>
        <v>-6.4307799999999027E-2</v>
      </c>
      <c r="K77" s="8">
        <f>H77+pivot*(Q26*3.1416/180)</f>
        <v>5.5618919999999434</v>
      </c>
      <c r="L77" s="8">
        <f>I77-radius*(Q26*3.1416/180)</f>
        <v>7.7280250000000006</v>
      </c>
      <c r="M77" s="27"/>
      <c r="T77" s="128"/>
      <c r="U77" s="17"/>
      <c r="V77" s="17"/>
      <c r="W77" s="17"/>
      <c r="X77" s="17"/>
      <c r="Y77" s="17"/>
      <c r="Z77" s="17"/>
      <c r="AK77" s="994" t="s">
        <v>669</v>
      </c>
      <c r="AL77" s="212">
        <v>0</v>
      </c>
      <c r="AM77" s="212">
        <v>0</v>
      </c>
      <c r="AN77" s="351">
        <v>-8.6999999999999993</v>
      </c>
      <c r="AO77" s="6"/>
      <c r="AQ77" s="135"/>
      <c r="AR77" s="8"/>
      <c r="AS77" s="8">
        <v>-859.06495399999994</v>
      </c>
      <c r="AT77" s="8">
        <v>0.89076500000000003</v>
      </c>
      <c r="AU77" s="8">
        <v>-27.788644000000001</v>
      </c>
      <c r="AW77" s="8">
        <f t="shared" si="56"/>
        <v>9.0460000000120999E-3</v>
      </c>
      <c r="AX77" s="8">
        <f t="shared" si="53"/>
        <v>-2.3235000000000006E-2</v>
      </c>
      <c r="AY77" s="75">
        <f t="shared" si="54"/>
        <v>-8.7233440000000009</v>
      </c>
      <c r="AZ77" s="148">
        <f t="shared" si="57"/>
        <v>-2.3344000000001586E-2</v>
      </c>
      <c r="BA77" s="148">
        <f t="shared" si="55"/>
        <v>-4.3440000000015862E-3</v>
      </c>
    </row>
    <row r="78" spans="1:53" s="1" customFormat="1">
      <c r="A78" s="123"/>
      <c r="B78" s="13" t="s">
        <v>504</v>
      </c>
      <c r="C78" s="69">
        <v>-864.85622699999999</v>
      </c>
      <c r="D78" s="69">
        <v>6.4515469999999997</v>
      </c>
      <c r="E78" s="69">
        <v>-13.894895</v>
      </c>
      <c r="G78" s="69">
        <f>C78-zerox33</f>
        <v>-5.8119789999999512</v>
      </c>
      <c r="H78" s="69">
        <f>D78-zeroy33</f>
        <v>5.5818909999999997</v>
      </c>
      <c r="I78" s="69">
        <f>E78-zeroz33</f>
        <v>5.1551150000000003</v>
      </c>
      <c r="J78" s="68">
        <f>G78-pivot*(R26*3.1416/180)</f>
        <v>-6.1803799999951003E-2</v>
      </c>
      <c r="K78" s="69">
        <f>H78+pivot*(Q26*3.1416/180)</f>
        <v>5.5818909999999997</v>
      </c>
      <c r="L78" s="69">
        <f>I78-radius*(R26*3.1416/180)</f>
        <v>7.7605748672666675</v>
      </c>
      <c r="M78" s="27"/>
      <c r="T78" s="128"/>
      <c r="U78" s="17"/>
      <c r="V78" s="17"/>
      <c r="W78" s="17"/>
      <c r="X78" s="17"/>
      <c r="Y78" s="17"/>
      <c r="Z78" s="17"/>
      <c r="AK78" s="230"/>
      <c r="AL78" s="5">
        <v>0</v>
      </c>
      <c r="AM78" s="5">
        <v>0</v>
      </c>
      <c r="AN78" s="197">
        <v>0</v>
      </c>
      <c r="AO78" s="12"/>
      <c r="AP78" s="13"/>
      <c r="AQ78" s="87"/>
      <c r="AR78" s="69"/>
      <c r="AS78" s="69"/>
      <c r="AT78" s="69"/>
      <c r="AU78" s="69"/>
      <c r="AV78" s="13"/>
      <c r="AW78" s="69"/>
      <c r="AX78" s="69"/>
      <c r="AY78" s="8"/>
      <c r="AZ78" s="148"/>
      <c r="BA78" s="148"/>
    </row>
    <row r="79" spans="1:53" s="1" customFormat="1">
      <c r="A79" s="820"/>
      <c r="B79" s="821" t="s">
        <v>505</v>
      </c>
      <c r="C79" s="822">
        <v>858.98539000000005</v>
      </c>
      <c r="D79" s="822">
        <v>-0.21526699999999999</v>
      </c>
      <c r="E79" s="822">
        <v>-26.797162</v>
      </c>
      <c r="F79" s="788"/>
      <c r="G79" s="791">
        <f>C79-zerox13</f>
        <v>-5.9192999999936546E-2</v>
      </c>
      <c r="H79" s="791">
        <f>D79-zeroy13</f>
        <v>-0.21526699999999999</v>
      </c>
      <c r="I79" s="791">
        <f>E79-zeroz13</f>
        <v>-7.7471519999999998</v>
      </c>
      <c r="J79" s="792">
        <f>G79-pivot*(R27*3.1416/180)</f>
        <v>-5.9192999999936546E-2</v>
      </c>
      <c r="K79" s="791">
        <f>H79+pivot*(Q27*3.1416/180)</f>
        <v>5.5349082000000003</v>
      </c>
      <c r="L79" s="791">
        <f>I79+radius*(R27*3.1416/180)</f>
        <v>-7.7471519999999998</v>
      </c>
      <c r="M79" s="27"/>
      <c r="T79" s="128"/>
      <c r="U79" s="17"/>
      <c r="V79" s="17"/>
      <c r="W79" s="17"/>
      <c r="X79" s="17"/>
      <c r="Y79" s="17"/>
      <c r="Z79" s="17"/>
      <c r="AK79" s="6"/>
      <c r="AR79" s="8"/>
      <c r="AS79" s="8"/>
      <c r="AT79" s="8"/>
      <c r="AU79" s="8"/>
      <c r="AW79" s="8"/>
      <c r="AX79" s="8"/>
      <c r="AY79" s="149" t="s">
        <v>665</v>
      </c>
      <c r="AZ79" s="150">
        <f>AVERAGE(AZ67:AZ77)</f>
        <v>-1.884136363636315E-2</v>
      </c>
      <c r="BA79" s="150">
        <f>AVERAGE(BA67:BA77)</f>
        <v>1.5863636363685127E-4</v>
      </c>
    </row>
    <row r="80" spans="1:53" s="1" customFormat="1">
      <c r="A80" s="820">
        <f>A77+1</f>
        <v>21</v>
      </c>
      <c r="B80" s="821" t="s">
        <v>506</v>
      </c>
      <c r="C80" s="822">
        <v>-0.34533999999999998</v>
      </c>
      <c r="D80" s="822">
        <v>858.84169499999996</v>
      </c>
      <c r="E80" s="822">
        <v>-24.251495999999999</v>
      </c>
      <c r="F80" s="788"/>
      <c r="G80" s="784">
        <f>C80-zerox23</f>
        <v>-2.6437999999999962E-2</v>
      </c>
      <c r="H80" s="784">
        <f>D80-zeroy23</f>
        <v>-0.20291800000006788</v>
      </c>
      <c r="I80" s="784">
        <f>E80-zeroz23</f>
        <v>-5.2014859999999992</v>
      </c>
      <c r="J80" s="783">
        <f>G80-pivot*(R27*3.1416/180)</f>
        <v>-2.6437999999999962E-2</v>
      </c>
      <c r="K80" s="784">
        <f>H80+pivot*(Q27*3.1416/180)</f>
        <v>5.5472571999999323</v>
      </c>
      <c r="L80" s="784">
        <f>I80-radius*(Q27*3.1416/180)</f>
        <v>-7.8069458672666663</v>
      </c>
      <c r="M80" s="27"/>
      <c r="T80" s="128"/>
      <c r="U80" s="17"/>
      <c r="V80" s="17"/>
      <c r="W80" s="17"/>
      <c r="X80" s="17"/>
      <c r="Y80" s="17"/>
      <c r="Z80" s="17"/>
      <c r="AK80" s="486"/>
      <c r="AR80" s="8"/>
      <c r="AS80" s="8"/>
      <c r="AT80" s="8"/>
      <c r="AU80" s="8"/>
      <c r="AW80" s="8"/>
      <c r="AX80" s="8"/>
      <c r="AY80" s="8"/>
      <c r="AZ80" s="165" t="s">
        <v>663</v>
      </c>
      <c r="BA80" s="166">
        <f>STDEV(BA67:BA77)</f>
        <v>1.9588108092783326E-2</v>
      </c>
    </row>
    <row r="81" spans="1:55" s="1" customFormat="1">
      <c r="A81" s="820"/>
      <c r="B81" s="821" t="s">
        <v>507</v>
      </c>
      <c r="C81" s="822">
        <v>-859.10219700000005</v>
      </c>
      <c r="D81" s="822">
        <v>0.68167100000000003</v>
      </c>
      <c r="E81" s="822">
        <v>-26.860571</v>
      </c>
      <c r="F81" s="788"/>
      <c r="G81" s="798">
        <f>C81-zerox33</f>
        <v>-5.79490000000078E-2</v>
      </c>
      <c r="H81" s="798">
        <f>D81-zeroy33</f>
        <v>-0.18798499999999996</v>
      </c>
      <c r="I81" s="798">
        <f>E81-zeroz33</f>
        <v>-7.8105609999999999</v>
      </c>
      <c r="J81" s="799">
        <f>G81-pivot*(R27*3.1416/180)</f>
        <v>-5.79490000000078E-2</v>
      </c>
      <c r="K81" s="798">
        <f>H81+pivot*(Q27*3.1416/180)</f>
        <v>5.5621901999999999</v>
      </c>
      <c r="L81" s="798">
        <f>I81-radius*(R27*3.1416/180)</f>
        <v>-7.8105609999999999</v>
      </c>
      <c r="M81" s="27"/>
      <c r="T81" s="128"/>
      <c r="U81" s="17"/>
      <c r="V81" s="17"/>
      <c r="W81" s="17"/>
      <c r="X81" s="17"/>
      <c r="Y81" s="17"/>
      <c r="Z81" s="17"/>
      <c r="AK81" s="43" t="s">
        <v>667</v>
      </c>
      <c r="AL81" s="3"/>
      <c r="AM81" s="3"/>
      <c r="AN81" s="3"/>
      <c r="AO81" s="3"/>
      <c r="AP81" s="3"/>
      <c r="AQ81" s="3"/>
      <c r="AR81" s="66"/>
      <c r="AS81" s="66"/>
      <c r="AT81" s="66"/>
      <c r="AU81" s="66"/>
      <c r="AV81" s="11"/>
      <c r="AW81" s="66"/>
      <c r="AX81" s="66"/>
      <c r="AY81" s="66"/>
      <c r="AZ81" s="66"/>
      <c r="BA81" s="66"/>
      <c r="BB81" s="66"/>
      <c r="BC81" s="250"/>
    </row>
    <row r="82" spans="1:55" s="1" customFormat="1">
      <c r="A82" s="816"/>
      <c r="B82" s="758" t="s">
        <v>508</v>
      </c>
      <c r="C82" s="759">
        <v>858.96846900000003</v>
      </c>
      <c r="D82" s="759">
        <v>-4.0194000000000001E-2</v>
      </c>
      <c r="E82" s="759">
        <v>-19.064793000000002</v>
      </c>
      <c r="F82" s="758"/>
      <c r="G82" s="759">
        <f>C82-zerox13</f>
        <v>-7.6113999999961379E-2</v>
      </c>
      <c r="H82" s="759">
        <f>D82-zeroy13</f>
        <v>-4.0194000000000001E-2</v>
      </c>
      <c r="I82" s="759">
        <f>E82-zeroz13</f>
        <v>-1.4783000000001323E-2</v>
      </c>
      <c r="J82" s="817"/>
      <c r="K82" s="759"/>
      <c r="L82" s="759"/>
      <c r="M82" s="27"/>
      <c r="T82" s="128"/>
      <c r="U82" s="17"/>
      <c r="V82" s="17"/>
      <c r="W82" s="17"/>
      <c r="X82" s="17"/>
      <c r="Y82" s="17"/>
      <c r="Z82" s="17"/>
      <c r="AK82" s="461"/>
      <c r="AL82" s="459" t="s">
        <v>8</v>
      </c>
      <c r="AM82" s="460"/>
      <c r="AN82" s="460"/>
      <c r="AO82" s="460"/>
      <c r="AP82" s="460"/>
      <c r="AQ82" s="11"/>
      <c r="AR82" s="146" t="s">
        <v>672</v>
      </c>
      <c r="AS82" s="8" t="s">
        <v>661</v>
      </c>
      <c r="AT82" s="8"/>
      <c r="AU82" s="8"/>
      <c r="AW82" s="8" t="s">
        <v>662</v>
      </c>
      <c r="AX82" s="8"/>
      <c r="AY82" s="8"/>
      <c r="AZ82" s="8" t="s">
        <v>96</v>
      </c>
      <c r="BA82" s="8" t="s">
        <v>96</v>
      </c>
      <c r="BB82" s="1039" t="s">
        <v>671</v>
      </c>
      <c r="BC82" s="250"/>
    </row>
    <row r="83" spans="1:55" s="1" customFormat="1">
      <c r="A83" s="804" t="s">
        <v>24</v>
      </c>
      <c r="B83" s="48" t="s">
        <v>509</v>
      </c>
      <c r="C83" s="764">
        <v>-0.37875700000000001</v>
      </c>
      <c r="D83" s="764">
        <v>859.00515600000006</v>
      </c>
      <c r="E83" s="764">
        <v>-19.068795000000001</v>
      </c>
      <c r="F83" s="48"/>
      <c r="G83" s="764">
        <f>C83-zerox23</f>
        <v>-5.9854999999999992E-2</v>
      </c>
      <c r="H83" s="764">
        <f>D83-zeroy23</f>
        <v>-3.9456999999970321E-2</v>
      </c>
      <c r="I83" s="764">
        <f>E83-zeroz23</f>
        <v>-1.8785000000001162E-2</v>
      </c>
      <c r="J83" s="805"/>
      <c r="K83" s="764"/>
      <c r="L83" s="764"/>
      <c r="M83" s="27"/>
      <c r="T83" s="128"/>
      <c r="U83" s="17"/>
      <c r="V83" s="17"/>
      <c r="W83" s="17"/>
      <c r="X83" s="17"/>
      <c r="Y83" s="17"/>
      <c r="Z83" s="17"/>
      <c r="AK83" s="455" t="s">
        <v>253</v>
      </c>
      <c r="AL83" s="442" t="s">
        <v>0</v>
      </c>
      <c r="AM83" s="443" t="s">
        <v>1</v>
      </c>
      <c r="AN83" s="443" t="s">
        <v>2</v>
      </c>
      <c r="AO83" s="443" t="s">
        <v>3</v>
      </c>
      <c r="AP83" s="443" t="s">
        <v>4</v>
      </c>
      <c r="AQ83" s="443" t="s">
        <v>5</v>
      </c>
      <c r="AR83" s="545" t="s">
        <v>263</v>
      </c>
      <c r="AS83" s="806" t="s">
        <v>0</v>
      </c>
      <c r="AT83" s="806" t="s">
        <v>1</v>
      </c>
      <c r="AU83" s="1003" t="s">
        <v>2</v>
      </c>
      <c r="AW83" s="806" t="s">
        <v>0</v>
      </c>
      <c r="AX83" s="806" t="s">
        <v>1</v>
      </c>
      <c r="AY83" s="1003" t="s">
        <v>2</v>
      </c>
      <c r="AZ83" s="1003" t="s">
        <v>0</v>
      </c>
      <c r="BA83" s="1003" t="s">
        <v>1</v>
      </c>
      <c r="BB83" s="1039" t="s">
        <v>7</v>
      </c>
      <c r="BC83" s="250"/>
    </row>
    <row r="84" spans="1:55" s="1" customFormat="1">
      <c r="A84" s="818">
        <f>STDEV(G82:G84,H82:H84,I82:I84)</f>
        <v>2.1279389939422019E-2</v>
      </c>
      <c r="B84" s="771" t="s">
        <v>510</v>
      </c>
      <c r="C84" s="772">
        <v>-859.11090100000001</v>
      </c>
      <c r="D84" s="772">
        <v>0.828376</v>
      </c>
      <c r="E84" s="772">
        <v>-19.076340999999999</v>
      </c>
      <c r="F84" s="771"/>
      <c r="G84" s="772">
        <f>C84-zerox33</f>
        <v>-6.6652999999973872E-2</v>
      </c>
      <c r="H84" s="772">
        <f>D84-zeroy33</f>
        <v>-4.1279999999999983E-2</v>
      </c>
      <c r="I84" s="772">
        <f>E84-zeroz33</f>
        <v>-2.6330999999998994E-2</v>
      </c>
      <c r="J84" s="819"/>
      <c r="K84" s="772"/>
      <c r="L84" s="772"/>
      <c r="M84" s="27"/>
      <c r="T84" s="128"/>
      <c r="U84" s="17"/>
      <c r="V84" s="17"/>
      <c r="W84" s="17"/>
      <c r="X84" s="17"/>
      <c r="Y84" s="17"/>
      <c r="Z84" s="17"/>
      <c r="AK84" s="344" t="s">
        <v>254</v>
      </c>
      <c r="AL84" s="289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132"/>
      <c r="AS84" s="120">
        <v>859.09425599999997</v>
      </c>
      <c r="AT84" s="120">
        <v>6.4079999999999996E-3</v>
      </c>
      <c r="AU84" s="120">
        <v>-19.056566</v>
      </c>
      <c r="AW84" s="8"/>
      <c r="AX84" s="8"/>
      <c r="AY84" s="8"/>
      <c r="AZ84" s="8"/>
      <c r="BA84" s="8"/>
      <c r="BB84" s="8"/>
      <c r="BC84" s="209"/>
    </row>
    <row r="85" spans="1:55" s="1" customFormat="1">
      <c r="A85" s="823"/>
      <c r="B85" s="790" t="s">
        <v>511</v>
      </c>
      <c r="C85" s="791">
        <v>858.99656100000004</v>
      </c>
      <c r="D85" s="791">
        <v>11.270360999999999</v>
      </c>
      <c r="E85" s="791">
        <v>-26.811444999999999</v>
      </c>
      <c r="F85" s="822"/>
      <c r="G85" s="791">
        <f>C85-zerox14</f>
        <v>2.8092000000015105E-2</v>
      </c>
      <c r="H85" s="791">
        <f>D85-zeroy14</f>
        <v>11.310554999999999</v>
      </c>
      <c r="I85" s="791">
        <f>E85-zeroz14</f>
        <v>-7.7466519999999974</v>
      </c>
      <c r="J85" s="792">
        <f>G85-pivot*(R28*3.1416/180)</f>
        <v>2.8092000000015105E-2</v>
      </c>
      <c r="K85" s="791">
        <f>H85+pivot*(Q28*3.1416/180)</f>
        <v>5.5603797999999989</v>
      </c>
      <c r="L85" s="791">
        <f>I85+radius*(R28*3.1416/180)</f>
        <v>-7.7466519999999974</v>
      </c>
      <c r="M85" s="27"/>
      <c r="T85" s="128"/>
      <c r="U85" s="17"/>
      <c r="V85" s="17"/>
      <c r="W85" s="17"/>
      <c r="X85" s="17"/>
      <c r="Y85" s="17"/>
      <c r="Z85" s="17"/>
      <c r="AK85" s="127">
        <v>1</v>
      </c>
      <c r="AL85" s="78">
        <v>7.6</v>
      </c>
      <c r="AM85" s="75">
        <v>0</v>
      </c>
      <c r="AN85" s="1">
        <v>0</v>
      </c>
      <c r="AO85" s="1">
        <v>0</v>
      </c>
      <c r="AP85" s="1">
        <v>0</v>
      </c>
      <c r="AQ85" s="1">
        <v>0</v>
      </c>
      <c r="AR85" s="132">
        <f>SQRT(AL85*AL85+AM85*AM85)</f>
        <v>7.6</v>
      </c>
      <c r="AS85" s="8">
        <v>866.67078200000003</v>
      </c>
      <c r="AT85" s="8">
        <v>4.0870000000000004E-3</v>
      </c>
      <c r="AU85" s="8">
        <v>-19.040505</v>
      </c>
      <c r="AW85" s="75">
        <f>AS85-859.0943</f>
        <v>7.5764820000000555</v>
      </c>
      <c r="AX85" s="75">
        <f>AT85-0.006408</f>
        <v>-2.3209999999999993E-3</v>
      </c>
      <c r="AY85" s="8">
        <f>AU85--19.0566</f>
        <v>1.609499999999997E-2</v>
      </c>
      <c r="AZ85" s="8">
        <f>AW85-AL85</f>
        <v>-2.3517999999944195E-2</v>
      </c>
      <c r="BA85" s="8">
        <f>AX85-AM85</f>
        <v>-2.3209999999999993E-3</v>
      </c>
      <c r="BB85" s="8">
        <f>SQRT(AZ85*AZ85+BA85*BA85)</f>
        <v>2.3632252643313017E-2</v>
      </c>
      <c r="BC85" s="209"/>
    </row>
    <row r="86" spans="1:55" s="1" customFormat="1">
      <c r="A86" s="826">
        <f>A80+1</f>
        <v>22</v>
      </c>
      <c r="B86" s="788" t="s">
        <v>512</v>
      </c>
      <c r="C86" s="784">
        <v>-0.33063599999999999</v>
      </c>
      <c r="D86" s="784">
        <v>870.32412799999997</v>
      </c>
      <c r="E86" s="784">
        <v>-29.354163</v>
      </c>
      <c r="F86" s="822"/>
      <c r="G86" s="784">
        <f>C86-zerox24</f>
        <v>4.8121000000000025E-2</v>
      </c>
      <c r="H86" s="784">
        <f>D86-zeroy24</f>
        <v>11.318971999999917</v>
      </c>
      <c r="I86" s="784">
        <f>E86-zeroz24</f>
        <v>-10.285367999999998</v>
      </c>
      <c r="J86" s="783">
        <f>G86-pivot*(R28*3.1416/180)</f>
        <v>4.8121000000000025E-2</v>
      </c>
      <c r="K86" s="784">
        <f>H86+pivot*(Q28*3.1416/180)</f>
        <v>5.5687967999999168</v>
      </c>
      <c r="L86" s="784">
        <f>I86-radius*(Q28*3.1416/180)</f>
        <v>-7.6799081327333312</v>
      </c>
      <c r="M86" s="27"/>
      <c r="T86" s="827"/>
      <c r="U86" s="17"/>
      <c r="V86" s="17"/>
      <c r="W86" s="17"/>
      <c r="X86" s="17"/>
      <c r="Y86" s="17"/>
      <c r="Z86" s="17"/>
      <c r="AK86" s="127">
        <v>2</v>
      </c>
      <c r="AL86" s="78">
        <v>5.3739999999999997</v>
      </c>
      <c r="AM86" s="75">
        <v>5.3739999999999997</v>
      </c>
      <c r="AN86" s="1">
        <v>0</v>
      </c>
      <c r="AO86" s="1">
        <v>0</v>
      </c>
      <c r="AP86" s="1">
        <v>0</v>
      </c>
      <c r="AQ86" s="1">
        <v>0</v>
      </c>
      <c r="AR86" s="132">
        <f t="shared" ref="AR86:AR91" si="58">SQRT(AL86*AL86+AM86*AM86)</f>
        <v>7.5999836841930124</v>
      </c>
      <c r="AS86" s="8">
        <v>864.46524399999998</v>
      </c>
      <c r="AT86" s="8">
        <v>5.359578</v>
      </c>
      <c r="AU86" s="8">
        <v>-19.058318</v>
      </c>
      <c r="AW86" s="75">
        <f t="shared" ref="AW86:AW92" si="59">AS86-859.0943</f>
        <v>5.3709440000000086</v>
      </c>
      <c r="AX86" s="75">
        <f t="shared" ref="AX86:AX92" si="60">AT86-0.006408</f>
        <v>5.3531699999999995</v>
      </c>
      <c r="AY86" s="8">
        <f t="shared" ref="AY86:AY92" si="61">AU86--19.0566</f>
        <v>-1.7180000000003304E-3</v>
      </c>
      <c r="AZ86" s="8">
        <f>AW86-AL86</f>
        <v>-3.0559999999910659E-3</v>
      </c>
      <c r="BA86" s="8">
        <f t="shared" ref="BA86" si="62">AX86-AM86</f>
        <v>-2.0830000000000126E-2</v>
      </c>
      <c r="BB86" s="8">
        <f t="shared" ref="BB86:BB92" si="63">SQRT(AZ86*AZ86+BA86*BA86)</f>
        <v>2.1052981641562097E-2</v>
      </c>
      <c r="BC86" s="209"/>
    </row>
    <row r="87" spans="1:55" s="1" customFormat="1">
      <c r="A87" s="828"/>
      <c r="B87" s="797" t="s">
        <v>513</v>
      </c>
      <c r="C87" s="798">
        <v>-859.09088199999997</v>
      </c>
      <c r="D87" s="798">
        <v>12.194411000000001</v>
      </c>
      <c r="E87" s="798">
        <v>-26.834112999999999</v>
      </c>
      <c r="F87" s="822"/>
      <c r="G87" s="798">
        <f>C87-zerox34</f>
        <v>2.0019000000047527E-2</v>
      </c>
      <c r="H87" s="798">
        <f>D87-zeroy34</f>
        <v>11.366035</v>
      </c>
      <c r="I87" s="798">
        <f>E87-zeroz34</f>
        <v>-7.7577719999999992</v>
      </c>
      <c r="J87" s="799">
        <f>G87-pivot*(R28*3.1416/180)</f>
        <v>2.0019000000047527E-2</v>
      </c>
      <c r="K87" s="798">
        <f>H87+pivot*(Q28*3.1416/180)</f>
        <v>5.6158598</v>
      </c>
      <c r="L87" s="798">
        <f>I87-radius*(R28*3.1416/180)</f>
        <v>-7.7577719999999992</v>
      </c>
      <c r="M87" s="27"/>
      <c r="T87" s="128"/>
      <c r="U87" s="17"/>
      <c r="V87" s="17"/>
      <c r="W87" s="17"/>
      <c r="X87" s="17"/>
      <c r="Y87" s="17"/>
      <c r="Z87" s="17"/>
      <c r="AK87" s="127">
        <v>3</v>
      </c>
      <c r="AL87" s="78">
        <v>5.3739999999999997</v>
      </c>
      <c r="AM87" s="75">
        <v>-5.3739999999999997</v>
      </c>
      <c r="AN87" s="1">
        <v>0</v>
      </c>
      <c r="AO87" s="1">
        <v>0</v>
      </c>
      <c r="AP87" s="1">
        <v>0</v>
      </c>
      <c r="AQ87" s="1">
        <v>0</v>
      </c>
      <c r="AR87" s="132">
        <f t="shared" si="58"/>
        <v>7.5999836841930124</v>
      </c>
      <c r="AS87" s="8">
        <v>864.46006899999998</v>
      </c>
      <c r="AT87" s="8">
        <v>-5.3474789999999999</v>
      </c>
      <c r="AU87" s="8">
        <v>-19.056080999999999</v>
      </c>
      <c r="AW87" s="75">
        <f t="shared" si="59"/>
        <v>5.3657690000000002</v>
      </c>
      <c r="AX87" s="75">
        <f t="shared" si="60"/>
        <v>-5.3538870000000003</v>
      </c>
      <c r="AY87" s="8">
        <f t="shared" ref="AY87" si="64">AU87--19.0566</f>
        <v>5.1900000000060231E-4</v>
      </c>
      <c r="AZ87" s="8">
        <f>AW87-AL87</f>
        <v>-8.2309999999994332E-3</v>
      </c>
      <c r="BA87" s="8">
        <f t="shared" ref="BA87" si="65">AX87-AM87</f>
        <v>2.0112999999999381E-2</v>
      </c>
      <c r="BB87" s="8">
        <f t="shared" si="63"/>
        <v>2.1732053055336622E-2</v>
      </c>
      <c r="BC87" s="209"/>
    </row>
    <row r="88" spans="1:55" s="1" customFormat="1">
      <c r="A88" s="823"/>
      <c r="B88" s="790" t="s">
        <v>518</v>
      </c>
      <c r="C88" s="791">
        <v>864.71518100000003</v>
      </c>
      <c r="D88" s="791">
        <v>5.4532699999999998</v>
      </c>
      <c r="E88" s="791">
        <v>-29.384331</v>
      </c>
      <c r="F88" s="788"/>
      <c r="G88" s="791">
        <f>C88-zerox14</f>
        <v>5.7467120000000023</v>
      </c>
      <c r="H88" s="791">
        <f>D88-zeroy14</f>
        <v>5.4934639999999995</v>
      </c>
      <c r="I88" s="791">
        <f>E88-zeroz14</f>
        <v>-10.319537999999998</v>
      </c>
      <c r="J88" s="792">
        <f>G88-pivot*(R29*3.1416/180)</f>
        <v>-3.4631999999978902E-3</v>
      </c>
      <c r="K88" s="791">
        <f>H88+pivot*(Q29*3.1416/180)</f>
        <v>5.4934639999999995</v>
      </c>
      <c r="L88" s="791">
        <f>I88+radius*(R29*3.1416/180)</f>
        <v>-7.7140781327333308</v>
      </c>
      <c r="M88" s="27"/>
      <c r="T88" s="128"/>
      <c r="U88" s="17"/>
      <c r="V88" s="17"/>
      <c r="W88" s="17"/>
      <c r="X88" s="17"/>
      <c r="Y88" s="17"/>
      <c r="Z88" s="17"/>
      <c r="AK88" s="127">
        <v>4</v>
      </c>
      <c r="AL88" s="78">
        <v>0</v>
      </c>
      <c r="AM88" s="75">
        <v>7.6</v>
      </c>
      <c r="AN88" s="1">
        <v>0</v>
      </c>
      <c r="AO88" s="1">
        <v>0</v>
      </c>
      <c r="AP88" s="1">
        <v>0</v>
      </c>
      <c r="AQ88" s="1">
        <v>0</v>
      </c>
      <c r="AR88" s="132">
        <f t="shared" si="58"/>
        <v>7.6</v>
      </c>
      <c r="AS88" s="8">
        <v>859.11319300000002</v>
      </c>
      <c r="AT88" s="8">
        <v>7.5964619999999998</v>
      </c>
      <c r="AU88" s="8">
        <v>-19.037797999999999</v>
      </c>
      <c r="AW88" s="75">
        <f t="shared" si="59"/>
        <v>1.8893000000048232E-2</v>
      </c>
      <c r="AX88" s="75">
        <f t="shared" si="60"/>
        <v>7.5900539999999994</v>
      </c>
      <c r="AY88" s="8">
        <f t="shared" si="61"/>
        <v>1.8802000000000874E-2</v>
      </c>
      <c r="AZ88" s="8">
        <f t="shared" ref="AZ88:AZ92" si="66">AW88-AL88</f>
        <v>1.8893000000048232E-2</v>
      </c>
      <c r="BA88" s="8">
        <f t="shared" ref="BA88:BA92" si="67">AX88-AM88</f>
        <v>-9.9460000000002324E-3</v>
      </c>
      <c r="BB88" s="8">
        <f t="shared" si="63"/>
        <v>2.1351074094804391E-2</v>
      </c>
      <c r="BC88" s="209"/>
    </row>
    <row r="89" spans="1:55" s="1" customFormat="1">
      <c r="A89" s="826">
        <f>A86+1</f>
        <v>23</v>
      </c>
      <c r="B89" s="788" t="s">
        <v>520</v>
      </c>
      <c r="C89" s="784">
        <v>5.3773530000000003</v>
      </c>
      <c r="D89" s="784">
        <v>864.52954399999999</v>
      </c>
      <c r="E89" s="784">
        <v>-26.840986999999998</v>
      </c>
      <c r="F89" s="788"/>
      <c r="G89" s="784">
        <f>C89-zerox24</f>
        <v>5.7561100000000005</v>
      </c>
      <c r="H89" s="784">
        <f>D89-zeroy24</f>
        <v>5.5243879999999308</v>
      </c>
      <c r="I89" s="784">
        <f>E89-zeroz24</f>
        <v>-7.7721919999999969</v>
      </c>
      <c r="J89" s="783">
        <f>G89-pivot*(R29*3.1416/180)</f>
        <v>5.9348000000003509E-3</v>
      </c>
      <c r="K89" s="784">
        <f>H89+pivot*(Q29*3.1416/180)</f>
        <v>5.5243879999999308</v>
      </c>
      <c r="L89" s="784">
        <f>I89-radius*(Q29*3.1416/180)</f>
        <v>-7.7721919999999969</v>
      </c>
      <c r="M89" s="27"/>
      <c r="T89" s="128"/>
      <c r="U89" s="17"/>
      <c r="V89" s="17"/>
      <c r="W89" s="17"/>
      <c r="X89" s="17"/>
      <c r="Y89" s="17"/>
      <c r="Z89" s="17"/>
      <c r="AK89" s="127">
        <v>5</v>
      </c>
      <c r="AL89" s="78">
        <v>-5.3739999999999997</v>
      </c>
      <c r="AM89" s="75">
        <v>5.3739999999999997</v>
      </c>
      <c r="AN89" s="1">
        <v>0</v>
      </c>
      <c r="AO89" s="1">
        <v>0</v>
      </c>
      <c r="AP89" s="1">
        <v>0</v>
      </c>
      <c r="AQ89" s="1">
        <v>0</v>
      </c>
      <c r="AR89" s="132">
        <f t="shared" si="58"/>
        <v>7.5999836841930124</v>
      </c>
      <c r="AS89" s="8">
        <v>853.71674599999994</v>
      </c>
      <c r="AT89" s="8">
        <v>5.3766090000000002</v>
      </c>
      <c r="AU89" s="8">
        <v>-19.050597</v>
      </c>
      <c r="AW89" s="75">
        <f t="shared" si="59"/>
        <v>-5.3775540000000319</v>
      </c>
      <c r="AX89" s="75">
        <f t="shared" si="60"/>
        <v>5.3702009999999998</v>
      </c>
      <c r="AY89" s="8">
        <f t="shared" si="61"/>
        <v>6.0029999999997585E-3</v>
      </c>
      <c r="AZ89" s="8">
        <f t="shared" si="66"/>
        <v>-3.5540000000322536E-3</v>
      </c>
      <c r="BA89" s="8">
        <f t="shared" si="67"/>
        <v>-3.7989999999998858E-3</v>
      </c>
      <c r="BB89" s="8">
        <f t="shared" si="63"/>
        <v>5.2022415361292476E-3</v>
      </c>
      <c r="BC89" s="209"/>
    </row>
    <row r="90" spans="1:55" s="1" customFormat="1">
      <c r="A90" s="828"/>
      <c r="B90" s="797" t="s">
        <v>525</v>
      </c>
      <c r="C90" s="798">
        <v>-853.37097500000004</v>
      </c>
      <c r="D90" s="798">
        <v>6.383184</v>
      </c>
      <c r="E90" s="798">
        <v>-24.327100000000002</v>
      </c>
      <c r="F90" s="788"/>
      <c r="G90" s="798">
        <f>C90-zerox34</f>
        <v>5.7399259999999686</v>
      </c>
      <c r="H90" s="798">
        <f>D90-zeroy34</f>
        <v>5.5548079999999995</v>
      </c>
      <c r="I90" s="798">
        <f>E90-zeroz34</f>
        <v>-5.2507590000000022</v>
      </c>
      <c r="J90" s="799">
        <f>G90-pivot*(R29*3.1416/180)</f>
        <v>-1.02492000000316E-2</v>
      </c>
      <c r="K90" s="798">
        <f>H90+pivot*(Q29*3.1416/180)</f>
        <v>5.5548079999999995</v>
      </c>
      <c r="L90" s="798">
        <f>I90-radius*(R29*3.1416/180)</f>
        <v>-7.8562188672666693</v>
      </c>
      <c r="M90" s="27"/>
      <c r="T90" s="128"/>
      <c r="U90" s="17"/>
      <c r="V90" s="17"/>
      <c r="W90" s="17"/>
      <c r="X90" s="17"/>
      <c r="Y90" s="17"/>
      <c r="Z90" s="17"/>
      <c r="AK90" s="127">
        <v>6</v>
      </c>
      <c r="AL90" s="78">
        <v>-7.6</v>
      </c>
      <c r="AM90" s="75">
        <v>0</v>
      </c>
      <c r="AN90" s="1">
        <v>0</v>
      </c>
      <c r="AO90" s="1">
        <v>0</v>
      </c>
      <c r="AP90" s="1">
        <v>0</v>
      </c>
      <c r="AQ90" s="1">
        <v>0</v>
      </c>
      <c r="AR90" s="132">
        <f t="shared" si="58"/>
        <v>7.6</v>
      </c>
      <c r="AS90" s="8">
        <v>851.51783399999999</v>
      </c>
      <c r="AT90" s="8">
        <v>2.7719000000000001E-2</v>
      </c>
      <c r="AU90" s="8">
        <v>-19.047820000000002</v>
      </c>
      <c r="AW90" s="75">
        <f t="shared" si="59"/>
        <v>-7.5764659999999822</v>
      </c>
      <c r="AX90" s="75">
        <f t="shared" si="60"/>
        <v>2.1311E-2</v>
      </c>
      <c r="AY90" s="8">
        <f t="shared" si="61"/>
        <v>8.7799999999980116E-3</v>
      </c>
      <c r="AZ90" s="8">
        <f t="shared" si="66"/>
        <v>2.3534000000017485E-2</v>
      </c>
      <c r="BA90" s="8">
        <f t="shared" si="67"/>
        <v>2.1311E-2</v>
      </c>
      <c r="BB90" s="8">
        <f t="shared" si="63"/>
        <v>3.1749139783635444E-2</v>
      </c>
      <c r="BC90" s="209"/>
    </row>
    <row r="91" spans="1:55" s="1" customFormat="1">
      <c r="A91" s="823"/>
      <c r="B91" s="790" t="s">
        <v>528</v>
      </c>
      <c r="C91" s="791">
        <v>853.23308699999995</v>
      </c>
      <c r="D91" s="791">
        <v>5.499981</v>
      </c>
      <c r="E91" s="791">
        <v>-24.257085</v>
      </c>
      <c r="F91" s="788"/>
      <c r="G91" s="791">
        <f>C91-zerox14</f>
        <v>-5.7353820000000724</v>
      </c>
      <c r="H91" s="791">
        <f>D91-zeroy14</f>
        <v>5.5401749999999996</v>
      </c>
      <c r="I91" s="791">
        <f>E91-zeroz14</f>
        <v>-5.1922919999999984</v>
      </c>
      <c r="J91" s="792">
        <f>G91-pivot*(R30*3.1416/180)</f>
        <v>1.4793199999927786E-2</v>
      </c>
      <c r="K91" s="791">
        <f>H91+pivot*(Q30*3.1416/180)</f>
        <v>5.5401749999999996</v>
      </c>
      <c r="L91" s="791">
        <f>I91+radius*(R30*3.1416/180)</f>
        <v>-7.7977518672666655</v>
      </c>
      <c r="M91" s="27"/>
      <c r="T91" s="128"/>
      <c r="U91" s="17"/>
      <c r="V91" s="17"/>
      <c r="W91" s="17"/>
      <c r="X91" s="17"/>
      <c r="Y91" s="17"/>
      <c r="Z91" s="17"/>
      <c r="AK91" s="127">
        <v>7</v>
      </c>
      <c r="AL91" s="78">
        <v>-5.3739999999999997</v>
      </c>
      <c r="AM91" s="75">
        <v>-5.3739999999999997</v>
      </c>
      <c r="AN91" s="1">
        <v>0</v>
      </c>
      <c r="AO91" s="1">
        <v>0</v>
      </c>
      <c r="AP91" s="1">
        <v>0</v>
      </c>
      <c r="AQ91" s="1">
        <v>0</v>
      </c>
      <c r="AR91" s="132">
        <f t="shared" si="58"/>
        <v>7.5999836841930124</v>
      </c>
      <c r="AS91" s="8">
        <v>853.72413900000004</v>
      </c>
      <c r="AT91" s="8">
        <v>-5.3474789999999999</v>
      </c>
      <c r="AU91" s="8">
        <v>-19.057527</v>
      </c>
      <c r="AW91" s="75">
        <f t="shared" si="59"/>
        <v>-5.3701609999999391</v>
      </c>
      <c r="AX91" s="75">
        <f t="shared" si="60"/>
        <v>-5.3538870000000003</v>
      </c>
      <c r="AY91" s="8">
        <f t="shared" si="61"/>
        <v>-9.270000000007883E-4</v>
      </c>
      <c r="AZ91" s="8">
        <f t="shared" si="66"/>
        <v>3.839000000060544E-3</v>
      </c>
      <c r="BA91" s="8">
        <f t="shared" si="67"/>
        <v>2.0112999999999381E-2</v>
      </c>
      <c r="BB91" s="8">
        <f t="shared" si="63"/>
        <v>2.0476100458838346E-2</v>
      </c>
      <c r="BC91" s="209"/>
    </row>
    <row r="92" spans="1:55" s="1" customFormat="1">
      <c r="A92" s="826">
        <f>A89+1</f>
        <v>24</v>
      </c>
      <c r="B92" s="788" t="s">
        <v>531</v>
      </c>
      <c r="C92" s="784">
        <v>-6.1148470000000001</v>
      </c>
      <c r="D92" s="784">
        <v>864.55189099999996</v>
      </c>
      <c r="E92" s="784">
        <v>-26.823858999999999</v>
      </c>
      <c r="F92" s="788"/>
      <c r="G92" s="784">
        <f>C92-zerox24</f>
        <v>-5.7360899999999999</v>
      </c>
      <c r="H92" s="784">
        <f>D92-zeroy24</f>
        <v>5.5467349999998987</v>
      </c>
      <c r="I92" s="784">
        <f>E92-zeroz24</f>
        <v>-7.7550639999999973</v>
      </c>
      <c r="J92" s="783">
        <f>G92-pivot*(R30*3.1416/180)</f>
        <v>1.4085200000000242E-2</v>
      </c>
      <c r="K92" s="784">
        <f>H92+pivot*(Q30*3.1416/180)</f>
        <v>5.5467349999998987</v>
      </c>
      <c r="L92" s="784">
        <f>I92-radius*(Q30*3.1416/180)</f>
        <v>-7.7550639999999973</v>
      </c>
      <c r="M92" s="27"/>
      <c r="Y92" s="17"/>
      <c r="Z92" s="17"/>
      <c r="AK92" s="127">
        <v>8</v>
      </c>
      <c r="AL92" s="78">
        <v>0</v>
      </c>
      <c r="AM92" s="75">
        <v>-7.6</v>
      </c>
      <c r="AN92" s="1">
        <v>0</v>
      </c>
      <c r="AO92" s="1">
        <v>0</v>
      </c>
      <c r="AP92" s="1">
        <v>0</v>
      </c>
      <c r="AQ92" s="1">
        <v>0</v>
      </c>
      <c r="AR92" s="132">
        <f>SQRT(AL92*AL92+AM92*AM92)</f>
        <v>7.6</v>
      </c>
      <c r="AS92" s="8">
        <v>859.09514100000001</v>
      </c>
      <c r="AT92" s="8">
        <v>-7.5789049999999998</v>
      </c>
      <c r="AU92" s="8">
        <v>-19.046807000000001</v>
      </c>
      <c r="AW92" s="75">
        <f t="shared" si="59"/>
        <v>8.4100000003672903E-4</v>
      </c>
      <c r="AX92" s="75">
        <f t="shared" si="60"/>
        <v>-7.5853130000000002</v>
      </c>
      <c r="AY92" s="8">
        <f t="shared" si="61"/>
        <v>9.7929999999983863E-3</v>
      </c>
      <c r="AZ92" s="8">
        <f t="shared" si="66"/>
        <v>8.4100000003672903E-4</v>
      </c>
      <c r="BA92" s="8">
        <f t="shared" si="67"/>
        <v>1.468699999999945E-2</v>
      </c>
      <c r="BB92" s="8">
        <f t="shared" si="63"/>
        <v>1.4711058765433766E-2</v>
      </c>
      <c r="BC92" s="209"/>
    </row>
    <row r="93" spans="1:55" s="1" customFormat="1">
      <c r="A93" s="828"/>
      <c r="B93" s="797" t="s">
        <v>534</v>
      </c>
      <c r="C93" s="798">
        <v>-864.86822099999995</v>
      </c>
      <c r="D93" s="798">
        <v>6.3838929999999996</v>
      </c>
      <c r="E93" s="798">
        <v>-29.419817999999999</v>
      </c>
      <c r="F93" s="788"/>
      <c r="G93" s="798">
        <f>C93-zerox34</f>
        <v>-5.757319999999936</v>
      </c>
      <c r="H93" s="798">
        <f>D93-zeroy34</f>
        <v>5.555517</v>
      </c>
      <c r="I93" s="798">
        <f>E93-zeroz34</f>
        <v>-10.343477</v>
      </c>
      <c r="J93" s="799">
        <f>G93-pivot*(R30*3.1416/180)</f>
        <v>-7.1447999999358913E-3</v>
      </c>
      <c r="K93" s="798">
        <f>H93+pivot*(Q30*3.1416/180)</f>
        <v>5.555517</v>
      </c>
      <c r="L93" s="798">
        <f>I93-radius*(R30*3.1416/180)</f>
        <v>-7.7380171327333329</v>
      </c>
      <c r="M93" s="27"/>
      <c r="Y93" s="17"/>
      <c r="Z93" s="17"/>
      <c r="AK93" s="10"/>
      <c r="AL93" s="11"/>
      <c r="AM93" s="11"/>
      <c r="AN93" s="11"/>
      <c r="AO93" s="11"/>
      <c r="AP93" s="11"/>
      <c r="AQ93" s="11"/>
      <c r="AR93" s="66"/>
      <c r="AS93" s="66"/>
      <c r="AT93" s="66"/>
      <c r="AU93" s="66"/>
      <c r="AV93" s="11"/>
      <c r="AW93" s="207"/>
      <c r="AX93" s="207"/>
      <c r="AY93" s="149" t="s">
        <v>665</v>
      </c>
      <c r="AZ93" s="120"/>
      <c r="BA93" s="120"/>
      <c r="BB93" s="120">
        <f>AVERAGE(BB85:BB92)</f>
        <v>1.9988362747381618E-2</v>
      </c>
      <c r="BC93" s="209"/>
    </row>
    <row r="94" spans="1:55" s="1" customFormat="1">
      <c r="A94" s="121"/>
      <c r="B94" s="11" t="s">
        <v>536</v>
      </c>
      <c r="C94" s="66">
        <v>864.74920799999995</v>
      </c>
      <c r="D94" s="66">
        <v>-5.643993</v>
      </c>
      <c r="E94" s="66">
        <v>-13.866275</v>
      </c>
      <c r="G94" s="66">
        <f>C94-zerox14</f>
        <v>5.7807389999999259</v>
      </c>
      <c r="H94" s="66">
        <f>D94-zeroy14</f>
        <v>-5.6037990000000004</v>
      </c>
      <c r="I94" s="66">
        <f>E94-zeroz14</f>
        <v>5.1985180000000017</v>
      </c>
      <c r="J94" s="165">
        <f>G94-pivot*(R31*3.1416/180)</f>
        <v>5.7807389999999259</v>
      </c>
      <c r="K94" s="66">
        <f>H94+pivot*(Q31*3.1416/180)</f>
        <v>0.14637619999999973</v>
      </c>
      <c r="L94" s="66">
        <f>I94+radius*(R31*3.1416/180)</f>
        <v>5.1985180000000017</v>
      </c>
      <c r="M94" s="750"/>
      <c r="N94" s="17"/>
      <c r="O94" s="8">
        <v>859.06509300000005</v>
      </c>
      <c r="P94" s="8">
        <v>11.328027000000001</v>
      </c>
      <c r="Q94" s="8">
        <v>-26.843786000000001</v>
      </c>
      <c r="Y94" s="17"/>
      <c r="Z94" s="17"/>
      <c r="AK94" s="12"/>
      <c r="AL94" s="13"/>
      <c r="AM94" s="13"/>
      <c r="AN94" s="13"/>
      <c r="AO94" s="13"/>
      <c r="AP94" s="13"/>
      <c r="AQ94" s="13"/>
      <c r="AR94" s="69"/>
      <c r="AS94" s="69"/>
      <c r="AT94" s="69"/>
      <c r="AU94" s="69"/>
      <c r="AV94" s="13"/>
      <c r="AW94" s="69"/>
      <c r="AX94" s="69"/>
      <c r="AY94" s="149" t="s">
        <v>663</v>
      </c>
      <c r="AZ94" s="69"/>
      <c r="BA94" s="69"/>
      <c r="BB94" s="8">
        <f>STDEV(BB81:BB91)</f>
        <v>7.8794391471462381E-3</v>
      </c>
      <c r="BC94" s="209"/>
    </row>
    <row r="95" spans="1:55" s="1" customFormat="1">
      <c r="A95" s="829">
        <f>A92+1</f>
        <v>25</v>
      </c>
      <c r="B95" s="1" t="s">
        <v>538</v>
      </c>
      <c r="C95" s="8">
        <v>5.4201750000000004</v>
      </c>
      <c r="D95" s="8">
        <v>853.421784</v>
      </c>
      <c r="E95" s="8">
        <v>-11.345197000000001</v>
      </c>
      <c r="G95" s="8">
        <f>C95-zerox24</f>
        <v>5.7989320000000006</v>
      </c>
      <c r="H95" s="8">
        <f>D95-zeroy24</f>
        <v>-5.583372000000054</v>
      </c>
      <c r="I95" s="8">
        <f>E95-zeroz24</f>
        <v>7.7235980000000009</v>
      </c>
      <c r="J95" s="7">
        <f>G95-pivot*(R31*3.1416/180)</f>
        <v>5.7989320000000006</v>
      </c>
      <c r="K95" s="8">
        <f>H95+pivot*(Q31*3.1416/180)</f>
        <v>0.16680319999994619</v>
      </c>
      <c r="L95" s="8">
        <f>I95-radius*(Q31*3.1416/180)</f>
        <v>5.1181381327333337</v>
      </c>
      <c r="M95" s="830" t="s">
        <v>546</v>
      </c>
      <c r="N95" s="17"/>
      <c r="O95" s="8">
        <v>-0.27286899999999997</v>
      </c>
      <c r="P95" s="8">
        <v>870.42431699999997</v>
      </c>
      <c r="Q95" s="8">
        <v>-29.390179</v>
      </c>
      <c r="Y95" s="17"/>
      <c r="Z95" s="17"/>
      <c r="AK95" s="471" t="s">
        <v>719</v>
      </c>
      <c r="AL95" s="216"/>
      <c r="AM95" s="216"/>
      <c r="AN95" s="3"/>
      <c r="AO95" s="3"/>
      <c r="AP95" s="3"/>
      <c r="AQ95" s="3"/>
      <c r="AR95" s="66"/>
      <c r="AS95" s="66"/>
      <c r="AT95" s="66"/>
      <c r="AU95" s="66"/>
      <c r="AV95" s="11"/>
      <c r="AW95" s="66"/>
      <c r="AX95" s="66"/>
      <c r="AY95" s="66"/>
      <c r="AZ95" s="66"/>
      <c r="BA95" s="66"/>
      <c r="BB95" s="166"/>
      <c r="BC95" s="209"/>
    </row>
    <row r="96" spans="1:55" s="1" customFormat="1">
      <c r="A96" s="123"/>
      <c r="B96" s="13" t="s">
        <v>540</v>
      </c>
      <c r="C96" s="69">
        <v>-853.34296800000004</v>
      </c>
      <c r="D96" s="69">
        <v>-4.7536329999999998</v>
      </c>
      <c r="E96" s="69">
        <v>-8.8870070000000005</v>
      </c>
      <c r="G96" s="69">
        <f>C96-zerox34</f>
        <v>5.7679329999999709</v>
      </c>
      <c r="H96" s="69">
        <f>D96-zeroy34</f>
        <v>-5.5820089999999993</v>
      </c>
      <c r="I96" s="69">
        <f>E96-zeroz34</f>
        <v>10.189333999999999</v>
      </c>
      <c r="J96" s="68">
        <f>G96-pivot*(R31*3.1416/180)</f>
        <v>5.7679329999999709</v>
      </c>
      <c r="K96" s="69">
        <f>H96+pivot*(Q31*3.1416/180)</f>
        <v>0.16816620000000082</v>
      </c>
      <c r="L96" s="69">
        <f>I96-radius*(R31*3.1416/180)</f>
        <v>10.189333999999999</v>
      </c>
      <c r="M96" s="750"/>
      <c r="N96" s="17"/>
      <c r="O96" s="8">
        <v>-859.10741800000005</v>
      </c>
      <c r="P96" s="8">
        <v>12.305408</v>
      </c>
      <c r="Q96" s="8">
        <v>-26.862676</v>
      </c>
      <c r="Y96" s="17"/>
      <c r="Z96" s="17"/>
      <c r="AK96" s="486"/>
      <c r="AL96" s="49" t="s">
        <v>257</v>
      </c>
      <c r="AM96" s="50"/>
      <c r="AN96" s="50"/>
      <c r="AO96" s="50"/>
      <c r="AR96" s="8"/>
      <c r="AS96" s="8" t="s">
        <v>661</v>
      </c>
      <c r="AT96" s="8"/>
      <c r="AU96" s="8"/>
      <c r="AW96" s="8" t="s">
        <v>679</v>
      </c>
      <c r="AX96" s="8"/>
      <c r="AY96" s="8"/>
      <c r="AZ96" s="8" t="s">
        <v>96</v>
      </c>
      <c r="BA96" s="8" t="s">
        <v>96</v>
      </c>
      <c r="BB96" s="627" t="s">
        <v>680</v>
      </c>
      <c r="BC96" s="250"/>
    </row>
    <row r="97" spans="1:55" s="1" customFormat="1">
      <c r="A97" s="121"/>
      <c r="B97" s="11" t="s">
        <v>541</v>
      </c>
      <c r="C97" s="66">
        <v>858.99589100000003</v>
      </c>
      <c r="D97" s="66">
        <v>0.11400299999999999</v>
      </c>
      <c r="E97" s="66">
        <v>-11.305382</v>
      </c>
      <c r="G97" s="66">
        <f>C97-zerox14</f>
        <v>2.742200000000139E-2</v>
      </c>
      <c r="H97" s="66">
        <f>D97-zeroy14</f>
        <v>0.154197</v>
      </c>
      <c r="I97" s="66">
        <f>E97-zeroz14</f>
        <v>7.7594110000000018</v>
      </c>
      <c r="J97" s="165">
        <f>G97-pivot*(R32*3.1416/180)</f>
        <v>2.742200000000139E-2</v>
      </c>
      <c r="K97" s="66">
        <f>H97+pivot*(Q32*3.1416/180)</f>
        <v>-5.5959782000000002</v>
      </c>
      <c r="L97" s="66">
        <f>I97+radius*(R32*3.1416/180)</f>
        <v>7.7594110000000018</v>
      </c>
      <c r="M97" s="750"/>
      <c r="N97" s="17"/>
      <c r="O97" s="8"/>
      <c r="P97" s="8"/>
      <c r="Q97" s="8"/>
      <c r="Y97" s="17"/>
      <c r="Z97" s="17"/>
      <c r="AK97" s="455" t="s">
        <v>253</v>
      </c>
      <c r="AL97" s="442" t="s">
        <v>0</v>
      </c>
      <c r="AM97" s="443" t="s">
        <v>1</v>
      </c>
      <c r="AN97" s="443" t="s">
        <v>2</v>
      </c>
      <c r="AO97" s="443" t="s">
        <v>3</v>
      </c>
      <c r="AP97" s="443" t="s">
        <v>4</v>
      </c>
      <c r="AQ97" s="515" t="s">
        <v>5</v>
      </c>
      <c r="AR97" s="8"/>
      <c r="AS97" s="806" t="s">
        <v>0</v>
      </c>
      <c r="AT97" s="806" t="s">
        <v>1</v>
      </c>
      <c r="AU97" s="1003" t="s">
        <v>2</v>
      </c>
      <c r="AW97" s="806" t="s">
        <v>3</v>
      </c>
      <c r="AX97" s="806" t="s">
        <v>4</v>
      </c>
      <c r="AY97" s="8"/>
      <c r="AZ97" s="1003" t="s">
        <v>3</v>
      </c>
      <c r="BA97" s="1003" t="s">
        <v>4</v>
      </c>
      <c r="BB97" s="624" t="s">
        <v>198</v>
      </c>
      <c r="BC97" s="250"/>
    </row>
    <row r="98" spans="1:55" s="1" customFormat="1">
      <c r="A98" s="128">
        <f>A95+1</f>
        <v>26</v>
      </c>
      <c r="B98" s="1" t="s">
        <v>542</v>
      </c>
      <c r="C98" s="8">
        <v>-0.34471400000000002</v>
      </c>
      <c r="D98" s="8">
        <v>859.17824299999995</v>
      </c>
      <c r="E98" s="8">
        <v>-13.870941</v>
      </c>
      <c r="G98" s="8">
        <f>C98-zerox24</f>
        <v>3.404299999999999E-2</v>
      </c>
      <c r="H98" s="8">
        <f>D98-zeroy24</f>
        <v>0.17308699999989585</v>
      </c>
      <c r="I98" s="8">
        <f>E98-zeroz24</f>
        <v>5.1978540000000013</v>
      </c>
      <c r="J98" s="7">
        <f>G98-pivot*(R32*3.1416/180)</f>
        <v>3.404299999999999E-2</v>
      </c>
      <c r="K98" s="8">
        <f>H98+pivot*(Q32*3.1416/180)</f>
        <v>-5.5770882000001043</v>
      </c>
      <c r="L98" s="8">
        <f>I98-radius*(Q32*3.1416/180)</f>
        <v>7.8033138672666684</v>
      </c>
      <c r="M98" s="750"/>
      <c r="N98" s="17"/>
      <c r="O98" s="8"/>
      <c r="P98" s="8"/>
      <c r="Q98" s="8"/>
      <c r="Y98" s="17"/>
      <c r="Z98" s="17"/>
      <c r="AK98" s="299" t="s">
        <v>254</v>
      </c>
      <c r="AL98" s="289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8"/>
      <c r="AS98" s="120">
        <v>1.9000000065716449E-5</v>
      </c>
      <c r="AT98" s="120">
        <v>1.9999999999985307E-6</v>
      </c>
      <c r="AU98" s="120">
        <v>-7.9999999975655101E-6</v>
      </c>
      <c r="AW98" s="8"/>
      <c r="AX98" s="8"/>
      <c r="AY98" s="8"/>
      <c r="AZ98" s="8"/>
      <c r="BA98" s="8"/>
      <c r="BB98" s="135"/>
      <c r="BC98" s="179"/>
    </row>
    <row r="99" spans="1:55" s="1" customFormat="1">
      <c r="A99" s="123"/>
      <c r="B99" s="13" t="s">
        <v>543</v>
      </c>
      <c r="C99" s="69">
        <v>-859.106133</v>
      </c>
      <c r="D99" s="69">
        <v>1.013609</v>
      </c>
      <c r="E99" s="69">
        <v>-11.396913</v>
      </c>
      <c r="G99" s="69">
        <f>C99-zerox34</f>
        <v>4.768000000012762E-3</v>
      </c>
      <c r="H99" s="69">
        <f>D99-zeroy34</f>
        <v>0.18523299999999998</v>
      </c>
      <c r="I99" s="69">
        <f>E99-zeroz34</f>
        <v>7.6794279999999997</v>
      </c>
      <c r="J99" s="68">
        <f>G99-pivot*(R32*3.1416/180)</f>
        <v>4.768000000012762E-3</v>
      </c>
      <c r="K99" s="69">
        <f>H99+pivot*(Q32*3.1416/180)</f>
        <v>-5.5649421999999999</v>
      </c>
      <c r="L99" s="69">
        <f>I99-radius*(R32*3.1416/180)</f>
        <v>7.6794279999999997</v>
      </c>
      <c r="M99" s="750"/>
      <c r="N99" s="17"/>
      <c r="O99" s="8"/>
      <c r="P99" s="8"/>
      <c r="Q99" s="8"/>
      <c r="Y99" s="17"/>
      <c r="Z99" s="17"/>
      <c r="AK99" s="127">
        <v>1</v>
      </c>
      <c r="AL99" s="179">
        <v>0</v>
      </c>
      <c r="AM99" s="39">
        <v>0</v>
      </c>
      <c r="AN99" s="1">
        <v>0</v>
      </c>
      <c r="AO99" s="454">
        <v>0.24</v>
      </c>
      <c r="AP99" s="454">
        <v>0</v>
      </c>
      <c r="AQ99" s="1">
        <v>0</v>
      </c>
      <c r="AR99" s="8"/>
      <c r="AS99" s="75">
        <v>2.8088000000025204E-2</v>
      </c>
      <c r="AT99" s="75">
        <v>-8.1070510000000002</v>
      </c>
      <c r="AU99" s="8">
        <v>-7.7579999999990434E-3</v>
      </c>
      <c r="AW99" s="75">
        <f t="shared" ref="AW99:AW106" si="68">-AT99*180/pivot/3.1416</f>
        <v>0.23967942228960259</v>
      </c>
      <c r="AX99" s="75">
        <f t="shared" ref="AX99:AX106" si="69">AS99*180/pivot/3.1416</f>
        <v>8.3040252408383747E-4</v>
      </c>
      <c r="AY99" s="8"/>
      <c r="AZ99" s="31">
        <f>AW99-AO99</f>
        <v>-3.2057771039739613E-4</v>
      </c>
      <c r="BA99" s="31">
        <f>AX99-AP99</f>
        <v>8.3040252408383747E-4</v>
      </c>
      <c r="BB99" s="135">
        <f>SQRT(AZ99*AZ99+BA99*BA99)</f>
        <v>8.9013393397198665E-4</v>
      </c>
      <c r="BC99" s="1040"/>
    </row>
    <row r="100" spans="1:55" s="1" customFormat="1">
      <c r="A100" s="121"/>
      <c r="B100" s="11" t="s">
        <v>547</v>
      </c>
      <c r="C100" s="66">
        <v>864.74298099999999</v>
      </c>
      <c r="D100" s="66">
        <v>-5.6424500000000002</v>
      </c>
      <c r="E100" s="66">
        <v>-13.864011</v>
      </c>
      <c r="G100" s="66">
        <f>C100-zerox14</f>
        <v>5.7745119999999588</v>
      </c>
      <c r="H100" s="66">
        <f>D100-zeroy14</f>
        <v>-5.6022560000000006</v>
      </c>
      <c r="I100" s="66">
        <f>E100-zeroz14</f>
        <v>5.200782000000002</v>
      </c>
      <c r="J100" s="165">
        <f>G100-pivot*(R33*3.1416/180)</f>
        <v>2.4336799999958636E-2</v>
      </c>
      <c r="K100" s="66">
        <f>H100+pivot*(Q33*3.1416/180)</f>
        <v>-5.6022560000000006</v>
      </c>
      <c r="L100" s="66">
        <f>I100+radius*(R33*3.1416/180)</f>
        <v>7.8062418672666691</v>
      </c>
      <c r="M100" s="750"/>
      <c r="N100" s="17"/>
      <c r="O100" s="8"/>
      <c r="P100" s="8"/>
      <c r="Q100" s="8"/>
      <c r="Y100" s="17"/>
      <c r="Z100" s="17"/>
      <c r="AK100" s="127">
        <v>2</v>
      </c>
      <c r="AL100" s="6">
        <v>0</v>
      </c>
      <c r="AM100" s="1">
        <v>0</v>
      </c>
      <c r="AN100" s="1">
        <v>0</v>
      </c>
      <c r="AO100" s="454">
        <v>0.17</v>
      </c>
      <c r="AP100" s="454">
        <v>0.17</v>
      </c>
      <c r="AQ100" s="1">
        <v>0</v>
      </c>
      <c r="AR100" s="8"/>
      <c r="AS100" s="75">
        <v>5.7878120000000308</v>
      </c>
      <c r="AT100" s="75">
        <v>-5.7333359999999995</v>
      </c>
      <c r="AU100" s="8">
        <v>-2.5233599999999967</v>
      </c>
      <c r="AW100" s="75">
        <f t="shared" si="68"/>
        <v>0.16950216056025563</v>
      </c>
      <c r="AX100" s="75">
        <f t="shared" si="69"/>
        <v>0.1711127062702377</v>
      </c>
      <c r="AY100" s="8"/>
      <c r="AZ100" s="31">
        <f t="shared" ref="AZ100:AZ106" si="70">AW100-AO100</f>
        <v>-4.9783943974437972E-4</v>
      </c>
      <c r="BA100" s="31">
        <f t="shared" ref="BA100:BA106" si="71">AX100-AP100</f>
        <v>1.1127062702376844E-3</v>
      </c>
      <c r="BB100" s="135">
        <f t="shared" ref="BB100:BB106" si="72">SQRT(AZ100*AZ100+BA100*BA100)</f>
        <v>1.2189993238682524E-3</v>
      </c>
      <c r="BC100" s="1040"/>
    </row>
    <row r="101" spans="1:55" s="1" customFormat="1">
      <c r="A101" s="829">
        <f>A98+1</f>
        <v>27</v>
      </c>
      <c r="B101" s="1" t="s">
        <v>548</v>
      </c>
      <c r="C101" s="8">
        <v>5.4131939999999998</v>
      </c>
      <c r="D101" s="8">
        <v>853.42121599999996</v>
      </c>
      <c r="E101" s="8">
        <v>-11.345745000000001</v>
      </c>
      <c r="G101" s="8">
        <f>C101-zerox24</f>
        <v>5.7919510000000001</v>
      </c>
      <c r="H101" s="8">
        <f>D101-zeroy24</f>
        <v>-5.5839400000000978</v>
      </c>
      <c r="I101" s="8">
        <f>E101-zeroz24</f>
        <v>7.7230500000000006</v>
      </c>
      <c r="J101" s="7">
        <f>G101-pivot*(R33*3.1416/180)</f>
        <v>4.1775799999999919E-2</v>
      </c>
      <c r="K101" s="8">
        <f>H101+pivot*(Q33*3.1416/180)</f>
        <v>-5.5839400000000978</v>
      </c>
      <c r="L101" s="8">
        <f>I101-radius*(Q33*3.1416/180)</f>
        <v>7.7230500000000006</v>
      </c>
      <c r="M101" s="750"/>
      <c r="N101" s="17"/>
      <c r="O101" s="8"/>
      <c r="P101" s="8"/>
      <c r="Q101" s="8"/>
      <c r="Y101" s="17"/>
      <c r="Z101" s="17"/>
      <c r="AK101" s="127">
        <v>3</v>
      </c>
      <c r="AL101" s="6">
        <v>0</v>
      </c>
      <c r="AM101" s="1">
        <v>0</v>
      </c>
      <c r="AN101" s="1">
        <v>0</v>
      </c>
      <c r="AO101" s="454">
        <v>0</v>
      </c>
      <c r="AP101" s="454">
        <v>0.24</v>
      </c>
      <c r="AQ101" s="1">
        <v>0</v>
      </c>
      <c r="AR101" s="8"/>
      <c r="AS101" s="75">
        <v>8.1235420000000431</v>
      </c>
      <c r="AT101" s="75">
        <v>2.5463E-2</v>
      </c>
      <c r="AU101" s="8">
        <v>-3.5909789999999973</v>
      </c>
      <c r="AW101" s="75">
        <f t="shared" si="68"/>
        <v>-7.5279619306208273E-4</v>
      </c>
      <c r="AX101" s="75">
        <f t="shared" si="69"/>
        <v>0.24016696743431529</v>
      </c>
      <c r="AY101" s="8"/>
      <c r="AZ101" s="31">
        <f t="shared" si="70"/>
        <v>-7.5279619306208273E-4</v>
      </c>
      <c r="BA101" s="31">
        <f t="shared" si="71"/>
        <v>1.6696743431529604E-4</v>
      </c>
      <c r="BB101" s="135">
        <f t="shared" si="72"/>
        <v>7.7109028810548336E-4</v>
      </c>
      <c r="BC101" s="1040"/>
    </row>
    <row r="102" spans="1:55" s="1" customFormat="1">
      <c r="A102" s="123"/>
      <c r="B102" s="13" t="s">
        <v>549</v>
      </c>
      <c r="C102" s="69">
        <v>-853.350146</v>
      </c>
      <c r="D102" s="69">
        <v>-4.7379550000000004</v>
      </c>
      <c r="E102" s="69">
        <v>-8.8745790000000007</v>
      </c>
      <c r="G102" s="69">
        <f>C102-zerox34</f>
        <v>5.7607550000000174</v>
      </c>
      <c r="H102" s="69">
        <f>D102-zeroy34</f>
        <v>-5.5663309999999999</v>
      </c>
      <c r="I102" s="69">
        <f>E102-zeroz34</f>
        <v>10.201761999999999</v>
      </c>
      <c r="J102" s="68">
        <f>G102-pivot*(R33*3.1416/180)</f>
        <v>1.0579800000017237E-2</v>
      </c>
      <c r="K102" s="69">
        <f>H102+pivot*(Q33*3.1416/180)</f>
        <v>-5.5663309999999999</v>
      </c>
      <c r="L102" s="69">
        <f>I102-radius*(R33*3.1416/180)</f>
        <v>7.5963021327333315</v>
      </c>
      <c r="M102" s="750"/>
      <c r="N102" s="17"/>
      <c r="O102" s="8"/>
      <c r="P102" s="8"/>
      <c r="Q102" s="8"/>
      <c r="Y102" s="17"/>
      <c r="Z102" s="17"/>
      <c r="AK102" s="127">
        <v>4</v>
      </c>
      <c r="AL102" s="6">
        <v>0</v>
      </c>
      <c r="AM102" s="1">
        <v>0</v>
      </c>
      <c r="AN102" s="1">
        <v>0</v>
      </c>
      <c r="AO102" s="454">
        <v>-0.17</v>
      </c>
      <c r="AP102" s="454">
        <v>0.17</v>
      </c>
      <c r="AQ102" s="1">
        <v>0</v>
      </c>
      <c r="AR102" s="8"/>
      <c r="AS102" s="75">
        <v>5.747602000000029</v>
      </c>
      <c r="AT102" s="75">
        <v>5.770797</v>
      </c>
      <c r="AU102" s="8">
        <v>-2.5381519999999966</v>
      </c>
      <c r="AW102" s="75">
        <f t="shared" si="68"/>
        <v>-0.1706096694236377</v>
      </c>
      <c r="AX102" s="75">
        <f t="shared" si="69"/>
        <v>0.16992392510057866</v>
      </c>
      <c r="AY102" s="8"/>
      <c r="AZ102" s="31">
        <f t="shared" si="70"/>
        <v>-6.0966942363768761E-4</v>
      </c>
      <c r="BA102" s="31">
        <f t="shared" si="71"/>
        <v>-7.607489942135226E-5</v>
      </c>
      <c r="BB102" s="135">
        <f t="shared" si="72"/>
        <v>6.1439742548343996E-4</v>
      </c>
      <c r="BC102" s="1040"/>
    </row>
    <row r="103" spans="1:55" s="1" customFormat="1">
      <c r="A103" s="121"/>
      <c r="B103" s="11" t="s">
        <v>550</v>
      </c>
      <c r="C103" s="66">
        <v>853.23306000000002</v>
      </c>
      <c r="D103" s="66">
        <v>-5.6691919999999998</v>
      </c>
      <c r="E103" s="66">
        <v>-8.7948749999999993</v>
      </c>
      <c r="G103" s="66">
        <f>C103-zerox14</f>
        <v>-5.7354090000000042</v>
      </c>
      <c r="H103" s="66">
        <f>D103-zeroy14</f>
        <v>-5.6289980000000002</v>
      </c>
      <c r="I103" s="66">
        <f>E103-zeroz14</f>
        <v>10.269918000000002</v>
      </c>
      <c r="J103" s="165">
        <f>G103-pivot*(R34*3.1416/180)</f>
        <v>1.4766199999995955E-2</v>
      </c>
      <c r="K103" s="66">
        <f>H103+pivot*(Q34*3.1416/180)</f>
        <v>-5.6289980000000002</v>
      </c>
      <c r="L103" s="66">
        <f>I103+radius*(R34*3.1416/180)</f>
        <v>7.6644581327333352</v>
      </c>
      <c r="M103" s="750"/>
      <c r="N103" s="17"/>
      <c r="O103" s="8"/>
      <c r="P103" s="8"/>
      <c r="Q103" s="8"/>
      <c r="Y103" s="17"/>
      <c r="Z103" s="17"/>
      <c r="AK103" s="127">
        <v>5</v>
      </c>
      <c r="AL103" s="6">
        <v>0</v>
      </c>
      <c r="AM103" s="1">
        <v>0</v>
      </c>
      <c r="AN103" s="1">
        <v>0</v>
      </c>
      <c r="AO103" s="454">
        <v>-0.24</v>
      </c>
      <c r="AP103" s="454">
        <v>0</v>
      </c>
      <c r="AQ103" s="1">
        <v>0</v>
      </c>
      <c r="AR103" s="8"/>
      <c r="AS103" s="75">
        <v>-9.5370000000229993E-3</v>
      </c>
      <c r="AT103" s="75">
        <v>8.1234269999999995</v>
      </c>
      <c r="AU103" s="8">
        <v>-2.0913999999997657E-2</v>
      </c>
      <c r="AW103" s="75">
        <f t="shared" si="68"/>
        <v>-0.24016356753790738</v>
      </c>
      <c r="AX103" s="75">
        <f t="shared" si="69"/>
        <v>-2.8195488721872509E-4</v>
      </c>
      <c r="AY103" s="8"/>
      <c r="AZ103" s="31">
        <f t="shared" si="70"/>
        <v>-1.6356753790738865E-4</v>
      </c>
      <c r="BA103" s="31">
        <f t="shared" si="71"/>
        <v>-2.8195488721872509E-4</v>
      </c>
      <c r="BB103" s="135">
        <f t="shared" si="72"/>
        <v>3.2596456538036312E-4</v>
      </c>
      <c r="BC103" s="1040"/>
    </row>
    <row r="104" spans="1:55" s="1" customFormat="1">
      <c r="A104" s="128">
        <f>A101+1</f>
        <v>28</v>
      </c>
      <c r="B104" s="1" t="s">
        <v>551</v>
      </c>
      <c r="C104" s="8">
        <v>-6.1166489999999998</v>
      </c>
      <c r="D104" s="8">
        <v>853.41066899999998</v>
      </c>
      <c r="E104" s="8">
        <v>-11.359883999999999</v>
      </c>
      <c r="G104" s="8">
        <f>C104-zerox24</f>
        <v>-5.7378919999999995</v>
      </c>
      <c r="H104" s="8">
        <f>D104-zeroy24</f>
        <v>-5.5944870000000719</v>
      </c>
      <c r="I104" s="8">
        <f>E104-zeroz24</f>
        <v>7.7089110000000023</v>
      </c>
      <c r="J104" s="7">
        <f>G104-pivot*(R34*3.1416/180)</f>
        <v>1.2283200000000605E-2</v>
      </c>
      <c r="K104" s="8">
        <f>H104+pivot*(Q34*3.1416/180)</f>
        <v>-5.5944870000000719</v>
      </c>
      <c r="L104" s="8">
        <f>I104-radius*(Q34*3.1416/180)</f>
        <v>7.7089110000000023</v>
      </c>
      <c r="M104" s="750"/>
      <c r="N104" s="17"/>
      <c r="O104" s="8"/>
      <c r="P104" s="8"/>
      <c r="Q104" s="8"/>
      <c r="Y104" s="17"/>
      <c r="Z104" s="17"/>
      <c r="AK104" s="127">
        <v>6</v>
      </c>
      <c r="AL104" s="6">
        <v>0</v>
      </c>
      <c r="AM104" s="1">
        <v>0</v>
      </c>
      <c r="AN104" s="1">
        <v>0</v>
      </c>
      <c r="AO104" s="454">
        <v>-0.17</v>
      </c>
      <c r="AP104" s="454">
        <v>-0.17</v>
      </c>
      <c r="AQ104" s="1">
        <v>0</v>
      </c>
      <c r="AR104" s="8"/>
      <c r="AS104" s="75">
        <v>-5.7503950000000259</v>
      </c>
      <c r="AT104" s="75">
        <v>5.77515</v>
      </c>
      <c r="AU104" s="8">
        <v>2.5421170000000011</v>
      </c>
      <c r="AW104" s="75">
        <f t="shared" si="68"/>
        <v>-0.170738362893708</v>
      </c>
      <c r="AX104" s="75">
        <f t="shared" si="69"/>
        <v>-0.1700064982367849</v>
      </c>
      <c r="AY104" s="8"/>
      <c r="AZ104" s="31">
        <f t="shared" si="70"/>
        <v>-7.3836289370798891E-4</v>
      </c>
      <c r="BA104" s="31">
        <f t="shared" si="71"/>
        <v>-6.4982367848909206E-6</v>
      </c>
      <c r="BB104" s="135">
        <f t="shared" si="72"/>
        <v>7.3839148822704302E-4</v>
      </c>
      <c r="BC104" s="1040"/>
    </row>
    <row r="105" spans="1:55" s="1" customFormat="1">
      <c r="A105" s="123"/>
      <c r="B105" s="13" t="s">
        <v>552</v>
      </c>
      <c r="C105" s="69">
        <v>-864.86326899999995</v>
      </c>
      <c r="D105" s="69">
        <v>-4.7896130000000001</v>
      </c>
      <c r="E105" s="69">
        <v>-13.988416000000001</v>
      </c>
      <c r="G105" s="69">
        <f>C105-zerox34</f>
        <v>-5.7523679999999331</v>
      </c>
      <c r="H105" s="69">
        <f>D105-zeroy34</f>
        <v>-5.6179889999999997</v>
      </c>
      <c r="I105" s="69">
        <f>E105-zeroz34</f>
        <v>5.0879249999999985</v>
      </c>
      <c r="J105" s="68">
        <f>G105-pivot*(R34*3.1416/180)</f>
        <v>-2.1927999999329373E-3</v>
      </c>
      <c r="K105" s="69">
        <f>H105+pivot*(Q34*3.1416/180)</f>
        <v>-5.6179889999999997</v>
      </c>
      <c r="L105" s="69">
        <f>I105-radius*(R34*3.1416/180)</f>
        <v>7.6933848672666656</v>
      </c>
      <c r="M105" s="750"/>
      <c r="N105" s="17"/>
      <c r="O105" s="8"/>
      <c r="P105" s="8"/>
      <c r="Q105" s="8"/>
      <c r="Y105" s="17"/>
      <c r="Z105" s="17"/>
      <c r="AK105" s="127">
        <v>7</v>
      </c>
      <c r="AL105" s="6">
        <v>0</v>
      </c>
      <c r="AM105" s="1">
        <v>0</v>
      </c>
      <c r="AN105" s="1">
        <v>0</v>
      </c>
      <c r="AO105" s="454">
        <v>0</v>
      </c>
      <c r="AP105" s="454">
        <v>-0.24</v>
      </c>
      <c r="AQ105" s="1">
        <v>0</v>
      </c>
      <c r="AR105" s="8"/>
      <c r="AS105" s="75">
        <v>-8.1178390000000036</v>
      </c>
      <c r="AT105" s="75">
        <v>4.9969E-2</v>
      </c>
      <c r="AU105" s="8">
        <v>3.6131420000000016</v>
      </c>
      <c r="AW105" s="75">
        <f t="shared" si="68"/>
        <v>-1.4772993351576489E-3</v>
      </c>
      <c r="AX105" s="75">
        <f t="shared" si="69"/>
        <v>-0.23999836213686163</v>
      </c>
      <c r="AY105" s="8"/>
      <c r="AZ105" s="31">
        <f t="shared" si="70"/>
        <v>-1.4772993351576489E-3</v>
      </c>
      <c r="BA105" s="31">
        <f t="shared" si="71"/>
        <v>1.6378631383651143E-6</v>
      </c>
      <c r="BB105" s="135">
        <f t="shared" si="72"/>
        <v>1.4773002430964707E-3</v>
      </c>
      <c r="BC105" s="1040"/>
    </row>
    <row r="106" spans="1:55" s="1" customFormat="1">
      <c r="A106" s="823"/>
      <c r="B106" s="790" t="s">
        <v>553</v>
      </c>
      <c r="C106" s="791">
        <v>858.96722399999999</v>
      </c>
      <c r="D106" s="791">
        <v>-11.440761</v>
      </c>
      <c r="E106" s="791">
        <v>-26.920905999999999</v>
      </c>
      <c r="F106" s="788"/>
      <c r="G106" s="791">
        <f>C106-zerox15</f>
        <v>5.465999999955784E-3</v>
      </c>
      <c r="H106" s="791">
        <f>D106-zeroy15</f>
        <v>-11.324415999999999</v>
      </c>
      <c r="I106" s="791">
        <f>E106-zeroz15</f>
        <v>-7.8083600000000004</v>
      </c>
      <c r="J106" s="792">
        <f>G106-pivot*(R35*3.1416/180)</f>
        <v>5.465999999955784E-3</v>
      </c>
      <c r="K106" s="791">
        <f>H106+pivot*(Q35*3.1416/180)</f>
        <v>-5.5742407999999992</v>
      </c>
      <c r="L106" s="791">
        <f>I106+radius*(R35*3.1416/180)</f>
        <v>-7.8083600000000004</v>
      </c>
      <c r="M106" s="830" t="s">
        <v>546</v>
      </c>
      <c r="N106" s="17"/>
      <c r="O106" s="8">
        <v>859.06684800000005</v>
      </c>
      <c r="P106" s="8">
        <v>7.7965000000000007E-2</v>
      </c>
      <c r="Q106" s="8">
        <v>-26.834226000000001</v>
      </c>
      <c r="Y106" s="17"/>
      <c r="Z106" s="17"/>
      <c r="AK106" s="127">
        <v>8</v>
      </c>
      <c r="AL106" s="6">
        <v>0</v>
      </c>
      <c r="AM106" s="1">
        <v>0</v>
      </c>
      <c r="AN106" s="1">
        <v>0</v>
      </c>
      <c r="AO106" s="454">
        <v>0.17</v>
      </c>
      <c r="AP106" s="454">
        <v>-0.17</v>
      </c>
      <c r="AQ106" s="1">
        <v>0</v>
      </c>
      <c r="AR106" s="8"/>
      <c r="AS106" s="75">
        <v>-5.753202999999985</v>
      </c>
      <c r="AT106" s="75">
        <v>-5.7449940000000002</v>
      </c>
      <c r="AU106" s="8">
        <v>2.5543170000000011</v>
      </c>
      <c r="AW106" s="75">
        <f t="shared" si="68"/>
        <v>0.16984682136293869</v>
      </c>
      <c r="AX106" s="75">
        <f t="shared" si="69"/>
        <v>-0.17008951483773876</v>
      </c>
      <c r="AY106" s="8"/>
      <c r="AZ106" s="31">
        <f t="shared" si="70"/>
        <v>-1.5317863706132417E-4</v>
      </c>
      <c r="BA106" s="31">
        <f t="shared" si="71"/>
        <v>-8.951483773875224E-5</v>
      </c>
      <c r="BB106" s="135">
        <f t="shared" si="72"/>
        <v>1.7741646210924175E-4</v>
      </c>
      <c r="BC106" s="1040"/>
    </row>
    <row r="107" spans="1:55" s="1" customFormat="1">
      <c r="A107" s="826">
        <f>A104+1</f>
        <v>29</v>
      </c>
      <c r="B107" s="788" t="s">
        <v>554</v>
      </c>
      <c r="C107" s="784">
        <v>-0.35536800000000002</v>
      </c>
      <c r="D107" s="784">
        <v>847.62210200000004</v>
      </c>
      <c r="E107" s="784">
        <v>-24.306054</v>
      </c>
      <c r="F107" s="788"/>
      <c r="G107" s="784">
        <f>C107-zerox25</f>
        <v>6.5924999999999956E-2</v>
      </c>
      <c r="H107" s="784">
        <f>D107-zeroy25</f>
        <v>-11.33774399999993</v>
      </c>
      <c r="I107" s="784">
        <f>E107-zeroz25</f>
        <v>-5.1989809999999999</v>
      </c>
      <c r="J107" s="783">
        <f>G107-pivot*(R35*3.1416/180)</f>
        <v>6.5924999999999956E-2</v>
      </c>
      <c r="K107" s="784">
        <f>H107+pivot*(Q35*3.1416/180)</f>
        <v>-5.5875687999999295</v>
      </c>
      <c r="L107" s="784">
        <f>I107-radius*(Q35*3.1416/180)</f>
        <v>-7.804440867266667</v>
      </c>
      <c r="M107" s="750"/>
      <c r="N107" s="17"/>
      <c r="O107" s="8">
        <v>-0.304147</v>
      </c>
      <c r="P107" s="8">
        <v>859.15727100000004</v>
      </c>
      <c r="Q107" s="8">
        <v>-29.408999999999999</v>
      </c>
      <c r="T107" s="128"/>
      <c r="U107" s="17"/>
      <c r="V107" s="17"/>
      <c r="W107" s="17"/>
      <c r="X107" s="17"/>
      <c r="Y107" s="17"/>
      <c r="Z107" s="17"/>
      <c r="AK107" s="10"/>
      <c r="AL107" s="11"/>
      <c r="AM107" s="11"/>
      <c r="AN107" s="11"/>
      <c r="AO107" s="11"/>
      <c r="AP107" s="11"/>
      <c r="AQ107" s="11"/>
      <c r="AR107" s="66"/>
      <c r="AS107" s="66"/>
      <c r="AT107" s="66"/>
      <c r="AU107" s="66"/>
      <c r="AV107" s="11"/>
      <c r="AW107" s="66"/>
      <c r="AX107" s="66"/>
      <c r="AY107" s="149" t="s">
        <v>665</v>
      </c>
      <c r="AZ107" s="120"/>
      <c r="BA107" s="120"/>
      <c r="BB107" s="1041">
        <f>AVERAGE(BB99:BB106)</f>
        <v>7.7671171628028511E-4</v>
      </c>
      <c r="BC107" s="1040"/>
    </row>
    <row r="108" spans="1:55" s="1" customFormat="1">
      <c r="A108" s="828"/>
      <c r="B108" s="797" t="s">
        <v>555</v>
      </c>
      <c r="C108" s="798">
        <v>-859.10456499999998</v>
      </c>
      <c r="D108" s="798">
        <v>-10.540761</v>
      </c>
      <c r="E108" s="798">
        <v>-26.920905999999999</v>
      </c>
      <c r="F108" s="788"/>
      <c r="G108" s="798">
        <f>C108-zerox35</f>
        <v>2.8078000000050451E-2</v>
      </c>
      <c r="H108" s="798">
        <f>D108-zeroy35</f>
        <v>-11.322941</v>
      </c>
      <c r="I108" s="798">
        <f>E108-zeroz35</f>
        <v>-7.8091519999999974</v>
      </c>
      <c r="J108" s="799">
        <f>G108-pivot*(R35*3.1416/180)</f>
        <v>2.8078000000050451E-2</v>
      </c>
      <c r="K108" s="798">
        <f>H108+pivot*(Q35*3.1416/180)</f>
        <v>-5.5727658</v>
      </c>
      <c r="L108" s="798">
        <f>I108-radius*(R35*3.1416/180)</f>
        <v>-7.8091519999999974</v>
      </c>
      <c r="M108" s="750"/>
      <c r="N108" s="17"/>
      <c r="O108" s="8">
        <v>-859.12563899999998</v>
      </c>
      <c r="P108" s="8">
        <v>0.99102400000000002</v>
      </c>
      <c r="Q108" s="8">
        <v>-26.900748</v>
      </c>
      <c r="T108" s="128"/>
      <c r="U108" s="17"/>
      <c r="V108" s="17"/>
      <c r="W108" s="17"/>
      <c r="X108" s="17"/>
      <c r="Y108" s="17"/>
      <c r="Z108" s="17"/>
      <c r="AK108" s="12"/>
      <c r="AL108" s="13"/>
      <c r="AM108" s="13"/>
      <c r="AN108" s="13"/>
      <c r="AO108" s="13"/>
      <c r="AP108" s="13"/>
      <c r="AQ108" s="13"/>
      <c r="AR108" s="69"/>
      <c r="AS108" s="69"/>
      <c r="AT108" s="69"/>
      <c r="AU108" s="69"/>
      <c r="AV108" s="13"/>
      <c r="AW108" s="69"/>
      <c r="AX108" s="69"/>
      <c r="AY108" s="149" t="s">
        <v>663</v>
      </c>
      <c r="AZ108" s="69"/>
      <c r="BA108" s="69"/>
      <c r="BB108" s="1042">
        <f>STDEV(BB99:BB106)</f>
        <v>4.2919875120382445E-4</v>
      </c>
      <c r="BC108" s="179"/>
    </row>
    <row r="109" spans="1:55" s="1" customFormat="1">
      <c r="A109" s="823"/>
      <c r="B109" s="790" t="s">
        <v>556</v>
      </c>
      <c r="C109" s="791">
        <v>858.96722399999999</v>
      </c>
      <c r="D109" s="791">
        <v>7.4413000000000007E-2</v>
      </c>
      <c r="E109" s="791">
        <v>-26.828690000000002</v>
      </c>
      <c r="F109" s="788"/>
      <c r="G109" s="791">
        <f>C109-zerox15</f>
        <v>5.465999999955784E-3</v>
      </c>
      <c r="H109" s="791">
        <f>D109-zeroy15</f>
        <v>0.19075800000000001</v>
      </c>
      <c r="I109" s="791">
        <f>E109-zeroz15</f>
        <v>-7.7161440000000034</v>
      </c>
      <c r="J109" s="792">
        <f>G109-pivot*(R36*3.1416/180)</f>
        <v>5.465999999955784E-3</v>
      </c>
      <c r="K109" s="791">
        <f>H109+pivot*(Q36*3.1416/180)</f>
        <v>-5.5594172000000004</v>
      </c>
      <c r="L109" s="791">
        <f>I109+radius*(R36*3.1416/180)</f>
        <v>-7.7161440000000034</v>
      </c>
      <c r="M109" s="27"/>
      <c r="T109" s="128"/>
      <c r="U109" s="17"/>
      <c r="V109" s="17"/>
      <c r="W109" s="17"/>
      <c r="X109" s="17"/>
      <c r="Y109" s="17"/>
      <c r="Z109" s="17"/>
      <c r="AR109" s="8"/>
      <c r="AS109" s="8"/>
      <c r="AT109" s="8"/>
      <c r="AU109" s="8"/>
      <c r="AW109" s="8"/>
      <c r="AX109" s="8"/>
      <c r="AY109" s="8"/>
      <c r="AZ109" s="8"/>
      <c r="BA109" s="8"/>
    </row>
    <row r="110" spans="1:55" s="1" customFormat="1">
      <c r="A110" s="826">
        <f>A107+1</f>
        <v>30</v>
      </c>
      <c r="B110" s="788" t="s">
        <v>557</v>
      </c>
      <c r="C110" s="784">
        <v>-0.38731300000000002</v>
      </c>
      <c r="D110" s="784">
        <v>859.13892399999997</v>
      </c>
      <c r="E110" s="784">
        <v>-29.392675000000001</v>
      </c>
      <c r="F110" s="788"/>
      <c r="G110" s="784">
        <f>C110-zerox25</f>
        <v>3.3979999999999955E-2</v>
      </c>
      <c r="H110" s="784">
        <f>D110-zeroy25</f>
        <v>0.17907800000000407</v>
      </c>
      <c r="I110" s="784">
        <f>E110-zeroz25</f>
        <v>-10.285602000000001</v>
      </c>
      <c r="J110" s="783">
        <f>G110-pivot*(R36*3.1416/180)</f>
        <v>3.3979999999999955E-2</v>
      </c>
      <c r="K110" s="784">
        <f>H110+pivot*(Q36*3.1416/180)</f>
        <v>-5.5710971999999961</v>
      </c>
      <c r="L110" s="784">
        <f>I110-radius*(Q36*3.1416/180)</f>
        <v>-7.6801421327333337</v>
      </c>
      <c r="M110" s="27"/>
      <c r="T110" s="128"/>
      <c r="U110" s="17"/>
      <c r="V110" s="17"/>
      <c r="W110" s="17"/>
      <c r="X110" s="17"/>
      <c r="Y110" s="17"/>
      <c r="Z110" s="17"/>
      <c r="AR110" s="8"/>
      <c r="AS110" s="8"/>
      <c r="AT110" s="8"/>
      <c r="AU110" s="8"/>
      <c r="AW110" s="8"/>
      <c r="AX110" s="8"/>
      <c r="AY110" s="8"/>
      <c r="AZ110" s="8"/>
      <c r="BA110" s="8"/>
    </row>
    <row r="111" spans="1:55" s="1" customFormat="1">
      <c r="A111" s="828"/>
      <c r="B111" s="797" t="s">
        <v>558</v>
      </c>
      <c r="C111" s="798">
        <v>-859.13419099999999</v>
      </c>
      <c r="D111" s="798">
        <v>0.943693</v>
      </c>
      <c r="E111" s="798">
        <v>-26.900821000000001</v>
      </c>
      <c r="F111" s="788"/>
      <c r="G111" s="798">
        <f>C111-zerox35</f>
        <v>-1.5479999999570282E-3</v>
      </c>
      <c r="H111" s="798">
        <f>D111-zeroy35</f>
        <v>0.16151300000000002</v>
      </c>
      <c r="I111" s="798">
        <f>E111-zeroz35</f>
        <v>-7.7890669999999993</v>
      </c>
      <c r="J111" s="799">
        <f>G111-pivot*(R36*3.1416/180)</f>
        <v>-1.5479999999570282E-3</v>
      </c>
      <c r="K111" s="798">
        <f>H111+pivot*(Q36*3.1416/180)</f>
        <v>-5.5886621999999999</v>
      </c>
      <c r="L111" s="798">
        <f>I111-radius*(R36*3.1416/180)</f>
        <v>-7.7890669999999993</v>
      </c>
      <c r="M111" s="27"/>
      <c r="T111" s="128"/>
      <c r="U111" s="17"/>
      <c r="V111" s="17"/>
      <c r="W111" s="17"/>
      <c r="X111" s="17"/>
      <c r="Y111" s="17"/>
      <c r="Z111" s="17"/>
      <c r="AR111" s="8"/>
      <c r="AS111" s="8"/>
      <c r="AT111" s="8"/>
      <c r="AU111" s="8"/>
      <c r="AW111" s="8"/>
      <c r="AX111" s="8"/>
      <c r="AY111" s="8"/>
      <c r="AZ111" s="8"/>
      <c r="BA111" s="8"/>
    </row>
    <row r="112" spans="1:55" s="1" customFormat="1">
      <c r="A112" s="823"/>
      <c r="B112" s="790" t="s">
        <v>559</v>
      </c>
      <c r="C112" s="791">
        <v>864.67571399999997</v>
      </c>
      <c r="D112" s="791">
        <v>-5.7042270000000004</v>
      </c>
      <c r="E112" s="791">
        <v>-29.399305999999999</v>
      </c>
      <c r="F112" s="788"/>
      <c r="G112" s="791">
        <f>C112-zerox15</f>
        <v>5.7139559999999392</v>
      </c>
      <c r="H112" s="791">
        <f>D112-zeroy15</f>
        <v>-5.5878820000000005</v>
      </c>
      <c r="I112" s="791">
        <f>E112-zeroz15</f>
        <v>-10.286760000000001</v>
      </c>
      <c r="J112" s="792">
        <f>G112-pivot*(R37*3.1416/180)</f>
        <v>-3.6219200000060958E-2</v>
      </c>
      <c r="K112" s="791">
        <f>H112+pivot*(Q37*3.1416/180)</f>
        <v>-5.5878820000000005</v>
      </c>
      <c r="L112" s="791">
        <f>I112+radius*(R37*3.1416/180)</f>
        <v>-7.6813001327333339</v>
      </c>
      <c r="M112" s="27"/>
      <c r="T112" s="128"/>
      <c r="U112" s="17"/>
      <c r="V112" s="17"/>
      <c r="W112" s="17"/>
      <c r="X112" s="17"/>
      <c r="Y112" s="17"/>
      <c r="Z112" s="17"/>
      <c r="AR112" s="8"/>
      <c r="AS112" s="8"/>
      <c r="AT112" s="8"/>
      <c r="AU112" s="8"/>
      <c r="AW112" s="8"/>
      <c r="AX112" s="8"/>
      <c r="AY112" s="8"/>
      <c r="AZ112" s="8"/>
      <c r="BA112" s="8"/>
    </row>
    <row r="113" spans="1:53" s="1" customFormat="1">
      <c r="A113" s="826">
        <f>A110+1</f>
        <v>31</v>
      </c>
      <c r="B113" s="788" t="s">
        <v>560</v>
      </c>
      <c r="C113" s="784">
        <v>5.3744529999999999</v>
      </c>
      <c r="D113" s="784">
        <v>853.35769400000004</v>
      </c>
      <c r="E113" s="784">
        <v>-26.877718000000002</v>
      </c>
      <c r="F113" s="788"/>
      <c r="G113" s="784">
        <f>C113-zerox25</f>
        <v>5.7957460000000003</v>
      </c>
      <c r="H113" s="784">
        <f>D113-zeroy25</f>
        <v>-5.6021519999999327</v>
      </c>
      <c r="I113" s="784">
        <f>E113-zeroz25</f>
        <v>-7.7706450000000018</v>
      </c>
      <c r="J113" s="783">
        <f>G113-pivot*(R37*3.1416/180)</f>
        <v>4.5570800000000133E-2</v>
      </c>
      <c r="K113" s="784">
        <f>H113+pivot*(Q37*3.1416/180)</f>
        <v>-5.6021519999999327</v>
      </c>
      <c r="L113" s="784">
        <f>I113-radius*(Q37*3.1416/180)</f>
        <v>-7.7706450000000018</v>
      </c>
      <c r="M113" s="27"/>
      <c r="T113" s="128"/>
      <c r="U113" s="17"/>
      <c r="V113" s="17"/>
      <c r="W113" s="17"/>
      <c r="X113" s="17"/>
      <c r="Y113" s="17"/>
      <c r="Z113" s="17"/>
      <c r="AR113" s="8"/>
      <c r="AS113" s="8"/>
      <c r="AT113" s="8"/>
      <c r="AU113" s="8"/>
      <c r="AW113" s="8"/>
      <c r="AX113" s="8"/>
      <c r="AY113" s="8"/>
      <c r="AZ113" s="8"/>
      <c r="BA113" s="8"/>
    </row>
    <row r="114" spans="1:53" s="1" customFormat="1">
      <c r="A114" s="828"/>
      <c r="B114" s="797" t="s">
        <v>561</v>
      </c>
      <c r="C114" s="798">
        <v>-853.40359699999999</v>
      </c>
      <c r="D114" s="798">
        <v>-4.7964010000000004</v>
      </c>
      <c r="E114" s="798">
        <v>-24.362746000000001</v>
      </c>
      <c r="F114" s="788"/>
      <c r="G114" s="798">
        <f>C114-zerox35</f>
        <v>5.7290460000000394</v>
      </c>
      <c r="H114" s="798">
        <f>D114-zeroy35</f>
        <v>-5.5785810000000007</v>
      </c>
      <c r="I114" s="798">
        <f>E114-zeroz35</f>
        <v>-5.2509920000000001</v>
      </c>
      <c r="J114" s="799">
        <f>G114-pivot*(R37*3.1416/180)</f>
        <v>-2.1129199999960768E-2</v>
      </c>
      <c r="K114" s="798">
        <f>H114+pivot*(Q37*3.1416/180)</f>
        <v>-5.5785810000000007</v>
      </c>
      <c r="L114" s="798">
        <f>I114-radius*(R37*3.1416/180)</f>
        <v>-7.8564518672666672</v>
      </c>
      <c r="M114" s="27"/>
      <c r="T114" s="128"/>
      <c r="U114" s="17"/>
      <c r="V114" s="17"/>
      <c r="W114" s="17"/>
      <c r="X114" s="17"/>
      <c r="Y114" s="17"/>
      <c r="Z114" s="17"/>
      <c r="AR114" s="8"/>
      <c r="AS114" s="8"/>
      <c r="AT114" s="8"/>
      <c r="AU114" s="8"/>
      <c r="AW114" s="8"/>
      <c r="AX114" s="8"/>
      <c r="AY114" s="8"/>
      <c r="AZ114" s="8"/>
      <c r="BA114" s="8"/>
    </row>
    <row r="115" spans="1:53" s="1" customFormat="1">
      <c r="A115" s="823"/>
      <c r="B115" s="790" t="s">
        <v>562</v>
      </c>
      <c r="C115" s="791">
        <v>853.21441200000004</v>
      </c>
      <c r="D115" s="791">
        <v>-5.6584989999999999</v>
      </c>
      <c r="E115" s="791">
        <v>-24.264281</v>
      </c>
      <c r="F115" s="788"/>
      <c r="G115" s="791">
        <f>C115-zerox15</f>
        <v>-5.7473459999999932</v>
      </c>
      <c r="H115" s="791">
        <f>D115-zeroy15</f>
        <v>-5.542154</v>
      </c>
      <c r="I115" s="791">
        <f>E115-zeroz15</f>
        <v>-5.1517350000000022</v>
      </c>
      <c r="J115" s="792">
        <f>G115-pivot*(R38*3.1416/180)</f>
        <v>2.8292000000069706E-3</v>
      </c>
      <c r="K115" s="791">
        <f>H115+pivot*(Q38*3.1416/180)</f>
        <v>-5.542154</v>
      </c>
      <c r="L115" s="791">
        <f>I115+radius*(R38*3.1416/180)</f>
        <v>-7.7571948672666693</v>
      </c>
      <c r="M115" s="27"/>
      <c r="T115" s="128"/>
      <c r="U115" s="17"/>
      <c r="V115" s="17"/>
      <c r="W115" s="17"/>
      <c r="X115" s="17"/>
      <c r="Y115" s="17"/>
      <c r="Z115" s="17"/>
      <c r="AR115" s="8"/>
      <c r="AS115" s="8"/>
      <c r="AT115" s="8"/>
      <c r="AU115" s="8"/>
      <c r="AW115" s="8"/>
      <c r="AX115" s="8"/>
      <c r="AY115" s="8"/>
      <c r="AZ115" s="8"/>
      <c r="BA115" s="8"/>
    </row>
    <row r="116" spans="1:53" s="1" customFormat="1">
      <c r="A116" s="826">
        <f>A113+1</f>
        <v>32</v>
      </c>
      <c r="B116" s="788" t="s">
        <v>563</v>
      </c>
      <c r="C116" s="784">
        <v>-6.1227280000000004</v>
      </c>
      <c r="D116" s="784">
        <v>853.36791500000004</v>
      </c>
      <c r="E116" s="784">
        <v>-26.837630000000001</v>
      </c>
      <c r="F116" s="788"/>
      <c r="G116" s="784">
        <f>C116-zerox25</f>
        <v>-5.701435</v>
      </c>
      <c r="H116" s="784">
        <f>D116-zeroy25</f>
        <v>-5.5919309999999314</v>
      </c>
      <c r="I116" s="784">
        <f>E116-zeroz25</f>
        <v>-7.730557000000001</v>
      </c>
      <c r="J116" s="783">
        <f>G116-pivot*(R38*3.1416/180)</f>
        <v>4.8740200000000122E-2</v>
      </c>
      <c r="K116" s="784">
        <f>H116+pivot*(Q38*3.1416/180)</f>
        <v>-5.5919309999999314</v>
      </c>
      <c r="L116" s="784">
        <f>I116-radius*(Q38*3.1416/180)</f>
        <v>-7.730557000000001</v>
      </c>
      <c r="M116" s="27"/>
      <c r="T116" s="128"/>
      <c r="U116" s="17"/>
      <c r="V116" s="17"/>
      <c r="W116" s="17"/>
      <c r="X116" s="17"/>
      <c r="Y116" s="17"/>
      <c r="Z116" s="17"/>
      <c r="AR116" s="8"/>
      <c r="AS116" s="8"/>
      <c r="AT116" s="8"/>
      <c r="AU116" s="8"/>
      <c r="AW116" s="8"/>
      <c r="AX116" s="8"/>
      <c r="AY116" s="8"/>
      <c r="AZ116" s="8"/>
      <c r="BA116" s="8"/>
    </row>
    <row r="117" spans="1:53" s="1" customFormat="1">
      <c r="A117" s="828"/>
      <c r="B117" s="797" t="s">
        <v>564</v>
      </c>
      <c r="C117" s="798">
        <v>-864.89511800000002</v>
      </c>
      <c r="D117" s="798">
        <v>-4.7907489999999999</v>
      </c>
      <c r="E117" s="798">
        <v>-29.417563000000001</v>
      </c>
      <c r="F117" s="788"/>
      <c r="G117" s="798">
        <f>C117-zerox35</f>
        <v>-5.7624749999999949</v>
      </c>
      <c r="H117" s="798">
        <f>D117-zeroy35</f>
        <v>-5.5729290000000002</v>
      </c>
      <c r="I117" s="798">
        <f>E117-zeroz35</f>
        <v>-10.305809</v>
      </c>
      <c r="J117" s="799">
        <f>G117-pivot*(R38*3.1416/180)</f>
        <v>-1.2299799999994754E-2</v>
      </c>
      <c r="K117" s="798">
        <f>H117+pivot*(Q38*3.1416/180)</f>
        <v>-5.5729290000000002</v>
      </c>
      <c r="L117" s="798">
        <f>I117-radius*(R38*3.1416/180)</f>
        <v>-7.7003491327333329</v>
      </c>
      <c r="M117" s="27"/>
      <c r="T117" s="128"/>
      <c r="U117" s="17"/>
      <c r="V117" s="17"/>
      <c r="W117" s="17"/>
      <c r="X117" s="17"/>
      <c r="Y117" s="17"/>
      <c r="Z117" s="17"/>
      <c r="AR117" s="8"/>
      <c r="AS117" s="8"/>
      <c r="AT117" s="8"/>
      <c r="AU117" s="8"/>
      <c r="AW117" s="8"/>
      <c r="AX117" s="8"/>
      <c r="AY117" s="8"/>
      <c r="AZ117" s="8"/>
      <c r="BA117" s="8"/>
    </row>
    <row r="118" spans="1:53" s="1" customFormat="1">
      <c r="A118" s="831"/>
      <c r="B118" s="758" t="s">
        <v>565</v>
      </c>
      <c r="C118" s="759">
        <v>858.96175800000003</v>
      </c>
      <c r="D118" s="759">
        <v>-0.116345</v>
      </c>
      <c r="E118" s="759">
        <v>-19.112545999999998</v>
      </c>
      <c r="F118" s="48"/>
      <c r="G118" s="759">
        <f>C118-zerox14</f>
        <v>-6.7109999999956926E-3</v>
      </c>
      <c r="H118" s="759">
        <f>D118-zeroy14</f>
        <v>-7.6150999999999996E-2</v>
      </c>
      <c r="I118" s="759">
        <f>E118-zeroz14</f>
        <v>-4.7752999999996604E-2</v>
      </c>
      <c r="J118" s="817"/>
      <c r="K118" s="759"/>
      <c r="L118" s="759"/>
      <c r="M118" s="27"/>
      <c r="T118" s="128"/>
      <c r="U118" s="17"/>
      <c r="V118" s="17"/>
      <c r="W118" s="17"/>
      <c r="X118" s="17"/>
      <c r="Y118" s="17"/>
      <c r="Z118" s="17"/>
      <c r="AR118" s="8"/>
      <c r="AS118" s="8"/>
      <c r="AT118" s="8"/>
      <c r="AU118" s="8"/>
      <c r="AW118" s="8"/>
      <c r="AX118" s="8"/>
      <c r="AY118" s="8"/>
      <c r="AZ118" s="8"/>
      <c r="BA118" s="8"/>
    </row>
    <row r="119" spans="1:53" s="1" customFormat="1">
      <c r="A119" s="424" t="s">
        <v>24</v>
      </c>
      <c r="B119" s="48" t="s">
        <v>566</v>
      </c>
      <c r="C119" s="764">
        <v>-0.42129299999999997</v>
      </c>
      <c r="D119" s="764">
        <v>858.95984599999997</v>
      </c>
      <c r="E119" s="764">
        <v>-19.107073</v>
      </c>
      <c r="F119" s="48"/>
      <c r="G119" s="764">
        <f>C119-zerox24</f>
        <v>-4.2535999999999963E-2</v>
      </c>
      <c r="H119" s="764">
        <f>D119-zeroy24</f>
        <v>-4.5310000000085893E-2</v>
      </c>
      <c r="I119" s="764">
        <f>E119-zeroz24</f>
        <v>-3.8277999999998258E-2</v>
      </c>
      <c r="J119" s="805"/>
      <c r="K119" s="764"/>
      <c r="L119" s="764"/>
      <c r="M119" s="27"/>
      <c r="T119" s="128"/>
      <c r="U119" s="17"/>
      <c r="V119" s="17"/>
      <c r="W119" s="17"/>
      <c r="X119" s="17"/>
      <c r="Y119" s="17"/>
      <c r="Z119" s="17"/>
      <c r="AR119" s="8"/>
      <c r="AS119" s="8"/>
      <c r="AT119" s="8"/>
      <c r="AU119" s="8"/>
      <c r="AW119" s="8"/>
      <c r="AX119" s="8"/>
      <c r="AY119" s="8"/>
      <c r="AZ119" s="8"/>
      <c r="BA119" s="8"/>
    </row>
    <row r="120" spans="1:53" s="1" customFormat="1">
      <c r="A120" s="818">
        <f>STDEV(G118:G120,H118:H120,I118:I120)</f>
        <v>1.905760563397358E-2</v>
      </c>
      <c r="B120" s="771" t="s">
        <v>567</v>
      </c>
      <c r="C120" s="772">
        <v>-859.13264300000003</v>
      </c>
      <c r="D120" s="772">
        <v>0.78217999999999999</v>
      </c>
      <c r="E120" s="772">
        <v>-19.111754000000001</v>
      </c>
      <c r="F120" s="48"/>
      <c r="G120" s="772">
        <f>C120-zerox34</f>
        <v>-2.174200000001747E-2</v>
      </c>
      <c r="H120" s="772">
        <f>D120-zeroy34</f>
        <v>-4.6196000000000015E-2</v>
      </c>
      <c r="I120" s="772">
        <f>E120-zeroz34</f>
        <v>-3.5413000000001915E-2</v>
      </c>
      <c r="J120" s="819"/>
      <c r="K120" s="772"/>
      <c r="L120" s="772"/>
      <c r="M120" s="38"/>
      <c r="T120" s="128"/>
      <c r="U120" s="17"/>
      <c r="V120" s="17"/>
      <c r="W120" s="17"/>
      <c r="X120" s="17"/>
      <c r="Y120" s="17"/>
      <c r="Z120" s="17"/>
      <c r="AR120" s="8"/>
      <c r="AS120" s="8"/>
      <c r="AT120" s="8"/>
      <c r="AU120" s="8"/>
      <c r="AW120" s="8"/>
      <c r="AX120" s="8"/>
      <c r="AY120" s="8"/>
      <c r="AZ120" s="8"/>
      <c r="BA120" s="8"/>
    </row>
    <row r="121" spans="1:53" s="1" customFormat="1">
      <c r="A121" s="396" t="s">
        <v>11</v>
      </c>
      <c r="C121" s="8"/>
      <c r="D121" s="8"/>
      <c r="E121" s="8"/>
      <c r="G121" s="8"/>
      <c r="H121" s="8"/>
      <c r="I121" s="8"/>
      <c r="J121" s="7"/>
      <c r="K121" s="8"/>
      <c r="L121" s="8"/>
      <c r="T121" s="128"/>
      <c r="U121" s="17"/>
      <c r="V121" s="17"/>
      <c r="W121" s="17"/>
      <c r="X121" s="17"/>
      <c r="Y121" s="17"/>
      <c r="Z121" s="17"/>
      <c r="AR121" s="8"/>
      <c r="AS121" s="8"/>
      <c r="AT121" s="8"/>
      <c r="AU121" s="8"/>
      <c r="AW121" s="8"/>
      <c r="AX121" s="8"/>
      <c r="AY121" s="8"/>
      <c r="AZ121" s="8"/>
      <c r="BA121" s="8"/>
    </row>
    <row r="122" spans="1:53" s="1" customFormat="1">
      <c r="A122" s="397" t="s">
        <v>568</v>
      </c>
      <c r="C122" s="8"/>
      <c r="D122" s="8"/>
      <c r="E122" s="8"/>
      <c r="G122" s="8"/>
      <c r="H122" s="8"/>
      <c r="I122" s="8"/>
      <c r="J122" s="7"/>
      <c r="K122" s="8"/>
      <c r="L122" s="8"/>
      <c r="T122" s="128"/>
      <c r="U122" s="17"/>
      <c r="V122" s="17"/>
      <c r="W122" s="17"/>
      <c r="X122" s="17"/>
      <c r="Y122" s="17"/>
      <c r="Z122" s="17"/>
      <c r="AR122" s="8"/>
      <c r="AS122" s="8"/>
      <c r="AT122" s="8"/>
      <c r="AU122" s="8"/>
      <c r="AW122" s="8"/>
      <c r="AX122" s="8"/>
      <c r="AY122" s="8"/>
      <c r="AZ122" s="8"/>
      <c r="BA122" s="8"/>
    </row>
    <row r="123" spans="1:53" s="1" customFormat="1">
      <c r="A123" s="397" t="s">
        <v>569</v>
      </c>
      <c r="C123" s="8"/>
      <c r="D123" s="8"/>
      <c r="E123" s="8"/>
      <c r="G123" s="8"/>
      <c r="H123" s="8"/>
      <c r="I123" s="8"/>
      <c r="J123" s="7"/>
      <c r="K123" s="8"/>
      <c r="L123" s="8"/>
      <c r="T123" s="128"/>
      <c r="U123" s="17"/>
      <c r="V123" s="17"/>
      <c r="W123" s="17"/>
      <c r="X123" s="17"/>
      <c r="Y123" s="17"/>
      <c r="Z123" s="17"/>
      <c r="AR123" s="8"/>
      <c r="AS123" s="8"/>
      <c r="AT123" s="8"/>
      <c r="AU123" s="8"/>
      <c r="AW123" s="8"/>
      <c r="AX123" s="8"/>
      <c r="AY123" s="8"/>
      <c r="AZ123" s="8"/>
      <c r="BA123" s="8"/>
    </row>
    <row r="124" spans="1:53" s="39" customFormat="1">
      <c r="A124" s="818">
        <f>AVERAGE(A120,A84,A57,A35,A8)</f>
        <v>1.9136405829457758E-2</v>
      </c>
      <c r="B124" s="332" t="s">
        <v>7</v>
      </c>
      <c r="C124" s="8"/>
      <c r="D124" s="8"/>
      <c r="E124" s="8"/>
      <c r="F124" s="1"/>
      <c r="G124" s="8"/>
      <c r="H124" s="8"/>
      <c r="I124" s="8"/>
      <c r="J124" s="7"/>
      <c r="K124" s="8"/>
      <c r="L124" s="8"/>
      <c r="T124" s="151"/>
      <c r="U124" s="147"/>
      <c r="V124" s="147"/>
      <c r="W124" s="147"/>
      <c r="X124" s="147"/>
      <c r="Y124" s="147"/>
      <c r="Z124" s="147"/>
      <c r="AK124" s="1"/>
      <c r="AL124" s="1"/>
      <c r="AM124" s="1"/>
      <c r="AN124" s="1"/>
      <c r="AO124" s="1"/>
      <c r="AP124" s="1"/>
      <c r="AQ124" s="1"/>
      <c r="AR124" s="8"/>
      <c r="AS124" s="8"/>
      <c r="AT124" s="8"/>
      <c r="AU124" s="8"/>
      <c r="AV124" s="1"/>
      <c r="AW124" s="8"/>
      <c r="AX124" s="8"/>
      <c r="AY124" s="8"/>
      <c r="AZ124" s="8"/>
      <c r="BA124" s="71"/>
    </row>
    <row r="125" spans="1:53" s="39" customForma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T125" s="151"/>
      <c r="U125" s="147"/>
      <c r="V125" s="147"/>
      <c r="W125" s="147"/>
      <c r="X125" s="147"/>
      <c r="Y125" s="147"/>
      <c r="Z125" s="147"/>
      <c r="AR125" s="8"/>
      <c r="AS125" s="8"/>
      <c r="AT125" s="8"/>
      <c r="AU125" s="8"/>
      <c r="AV125" s="1"/>
      <c r="AW125" s="8"/>
      <c r="AX125" s="8"/>
      <c r="AY125" s="8"/>
      <c r="AZ125" s="71"/>
      <c r="BA125" s="71"/>
    </row>
    <row r="126" spans="1:53" s="39" customForma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T126" s="151"/>
      <c r="U126" s="147"/>
      <c r="V126" s="147"/>
      <c r="W126" s="147"/>
      <c r="X126" s="147"/>
      <c r="Y126" s="147"/>
      <c r="Z126" s="147"/>
      <c r="AR126" s="71"/>
      <c r="AS126" s="8"/>
      <c r="AT126" s="8"/>
      <c r="AU126" s="8"/>
      <c r="AV126" s="1"/>
      <c r="AW126" s="71"/>
      <c r="AX126" s="71"/>
      <c r="AY126" s="71"/>
      <c r="AZ126" s="71"/>
      <c r="BA126" s="71"/>
    </row>
    <row r="127" spans="1:53" s="39" customForma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T127" s="151"/>
      <c r="U127" s="147"/>
      <c r="V127" s="147"/>
      <c r="W127" s="147"/>
      <c r="X127" s="147"/>
      <c r="Y127" s="147"/>
      <c r="Z127" s="147"/>
      <c r="AR127" s="71"/>
      <c r="AS127" s="71"/>
      <c r="AT127" s="71"/>
      <c r="AU127" s="71"/>
      <c r="AW127" s="71"/>
      <c r="AX127" s="71"/>
      <c r="AY127" s="71"/>
      <c r="AZ127" s="71"/>
      <c r="BA127" s="71"/>
    </row>
    <row r="128" spans="1:53" s="39" customForma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T128" s="151"/>
      <c r="U128" s="147"/>
      <c r="V128" s="147"/>
      <c r="W128" s="147"/>
      <c r="X128" s="147"/>
      <c r="Y128" s="147"/>
      <c r="Z128" s="147"/>
      <c r="AR128" s="71"/>
      <c r="AS128" s="71"/>
      <c r="AT128" s="71"/>
      <c r="AU128" s="71"/>
      <c r="AW128" s="71"/>
      <c r="AX128" s="71"/>
      <c r="AY128" s="71"/>
      <c r="AZ128" s="71"/>
      <c r="BA128" s="71"/>
    </row>
    <row r="129" spans="20:53" s="39" customFormat="1">
      <c r="T129" s="151"/>
      <c r="U129" s="147"/>
      <c r="V129" s="147"/>
      <c r="W129" s="147"/>
      <c r="X129" s="147"/>
      <c r="Y129" s="147"/>
      <c r="Z129" s="147"/>
      <c r="AR129" s="71"/>
      <c r="AS129" s="71"/>
      <c r="AT129" s="71"/>
      <c r="AU129" s="71"/>
      <c r="AW129" s="71"/>
      <c r="AX129" s="71"/>
      <c r="AY129" s="71"/>
      <c r="AZ129" s="71"/>
      <c r="BA129" s="71"/>
    </row>
    <row r="130" spans="20:53" s="39" customFormat="1">
      <c r="T130" s="151"/>
      <c r="U130" s="147"/>
      <c r="V130" s="147"/>
      <c r="W130" s="147"/>
      <c r="X130" s="147"/>
      <c r="Y130" s="147"/>
      <c r="Z130" s="147"/>
      <c r="AR130" s="71"/>
      <c r="AS130" s="71"/>
      <c r="AT130" s="71"/>
      <c r="AU130" s="71"/>
      <c r="AW130" s="71"/>
      <c r="AX130" s="71"/>
      <c r="AY130" s="71"/>
      <c r="AZ130" s="71"/>
      <c r="BA130" s="71"/>
    </row>
    <row r="131" spans="20:53" s="39" customFormat="1">
      <c r="T131" s="151"/>
      <c r="U131" s="147"/>
      <c r="V131" s="147"/>
      <c r="W131" s="147"/>
      <c r="X131" s="147"/>
      <c r="Y131" s="147"/>
      <c r="Z131" s="147"/>
      <c r="AR131" s="71"/>
      <c r="AS131" s="71"/>
      <c r="AT131" s="71"/>
      <c r="AU131" s="71"/>
      <c r="AW131" s="71"/>
      <c r="AX131" s="71"/>
      <c r="AY131" s="71"/>
      <c r="AZ131" s="71"/>
      <c r="BA131" s="71"/>
    </row>
    <row r="132" spans="20:53" s="39" customFormat="1">
      <c r="T132" s="151"/>
      <c r="U132" s="147"/>
      <c r="V132" s="147"/>
      <c r="W132" s="147"/>
      <c r="X132" s="147"/>
      <c r="Y132" s="147"/>
      <c r="Z132" s="147"/>
      <c r="AR132" s="71"/>
      <c r="AS132" s="71"/>
      <c r="AT132" s="71"/>
      <c r="AU132" s="71"/>
      <c r="AW132" s="71"/>
      <c r="AX132" s="71"/>
      <c r="AY132" s="71"/>
      <c r="AZ132" s="71"/>
      <c r="BA132" s="71"/>
    </row>
    <row r="133" spans="20:53" s="39" customFormat="1">
      <c r="Y133" s="147"/>
      <c r="Z133" s="147"/>
      <c r="AR133" s="71"/>
      <c r="AS133" s="71"/>
      <c r="AT133" s="71"/>
      <c r="AU133" s="71"/>
      <c r="AW133" s="71"/>
      <c r="AX133" s="71"/>
      <c r="AY133" s="71"/>
      <c r="AZ133" s="71"/>
      <c r="BA133" s="71"/>
    </row>
    <row r="134" spans="20:53" s="39" customFormat="1">
      <c r="Y134" s="147"/>
      <c r="Z134" s="147"/>
      <c r="AR134" s="71"/>
      <c r="AS134" s="71"/>
      <c r="AT134" s="71"/>
      <c r="AU134" s="71"/>
      <c r="AW134" s="71"/>
      <c r="AX134" s="71"/>
      <c r="AY134" s="71"/>
      <c r="AZ134" s="71"/>
      <c r="BA134" s="71"/>
    </row>
    <row r="135" spans="20:53" s="39" customFormat="1">
      <c r="Y135" s="147"/>
      <c r="Z135" s="147"/>
      <c r="AR135" s="71"/>
      <c r="AS135" s="71"/>
      <c r="AT135" s="71"/>
      <c r="AU135" s="71"/>
      <c r="AW135" s="71"/>
      <c r="AX135" s="71"/>
      <c r="AY135" s="71"/>
      <c r="AZ135" s="71"/>
      <c r="BA135" s="71"/>
    </row>
    <row r="136" spans="20:53" s="39" customFormat="1">
      <c r="Y136" s="147"/>
      <c r="Z136" s="147"/>
      <c r="AR136" s="71"/>
      <c r="AS136" s="71"/>
      <c r="AT136" s="71"/>
      <c r="AU136" s="71"/>
      <c r="AW136" s="71"/>
      <c r="AX136" s="71"/>
      <c r="AY136" s="71"/>
      <c r="AZ136" s="71"/>
      <c r="BA136" s="71"/>
    </row>
    <row r="137" spans="20:53" s="39" customFormat="1">
      <c r="Y137" s="147"/>
      <c r="Z137" s="147"/>
      <c r="AR137" s="71"/>
      <c r="AS137" s="71"/>
      <c r="AT137" s="71"/>
      <c r="AU137" s="71"/>
      <c r="AW137" s="71"/>
      <c r="AX137" s="71"/>
      <c r="AY137" s="71"/>
      <c r="AZ137" s="71"/>
      <c r="BA137" s="71"/>
    </row>
    <row r="138" spans="20:53" s="39" customFormat="1">
      <c r="Y138" s="147"/>
      <c r="Z138" s="147"/>
      <c r="AR138" s="71"/>
      <c r="AS138" s="71"/>
      <c r="AT138" s="71"/>
      <c r="AU138" s="71"/>
      <c r="AW138" s="71"/>
      <c r="AX138" s="71"/>
      <c r="AY138" s="71"/>
      <c r="AZ138" s="71"/>
      <c r="BA138" s="71"/>
    </row>
    <row r="139" spans="20:53" s="39" customFormat="1">
      <c r="Y139" s="147"/>
      <c r="Z139" s="147"/>
      <c r="AR139" s="71"/>
      <c r="AS139" s="71"/>
      <c r="AT139" s="71"/>
      <c r="AU139" s="71"/>
      <c r="AW139" s="71"/>
      <c r="AX139" s="71"/>
      <c r="AY139" s="71"/>
      <c r="AZ139" s="71"/>
      <c r="BA139" s="71"/>
    </row>
    <row r="140" spans="20:53" s="39" customFormat="1">
      <c r="Y140" s="147"/>
      <c r="Z140" s="147"/>
      <c r="AR140" s="71"/>
      <c r="AS140" s="71"/>
      <c r="AT140" s="71"/>
      <c r="AU140" s="71"/>
      <c r="AW140" s="71"/>
      <c r="AX140" s="71"/>
      <c r="AY140" s="71"/>
      <c r="AZ140" s="71"/>
      <c r="BA140" s="71"/>
    </row>
    <row r="141" spans="20:53" s="39" customFormat="1">
      <c r="Y141" s="147"/>
      <c r="Z141" s="147"/>
      <c r="AR141" s="71"/>
      <c r="AS141" s="71"/>
      <c r="AT141" s="71"/>
      <c r="AU141" s="71"/>
      <c r="AW141" s="71"/>
      <c r="AX141" s="71"/>
      <c r="AY141" s="71"/>
      <c r="AZ141" s="71"/>
      <c r="BA141" s="71"/>
    </row>
    <row r="142" spans="20:53" s="39" customFormat="1">
      <c r="Y142" s="147"/>
      <c r="Z142" s="147"/>
      <c r="AR142" s="71"/>
      <c r="AS142" s="71"/>
      <c r="AT142" s="71"/>
      <c r="AU142" s="71"/>
      <c r="AW142" s="71"/>
      <c r="AX142" s="71"/>
      <c r="AY142" s="71"/>
      <c r="AZ142" s="71"/>
      <c r="BA142" s="71"/>
    </row>
    <row r="143" spans="20:53" s="39" customFormat="1">
      <c r="Y143" s="147"/>
      <c r="Z143" s="147"/>
      <c r="AR143" s="71"/>
      <c r="AS143" s="71"/>
      <c r="AT143" s="71"/>
      <c r="AU143" s="71"/>
      <c r="AW143" s="71"/>
      <c r="AX143" s="71"/>
      <c r="AY143" s="71"/>
      <c r="AZ143" s="71"/>
      <c r="BA143" s="71"/>
    </row>
    <row r="144" spans="20:53" s="39" customFormat="1">
      <c r="Y144" s="147"/>
      <c r="Z144" s="147"/>
      <c r="AR144" s="71"/>
      <c r="AS144" s="71"/>
      <c r="AT144" s="71"/>
      <c r="AU144" s="71"/>
      <c r="AW144" s="71"/>
      <c r="AX144" s="71"/>
      <c r="AY144" s="71"/>
      <c r="AZ144" s="71"/>
      <c r="BA144" s="71"/>
    </row>
    <row r="145" spans="20:53" s="39" customFormat="1">
      <c r="Y145" s="147"/>
      <c r="Z145" s="147"/>
      <c r="AR145" s="71"/>
      <c r="AS145" s="71"/>
      <c r="AT145" s="71"/>
      <c r="AU145" s="71"/>
      <c r="AW145" s="71"/>
      <c r="AX145" s="71"/>
      <c r="AY145" s="71"/>
      <c r="AZ145" s="71"/>
      <c r="BA145" s="71"/>
    </row>
    <row r="146" spans="20:53" s="39" customFormat="1">
      <c r="Y146" s="147"/>
      <c r="Z146" s="147"/>
      <c r="AR146" s="71"/>
      <c r="AS146" s="71"/>
      <c r="AT146" s="71"/>
      <c r="AU146" s="71"/>
      <c r="AW146" s="71"/>
      <c r="AX146" s="71"/>
      <c r="AY146" s="71"/>
      <c r="AZ146" s="71"/>
      <c r="BA146" s="71"/>
    </row>
    <row r="147" spans="20:53" s="39" customFormat="1">
      <c r="Y147" s="147"/>
      <c r="Z147" s="147"/>
      <c r="AR147" s="71"/>
      <c r="AS147" s="71"/>
      <c r="AT147" s="71"/>
      <c r="AU147" s="71"/>
      <c r="AW147" s="71"/>
      <c r="AX147" s="71"/>
      <c r="AY147" s="71"/>
      <c r="AZ147" s="71"/>
      <c r="BA147" s="71"/>
    </row>
    <row r="148" spans="20:53" s="39" customFormat="1">
      <c r="T148" s="151"/>
      <c r="U148" s="147"/>
      <c r="V148" s="147"/>
      <c r="W148" s="147"/>
      <c r="X148" s="147"/>
      <c r="Y148" s="147"/>
      <c r="Z148" s="147"/>
      <c r="AR148" s="71"/>
      <c r="AS148" s="71"/>
      <c r="AT148" s="71"/>
      <c r="AU148" s="71"/>
      <c r="AW148" s="71"/>
      <c r="AX148" s="71"/>
      <c r="AY148" s="71"/>
      <c r="AZ148" s="71"/>
      <c r="BA148" s="71"/>
    </row>
    <row r="149" spans="20:53" s="39" customFormat="1">
      <c r="T149" s="151"/>
      <c r="U149" s="147"/>
      <c r="V149" s="147"/>
      <c r="W149" s="147"/>
      <c r="X149" s="147"/>
      <c r="Y149" s="147"/>
      <c r="Z149" s="147"/>
      <c r="AR149" s="71"/>
      <c r="AS149" s="71"/>
      <c r="AT149" s="71"/>
      <c r="AU149" s="71"/>
      <c r="AW149" s="71"/>
      <c r="AX149" s="71"/>
      <c r="AY149" s="71"/>
      <c r="AZ149" s="71"/>
      <c r="BA149" s="71"/>
    </row>
    <row r="150" spans="20:53" s="39" customFormat="1">
      <c r="T150" s="151"/>
      <c r="U150" s="147"/>
      <c r="V150" s="147"/>
      <c r="W150" s="147"/>
      <c r="X150" s="147"/>
      <c r="Y150" s="147"/>
      <c r="Z150" s="147"/>
      <c r="AR150" s="71"/>
      <c r="AS150" s="71"/>
      <c r="AT150" s="71"/>
      <c r="AU150" s="71"/>
      <c r="AW150" s="71"/>
      <c r="AX150" s="71"/>
      <c r="AY150" s="71"/>
      <c r="AZ150" s="71"/>
      <c r="BA150" s="71"/>
    </row>
    <row r="151" spans="20:53" s="39" customFormat="1">
      <c r="T151" s="151"/>
      <c r="U151" s="147"/>
      <c r="V151" s="147"/>
      <c r="W151" s="147"/>
      <c r="X151" s="147"/>
      <c r="Y151" s="147"/>
      <c r="Z151" s="147"/>
      <c r="AR151" s="71"/>
      <c r="AS151" s="71"/>
      <c r="AT151" s="71"/>
      <c r="AU151" s="71"/>
      <c r="AW151" s="71"/>
      <c r="AX151" s="71"/>
      <c r="AY151" s="71"/>
      <c r="AZ151" s="71"/>
      <c r="BA151" s="71"/>
    </row>
    <row r="152" spans="20:53" s="39" customFormat="1">
      <c r="T152" s="151"/>
      <c r="U152" s="147"/>
      <c r="V152" s="147"/>
      <c r="W152" s="147"/>
      <c r="X152" s="147"/>
      <c r="Y152" s="147"/>
      <c r="Z152" s="147"/>
      <c r="AR152" s="71"/>
      <c r="AS152" s="71"/>
      <c r="AT152" s="71"/>
      <c r="AU152" s="71"/>
      <c r="AW152" s="71"/>
      <c r="AX152" s="71"/>
      <c r="AY152" s="71"/>
      <c r="AZ152" s="71"/>
      <c r="BA152" s="71"/>
    </row>
    <row r="153" spans="20:53" s="39" customFormat="1">
      <c r="T153" s="151"/>
      <c r="U153" s="147"/>
      <c r="V153" s="147"/>
      <c r="W153" s="147"/>
      <c r="X153" s="147"/>
      <c r="Y153" s="147"/>
      <c r="Z153" s="147"/>
      <c r="AR153" s="71"/>
      <c r="AS153" s="71"/>
      <c r="AT153" s="71"/>
      <c r="AU153" s="71"/>
      <c r="AW153" s="71"/>
      <c r="AX153" s="71"/>
      <c r="AY153" s="71"/>
      <c r="AZ153" s="71"/>
      <c r="BA153" s="71"/>
    </row>
    <row r="154" spans="20:53" s="39" customFormat="1">
      <c r="T154" s="151"/>
      <c r="U154" s="147"/>
      <c r="V154" s="147"/>
      <c r="W154" s="147"/>
      <c r="X154" s="147"/>
      <c r="Y154" s="147"/>
      <c r="Z154" s="147"/>
      <c r="AR154" s="71"/>
      <c r="AS154" s="71"/>
      <c r="AT154" s="71"/>
      <c r="AU154" s="71"/>
      <c r="AW154" s="71"/>
      <c r="AX154" s="71"/>
      <c r="AY154" s="71"/>
      <c r="AZ154" s="71"/>
      <c r="BA154" s="71"/>
    </row>
    <row r="155" spans="20:53" s="39" customFormat="1">
      <c r="T155" s="151"/>
      <c r="U155" s="147"/>
      <c r="V155" s="147"/>
      <c r="W155" s="147"/>
      <c r="X155" s="147"/>
      <c r="Y155" s="147"/>
      <c r="Z155" s="147"/>
      <c r="AR155" s="71"/>
      <c r="AS155" s="71"/>
      <c r="AT155" s="71"/>
      <c r="AU155" s="71"/>
      <c r="AW155" s="71"/>
      <c r="AX155" s="71"/>
      <c r="AY155" s="71"/>
      <c r="AZ155" s="71"/>
      <c r="BA155" s="71"/>
    </row>
    <row r="156" spans="20:53" s="39" customFormat="1">
      <c r="T156" s="151"/>
      <c r="U156" s="147"/>
      <c r="V156" s="147"/>
      <c r="W156" s="147"/>
      <c r="X156" s="147"/>
      <c r="Y156" s="147"/>
      <c r="Z156" s="147"/>
      <c r="AR156" s="71"/>
      <c r="AS156" s="71"/>
      <c r="AT156" s="71"/>
      <c r="AU156" s="71"/>
      <c r="AW156" s="71"/>
      <c r="AX156" s="71"/>
      <c r="AY156" s="71"/>
      <c r="AZ156" s="71"/>
      <c r="BA156" s="71"/>
    </row>
    <row r="157" spans="20:53" s="39" customFormat="1">
      <c r="T157" s="151"/>
      <c r="U157" s="147"/>
      <c r="V157" s="147"/>
      <c r="W157" s="147"/>
      <c r="X157" s="147"/>
      <c r="Y157" s="147"/>
      <c r="Z157" s="147"/>
      <c r="AR157" s="71"/>
      <c r="AS157" s="71"/>
      <c r="AT157" s="71"/>
      <c r="AU157" s="71"/>
      <c r="AW157" s="71"/>
      <c r="AX157" s="71"/>
      <c r="AY157" s="71"/>
      <c r="AZ157" s="71"/>
      <c r="BA157" s="71"/>
    </row>
    <row r="158" spans="20:53" s="39" customFormat="1">
      <c r="T158" s="151"/>
      <c r="U158" s="147"/>
      <c r="V158" s="147"/>
      <c r="W158" s="147"/>
      <c r="X158" s="147"/>
      <c r="Y158" s="147"/>
      <c r="Z158" s="147"/>
      <c r="AR158" s="71"/>
      <c r="AS158" s="71"/>
      <c r="AT158" s="71"/>
      <c r="AU158" s="71"/>
      <c r="AW158" s="71"/>
      <c r="AX158" s="71"/>
      <c r="AY158" s="71"/>
      <c r="AZ158" s="71"/>
      <c r="BA158" s="71"/>
    </row>
    <row r="159" spans="20:53" s="39" customFormat="1">
      <c r="T159" s="151"/>
      <c r="U159" s="147"/>
      <c r="V159" s="147"/>
      <c r="W159" s="147"/>
      <c r="X159" s="147"/>
      <c r="Y159" s="147"/>
      <c r="Z159" s="147"/>
      <c r="AR159" s="71"/>
      <c r="AS159" s="71"/>
      <c r="AT159" s="71"/>
      <c r="AU159" s="71"/>
      <c r="AW159" s="71"/>
      <c r="AX159" s="71"/>
      <c r="AY159" s="71"/>
      <c r="AZ159" s="71"/>
      <c r="BA159" s="71"/>
    </row>
    <row r="160" spans="20:53" s="39" customFormat="1">
      <c r="T160" s="151"/>
      <c r="U160" s="147"/>
      <c r="V160" s="147"/>
      <c r="W160" s="147"/>
      <c r="X160" s="147"/>
      <c r="Y160" s="147"/>
      <c r="Z160" s="147"/>
      <c r="AR160" s="71"/>
      <c r="AS160" s="71"/>
      <c r="AT160" s="71"/>
      <c r="AU160" s="71"/>
      <c r="AW160" s="71"/>
      <c r="AX160" s="71"/>
      <c r="AY160" s="71"/>
      <c r="AZ160" s="71"/>
      <c r="BA160" s="71"/>
    </row>
    <row r="161" spans="8:53" s="39" customFormat="1">
      <c r="T161" s="151"/>
      <c r="U161" s="147"/>
      <c r="V161" s="147"/>
      <c r="W161" s="147"/>
      <c r="X161" s="147"/>
      <c r="Y161" s="147"/>
      <c r="Z161" s="147"/>
      <c r="AR161" s="71"/>
      <c r="AS161" s="71"/>
      <c r="AT161" s="71"/>
      <c r="AU161" s="71"/>
      <c r="AW161" s="71"/>
      <c r="AX161" s="71"/>
      <c r="AY161" s="71"/>
      <c r="AZ161" s="71"/>
      <c r="BA161" s="71"/>
    </row>
    <row r="162" spans="8:53" s="39" customFormat="1">
      <c r="T162" s="151"/>
      <c r="U162" s="147"/>
      <c r="V162" s="147"/>
      <c r="W162" s="147"/>
      <c r="X162" s="147"/>
      <c r="Y162" s="147"/>
      <c r="Z162" s="147"/>
      <c r="AR162" s="71"/>
      <c r="AS162" s="71"/>
      <c r="AT162" s="71"/>
      <c r="AU162" s="71"/>
      <c r="AW162" s="71"/>
      <c r="AX162" s="71"/>
      <c r="AY162" s="71"/>
      <c r="AZ162" s="71"/>
      <c r="BA162" s="71"/>
    </row>
    <row r="163" spans="8:53" s="39" customFormat="1">
      <c r="T163" s="151"/>
      <c r="U163" s="147"/>
      <c r="V163" s="147"/>
      <c r="W163" s="147"/>
      <c r="X163" s="147"/>
      <c r="Y163" s="147"/>
      <c r="Z163" s="147"/>
      <c r="AR163" s="71"/>
      <c r="AS163" s="71"/>
      <c r="AT163" s="71"/>
      <c r="AU163" s="71"/>
      <c r="AW163" s="71"/>
      <c r="AX163" s="71"/>
      <c r="AY163" s="71"/>
      <c r="AZ163" s="71"/>
      <c r="BA163" s="71"/>
    </row>
    <row r="164" spans="8:53" s="39" customFormat="1">
      <c r="M164" s="1"/>
      <c r="N164" s="8"/>
      <c r="O164" s="8"/>
      <c r="P164" s="8"/>
      <c r="Q164" s="7"/>
      <c r="R164" s="8"/>
      <c r="S164" s="8"/>
      <c r="T164" s="151"/>
      <c r="U164" s="147"/>
      <c r="V164" s="147"/>
      <c r="W164" s="147"/>
      <c r="X164" s="147"/>
      <c r="Y164" s="147"/>
      <c r="Z164" s="147"/>
      <c r="AR164" s="71"/>
      <c r="AS164" s="71"/>
      <c r="AT164" s="71"/>
      <c r="AU164" s="71"/>
      <c r="AW164" s="71"/>
      <c r="AX164" s="71"/>
      <c r="AY164" s="71"/>
      <c r="AZ164" s="71"/>
      <c r="BA164" s="71"/>
    </row>
    <row r="165" spans="8:53" s="39" customFormat="1">
      <c r="N165" s="71"/>
      <c r="O165" s="71"/>
      <c r="P165" s="71"/>
      <c r="Q165" s="71"/>
      <c r="R165" s="71"/>
      <c r="S165" s="71"/>
      <c r="T165" s="151"/>
      <c r="U165" s="147"/>
      <c r="V165" s="147"/>
      <c r="W165" s="147"/>
      <c r="X165" s="147"/>
      <c r="Y165" s="147"/>
      <c r="Z165" s="147"/>
      <c r="AR165" s="71"/>
      <c r="AS165" s="71"/>
      <c r="AT165" s="71"/>
      <c r="AU165" s="71"/>
      <c r="AW165" s="71"/>
      <c r="AX165" s="71"/>
      <c r="AY165" s="71"/>
      <c r="AZ165" s="71"/>
      <c r="BA165" s="71"/>
    </row>
    <row r="166" spans="8:53" s="39" customFormat="1">
      <c r="N166" s="71"/>
      <c r="O166" s="71"/>
      <c r="P166" s="71"/>
      <c r="Q166" s="71"/>
      <c r="R166" s="71"/>
      <c r="S166" s="71"/>
      <c r="T166" s="151"/>
      <c r="U166" s="147"/>
      <c r="V166" s="147"/>
      <c r="W166" s="147"/>
      <c r="X166" s="147"/>
      <c r="Y166" s="147"/>
      <c r="Z166" s="147"/>
      <c r="AR166" s="71"/>
      <c r="AS166" s="71"/>
      <c r="AT166" s="71"/>
      <c r="AU166" s="71"/>
      <c r="AW166" s="71"/>
      <c r="AX166" s="71"/>
      <c r="AY166" s="71"/>
      <c r="AZ166" s="71"/>
      <c r="BA166" s="71"/>
    </row>
    <row r="167" spans="8:53" s="39" customFormat="1">
      <c r="N167" s="71"/>
      <c r="O167" s="71"/>
      <c r="P167" s="71"/>
      <c r="Q167" s="71"/>
      <c r="R167" s="71"/>
      <c r="S167" s="71"/>
      <c r="T167" s="151"/>
      <c r="U167" s="147"/>
      <c r="V167" s="147"/>
      <c r="W167" s="147"/>
      <c r="X167" s="147"/>
      <c r="Y167" s="147"/>
      <c r="Z167" s="147"/>
      <c r="AR167" s="71"/>
      <c r="AS167" s="71"/>
      <c r="AT167" s="71"/>
      <c r="AU167" s="71"/>
      <c r="AW167" s="71"/>
      <c r="AX167" s="71"/>
      <c r="AY167" s="71"/>
      <c r="AZ167" s="71"/>
      <c r="BA167" s="71"/>
    </row>
    <row r="168" spans="8:53" s="39" customFormat="1">
      <c r="N168" s="71"/>
      <c r="O168" s="71"/>
      <c r="P168" s="71"/>
      <c r="Q168" s="71"/>
      <c r="R168" s="71"/>
      <c r="S168" s="71"/>
      <c r="T168" s="151"/>
      <c r="U168" s="147"/>
      <c r="V168" s="147"/>
      <c r="W168" s="147"/>
      <c r="X168" s="147"/>
      <c r="Y168" s="147"/>
      <c r="Z168" s="147"/>
      <c r="AR168" s="71"/>
      <c r="AS168" s="71"/>
      <c r="AT168" s="71"/>
      <c r="AU168" s="71"/>
      <c r="AW168" s="71"/>
      <c r="AX168" s="71"/>
      <c r="AY168" s="71"/>
      <c r="AZ168" s="71"/>
      <c r="BA168" s="71"/>
    </row>
    <row r="169" spans="8:53" s="39" customFormat="1">
      <c r="H169" s="774"/>
      <c r="I169" s="1"/>
      <c r="J169" s="8"/>
      <c r="K169" s="8"/>
      <c r="L169" s="8"/>
      <c r="N169" s="71"/>
      <c r="O169" s="71"/>
      <c r="P169" s="71"/>
      <c r="Q169" s="71"/>
      <c r="R169" s="71"/>
      <c r="S169" s="71"/>
      <c r="T169" s="151"/>
      <c r="U169" s="147"/>
      <c r="V169" s="147"/>
      <c r="W169" s="147"/>
      <c r="X169" s="147"/>
      <c r="Y169" s="147"/>
      <c r="Z169" s="147"/>
      <c r="AR169" s="71"/>
      <c r="AS169" s="71"/>
      <c r="AT169" s="71"/>
      <c r="AU169" s="71"/>
      <c r="AW169" s="71"/>
      <c r="AX169" s="71"/>
      <c r="AY169" s="71"/>
      <c r="AZ169" s="71"/>
      <c r="BA169" s="71"/>
    </row>
    <row r="170" spans="8:53" s="39" customFormat="1">
      <c r="H170" s="284"/>
      <c r="J170" s="71"/>
      <c r="K170" s="71"/>
      <c r="L170" s="71"/>
      <c r="N170" s="71"/>
      <c r="O170" s="71"/>
      <c r="P170" s="71"/>
      <c r="Q170" s="71"/>
      <c r="R170" s="71"/>
      <c r="S170" s="71"/>
      <c r="T170" s="151"/>
      <c r="U170" s="147"/>
      <c r="V170" s="147"/>
      <c r="W170" s="147"/>
      <c r="X170" s="147"/>
      <c r="Y170" s="147"/>
      <c r="Z170" s="147"/>
      <c r="AR170" s="71"/>
      <c r="AS170" s="71"/>
      <c r="AT170" s="71"/>
      <c r="AU170" s="71"/>
      <c r="AW170" s="71"/>
      <c r="AX170" s="71"/>
      <c r="AY170" s="71"/>
      <c r="AZ170" s="71"/>
      <c r="BA170" s="71"/>
    </row>
    <row r="171" spans="8:53" s="39" customFormat="1">
      <c r="H171" s="284"/>
      <c r="J171" s="71"/>
      <c r="K171" s="71"/>
      <c r="L171" s="71"/>
      <c r="N171" s="71"/>
      <c r="O171" s="71"/>
      <c r="P171" s="71"/>
      <c r="Q171" s="71"/>
      <c r="R171" s="71"/>
      <c r="S171" s="71"/>
      <c r="T171" s="151"/>
      <c r="U171" s="147"/>
      <c r="V171" s="147"/>
      <c r="W171" s="147"/>
      <c r="X171" s="147"/>
      <c r="Y171" s="147"/>
      <c r="Z171" s="147"/>
      <c r="AR171" s="71"/>
      <c r="AS171" s="71"/>
      <c r="AT171" s="71"/>
      <c r="AU171" s="71"/>
      <c r="AW171" s="71"/>
      <c r="AX171" s="71"/>
      <c r="AY171" s="71"/>
      <c r="AZ171" s="71"/>
      <c r="BA171" s="71"/>
    </row>
    <row r="172" spans="8:53" s="39" customFormat="1">
      <c r="H172" s="284"/>
      <c r="J172" s="71"/>
      <c r="K172" s="71"/>
      <c r="L172" s="71"/>
      <c r="N172" s="71"/>
      <c r="O172" s="71"/>
      <c r="P172" s="71"/>
      <c r="Q172" s="71"/>
      <c r="R172" s="71"/>
      <c r="S172" s="71"/>
      <c r="T172" s="151"/>
      <c r="U172" s="147"/>
      <c r="V172" s="147"/>
      <c r="W172" s="147"/>
      <c r="X172" s="147"/>
      <c r="Y172" s="147"/>
      <c r="Z172" s="147"/>
      <c r="AR172" s="71"/>
      <c r="AS172" s="71"/>
      <c r="AT172" s="71"/>
      <c r="AU172" s="71"/>
      <c r="AW172" s="71"/>
      <c r="AX172" s="71"/>
      <c r="AY172" s="71"/>
      <c r="AZ172" s="71"/>
      <c r="BA172" s="71"/>
    </row>
    <row r="173" spans="8:53" s="39" customFormat="1">
      <c r="H173" s="284"/>
      <c r="J173" s="71"/>
      <c r="K173" s="71"/>
      <c r="L173" s="71"/>
      <c r="N173" s="71"/>
      <c r="O173" s="71"/>
      <c r="P173" s="71"/>
      <c r="Q173" s="71"/>
      <c r="R173" s="71"/>
      <c r="S173" s="71"/>
      <c r="T173" s="151"/>
      <c r="U173" s="147"/>
      <c r="V173" s="147"/>
      <c r="W173" s="147"/>
      <c r="X173" s="147"/>
      <c r="Y173" s="147"/>
      <c r="Z173" s="147"/>
      <c r="AR173" s="71"/>
      <c r="AS173" s="71"/>
      <c r="AT173" s="71"/>
      <c r="AU173" s="71"/>
      <c r="AW173" s="71"/>
      <c r="AX173" s="71"/>
      <c r="AY173" s="71"/>
      <c r="AZ173" s="71"/>
      <c r="BA173" s="71"/>
    </row>
    <row r="174" spans="8:53" s="39" customFormat="1">
      <c r="H174" s="284"/>
      <c r="J174" s="71"/>
      <c r="K174" s="71"/>
      <c r="L174" s="71"/>
      <c r="N174" s="71"/>
      <c r="O174" s="71"/>
      <c r="P174" s="71"/>
      <c r="Q174" s="71"/>
      <c r="R174" s="71"/>
      <c r="S174" s="71"/>
      <c r="T174" s="151"/>
      <c r="U174" s="147"/>
      <c r="V174" s="147"/>
      <c r="W174" s="147"/>
      <c r="X174" s="147"/>
      <c r="Y174" s="147"/>
      <c r="Z174" s="147"/>
      <c r="AR174" s="71"/>
      <c r="AS174" s="71"/>
      <c r="AT174" s="71"/>
      <c r="AU174" s="71"/>
      <c r="AW174" s="71"/>
      <c r="AX174" s="71"/>
      <c r="AY174" s="71"/>
      <c r="AZ174" s="71"/>
      <c r="BA174" s="71"/>
    </row>
    <row r="175" spans="8:53" s="39" customFormat="1">
      <c r="H175" s="284"/>
      <c r="J175" s="71"/>
      <c r="K175" s="71"/>
      <c r="L175" s="71"/>
      <c r="N175" s="71"/>
      <c r="O175" s="71"/>
      <c r="P175" s="71"/>
      <c r="Q175" s="71"/>
      <c r="R175" s="71"/>
      <c r="S175" s="71"/>
      <c r="T175" s="151"/>
      <c r="U175" s="147"/>
      <c r="V175" s="147"/>
      <c r="W175" s="147"/>
      <c r="X175" s="147"/>
      <c r="Y175" s="147"/>
      <c r="Z175" s="147"/>
      <c r="AR175" s="71"/>
      <c r="AS175" s="71"/>
      <c r="AT175" s="71"/>
      <c r="AU175" s="71"/>
      <c r="AW175" s="71"/>
      <c r="AX175" s="71"/>
      <c r="AY175" s="71"/>
      <c r="AZ175" s="71"/>
      <c r="BA175" s="71"/>
    </row>
    <row r="176" spans="8:53" s="39" customFormat="1">
      <c r="H176" s="284"/>
      <c r="J176" s="71"/>
      <c r="K176" s="71"/>
      <c r="L176" s="71"/>
      <c r="N176" s="71"/>
      <c r="O176" s="71"/>
      <c r="P176" s="71"/>
      <c r="Q176" s="71"/>
      <c r="R176" s="71"/>
      <c r="S176" s="71"/>
      <c r="T176" s="151"/>
      <c r="U176" s="147"/>
      <c r="V176" s="147"/>
      <c r="W176" s="147"/>
      <c r="X176" s="147"/>
      <c r="Y176" s="147"/>
      <c r="Z176" s="147"/>
      <c r="AR176" s="71"/>
      <c r="AS176" s="71"/>
      <c r="AT176" s="71"/>
      <c r="AU176" s="71"/>
      <c r="AW176" s="71"/>
      <c r="AX176" s="71"/>
      <c r="AY176" s="71"/>
      <c r="AZ176" s="71"/>
      <c r="BA176" s="71"/>
    </row>
    <row r="177" spans="8:53" s="39" customFormat="1">
      <c r="H177" s="284"/>
      <c r="J177" s="71"/>
      <c r="K177" s="71"/>
      <c r="L177" s="71"/>
      <c r="N177" s="71"/>
      <c r="O177" s="71"/>
      <c r="P177" s="71"/>
      <c r="Q177" s="71"/>
      <c r="R177" s="71"/>
      <c r="S177" s="71"/>
      <c r="T177" s="151"/>
      <c r="U177" s="147"/>
      <c r="V177" s="147"/>
      <c r="W177" s="147"/>
      <c r="X177" s="147"/>
      <c r="Y177" s="147"/>
      <c r="Z177" s="147"/>
      <c r="AR177" s="71"/>
      <c r="AS177" s="71"/>
      <c r="AT177" s="71"/>
      <c r="AU177" s="71"/>
      <c r="AW177" s="71"/>
      <c r="AX177" s="71"/>
      <c r="AY177" s="71"/>
      <c r="AZ177" s="71"/>
      <c r="BA177" s="71"/>
    </row>
    <row r="178" spans="8:53" s="39" customFormat="1">
      <c r="H178" s="284"/>
      <c r="J178" s="71"/>
      <c r="K178" s="71"/>
      <c r="L178" s="71"/>
      <c r="N178" s="71"/>
      <c r="O178" s="71"/>
      <c r="P178" s="71"/>
      <c r="Q178" s="71"/>
      <c r="R178" s="71"/>
      <c r="S178" s="71"/>
      <c r="T178" s="151"/>
      <c r="U178" s="147"/>
      <c r="V178" s="147"/>
      <c r="W178" s="147"/>
      <c r="X178" s="147"/>
      <c r="Y178" s="147"/>
      <c r="Z178" s="147"/>
      <c r="AR178" s="71"/>
      <c r="AS178" s="71"/>
      <c r="AT178" s="71"/>
      <c r="AU178" s="71"/>
      <c r="AW178" s="71"/>
      <c r="AX178" s="71"/>
      <c r="AY178" s="71"/>
      <c r="AZ178" s="71"/>
      <c r="BA178" s="71"/>
    </row>
    <row r="179" spans="8:53" s="39" customFormat="1">
      <c r="H179" s="284"/>
      <c r="J179" s="71"/>
      <c r="K179" s="71"/>
      <c r="L179" s="71"/>
      <c r="N179" s="71"/>
      <c r="O179" s="71"/>
      <c r="P179" s="71"/>
      <c r="Q179" s="71"/>
      <c r="R179" s="71"/>
      <c r="S179" s="71"/>
      <c r="T179" s="151"/>
      <c r="U179" s="147"/>
      <c r="V179" s="147"/>
      <c r="W179" s="147"/>
      <c r="X179" s="147"/>
      <c r="Y179" s="147"/>
      <c r="Z179" s="147"/>
      <c r="AR179" s="71"/>
      <c r="AS179" s="71"/>
      <c r="AT179" s="71"/>
      <c r="AU179" s="71"/>
      <c r="AW179" s="71"/>
      <c r="AX179" s="71"/>
      <c r="AY179" s="71"/>
      <c r="AZ179" s="71"/>
      <c r="BA179" s="71"/>
    </row>
    <row r="180" spans="8:53" s="39" customFormat="1">
      <c r="H180" s="284"/>
      <c r="J180" s="71"/>
      <c r="K180" s="71"/>
      <c r="L180" s="71"/>
      <c r="N180" s="71"/>
      <c r="O180" s="71"/>
      <c r="P180" s="71"/>
      <c r="Q180" s="71"/>
      <c r="R180" s="71"/>
      <c r="S180" s="71"/>
      <c r="T180" s="151"/>
      <c r="U180" s="147"/>
      <c r="V180" s="147"/>
      <c r="W180" s="147"/>
      <c r="X180" s="147"/>
      <c r="Y180" s="147"/>
      <c r="Z180" s="147"/>
      <c r="AR180" s="71"/>
      <c r="AS180" s="71"/>
      <c r="AT180" s="71"/>
      <c r="AU180" s="71"/>
      <c r="AW180" s="71"/>
      <c r="AX180" s="71"/>
      <c r="AY180" s="71"/>
      <c r="AZ180" s="71"/>
      <c r="BA180" s="71"/>
    </row>
    <row r="181" spans="8:53" s="39" customFormat="1">
      <c r="H181" s="284"/>
      <c r="J181" s="71"/>
      <c r="K181" s="71"/>
      <c r="L181" s="71"/>
      <c r="N181" s="71"/>
      <c r="O181" s="71"/>
      <c r="P181" s="71"/>
      <c r="Q181" s="71"/>
      <c r="R181" s="71"/>
      <c r="S181" s="71"/>
      <c r="T181" s="151"/>
      <c r="U181" s="147"/>
      <c r="V181" s="147"/>
      <c r="W181" s="147"/>
      <c r="X181" s="147"/>
      <c r="Y181" s="147"/>
      <c r="Z181" s="147"/>
      <c r="AR181" s="71"/>
      <c r="AS181" s="71"/>
      <c r="AT181" s="71"/>
      <c r="AU181" s="71"/>
      <c r="AW181" s="71"/>
      <c r="AX181" s="71"/>
      <c r="AY181" s="71"/>
      <c r="AZ181" s="71"/>
      <c r="BA181" s="71"/>
    </row>
    <row r="182" spans="8:53" s="39" customFormat="1">
      <c r="H182" s="284"/>
      <c r="J182" s="71"/>
      <c r="K182" s="71"/>
      <c r="L182" s="71"/>
      <c r="N182" s="71"/>
      <c r="O182" s="71"/>
      <c r="P182" s="71"/>
      <c r="Q182" s="71"/>
      <c r="R182" s="71"/>
      <c r="S182" s="71"/>
      <c r="T182" s="151"/>
      <c r="U182" s="147"/>
      <c r="V182" s="147"/>
      <c r="W182" s="147"/>
      <c r="X182" s="147"/>
      <c r="Y182" s="147"/>
      <c r="Z182" s="147"/>
      <c r="AR182" s="71"/>
      <c r="AS182" s="71"/>
      <c r="AT182" s="71"/>
      <c r="AU182" s="71"/>
      <c r="AW182" s="71"/>
      <c r="AX182" s="71"/>
      <c r="AY182" s="71"/>
      <c r="AZ182" s="71"/>
      <c r="BA182" s="71"/>
    </row>
    <row r="183" spans="8:53" s="39" customFormat="1">
      <c r="H183" s="284"/>
      <c r="J183" s="71"/>
      <c r="K183" s="71"/>
      <c r="L183" s="71"/>
      <c r="N183" s="71"/>
      <c r="O183" s="71"/>
      <c r="P183" s="71"/>
      <c r="Q183" s="71"/>
      <c r="R183" s="71"/>
      <c r="S183" s="71"/>
      <c r="T183" s="151"/>
      <c r="U183" s="147"/>
      <c r="V183" s="147"/>
      <c r="W183" s="147"/>
      <c r="X183" s="147"/>
      <c r="Y183" s="147"/>
      <c r="Z183" s="147"/>
      <c r="AR183" s="71"/>
      <c r="AS183" s="71"/>
      <c r="AT183" s="71"/>
      <c r="AU183" s="71"/>
      <c r="AW183" s="71"/>
      <c r="AX183" s="71"/>
      <c r="AY183" s="71"/>
      <c r="AZ183" s="71"/>
      <c r="BA183" s="71"/>
    </row>
    <row r="184" spans="8:53" s="39" customFormat="1">
      <c r="H184" s="284"/>
      <c r="J184" s="71"/>
      <c r="K184" s="71"/>
      <c r="L184" s="71"/>
      <c r="N184" s="71"/>
      <c r="O184" s="71"/>
      <c r="P184" s="71"/>
      <c r="Q184" s="71"/>
      <c r="R184" s="71"/>
      <c r="S184" s="71"/>
      <c r="T184" s="151"/>
      <c r="U184" s="147"/>
      <c r="V184" s="147"/>
      <c r="W184" s="147"/>
      <c r="X184" s="147"/>
      <c r="Y184" s="147"/>
      <c r="Z184" s="147"/>
      <c r="AR184" s="71"/>
      <c r="AS184" s="71"/>
      <c r="AT184" s="71"/>
      <c r="AU184" s="71"/>
      <c r="AW184" s="71"/>
      <c r="AX184" s="71"/>
      <c r="AY184" s="71"/>
      <c r="AZ184" s="71"/>
      <c r="BA184" s="71"/>
    </row>
    <row r="185" spans="8:53" s="39" customFormat="1">
      <c r="H185" s="284"/>
      <c r="J185" s="71"/>
      <c r="K185" s="71"/>
      <c r="L185" s="71"/>
      <c r="N185" s="71"/>
      <c r="O185" s="71"/>
      <c r="P185" s="71"/>
      <c r="Q185" s="71"/>
      <c r="R185" s="71"/>
      <c r="S185" s="71"/>
      <c r="T185" s="151"/>
      <c r="U185" s="147"/>
      <c r="V185" s="147"/>
      <c r="W185" s="147"/>
      <c r="X185" s="147"/>
      <c r="Y185" s="147"/>
      <c r="Z185" s="147"/>
      <c r="AR185" s="71"/>
      <c r="AS185" s="71"/>
      <c r="AT185" s="71"/>
      <c r="AU185" s="71"/>
      <c r="AW185" s="71"/>
      <c r="AX185" s="71"/>
      <c r="AY185" s="71"/>
      <c r="AZ185" s="71"/>
      <c r="BA185" s="71"/>
    </row>
    <row r="186" spans="8:53" s="39" customFormat="1">
      <c r="H186" s="284"/>
      <c r="J186" s="71"/>
      <c r="K186" s="71"/>
      <c r="L186" s="71"/>
      <c r="N186" s="71"/>
      <c r="O186" s="71"/>
      <c r="P186" s="71"/>
      <c r="Q186" s="71"/>
      <c r="R186" s="71"/>
      <c r="S186" s="71"/>
      <c r="T186" s="151"/>
      <c r="U186" s="147"/>
      <c r="V186" s="147"/>
      <c r="W186" s="147"/>
      <c r="X186" s="147"/>
      <c r="Y186" s="147"/>
      <c r="Z186" s="147"/>
      <c r="AR186" s="71"/>
      <c r="AS186" s="71"/>
      <c r="AT186" s="71"/>
      <c r="AU186" s="71"/>
      <c r="AW186" s="71"/>
      <c r="AX186" s="71"/>
      <c r="AY186" s="71"/>
      <c r="AZ186" s="71"/>
      <c r="BA186" s="71"/>
    </row>
    <row r="187" spans="8:53" s="39" customFormat="1">
      <c r="H187" s="284"/>
      <c r="J187" s="71"/>
      <c r="K187" s="71"/>
      <c r="L187" s="71"/>
      <c r="N187" s="71"/>
      <c r="O187" s="71"/>
      <c r="P187" s="71"/>
      <c r="Q187" s="71"/>
      <c r="R187" s="71"/>
      <c r="S187" s="71"/>
      <c r="T187" s="151"/>
      <c r="U187" s="147"/>
      <c r="V187" s="147"/>
      <c r="W187" s="147"/>
      <c r="X187" s="147"/>
      <c r="Y187" s="147"/>
      <c r="Z187" s="147"/>
      <c r="AR187" s="71"/>
      <c r="AS187" s="71"/>
      <c r="AT187" s="71"/>
      <c r="AU187" s="71"/>
      <c r="AW187" s="71"/>
      <c r="AX187" s="71"/>
      <c r="AY187" s="71"/>
      <c r="AZ187" s="71"/>
      <c r="BA187" s="71"/>
    </row>
    <row r="188" spans="8:53" s="39" customFormat="1">
      <c r="H188" s="284"/>
      <c r="J188" s="71"/>
      <c r="K188" s="71"/>
      <c r="L188" s="71"/>
      <c r="N188" s="71"/>
      <c r="O188" s="71"/>
      <c r="P188" s="71"/>
      <c r="Q188" s="71"/>
      <c r="R188" s="71"/>
      <c r="S188" s="71"/>
      <c r="T188" s="151"/>
      <c r="U188" s="147"/>
      <c r="V188" s="147"/>
      <c r="W188" s="147"/>
      <c r="X188" s="147"/>
      <c r="Y188" s="147"/>
      <c r="Z188" s="147"/>
      <c r="AR188" s="71"/>
      <c r="AS188" s="71"/>
      <c r="AT188" s="71"/>
      <c r="AU188" s="71"/>
      <c r="AW188" s="71"/>
      <c r="AX188" s="71"/>
      <c r="AY188" s="71"/>
      <c r="AZ188" s="71"/>
      <c r="BA188" s="71"/>
    </row>
    <row r="189" spans="8:53" s="39" customFormat="1">
      <c r="H189" s="284"/>
      <c r="J189" s="71"/>
      <c r="K189" s="71"/>
      <c r="L189" s="71"/>
      <c r="N189" s="71"/>
      <c r="O189" s="71"/>
      <c r="P189" s="71"/>
      <c r="Q189" s="71"/>
      <c r="R189" s="71"/>
      <c r="S189" s="71"/>
      <c r="T189" s="151"/>
      <c r="U189" s="147"/>
      <c r="V189" s="147"/>
      <c r="W189" s="147"/>
      <c r="X189" s="147"/>
      <c r="Y189" s="147"/>
      <c r="Z189" s="147"/>
      <c r="AR189" s="71"/>
      <c r="AS189" s="71"/>
      <c r="AT189" s="71"/>
      <c r="AU189" s="71"/>
      <c r="AW189" s="71"/>
      <c r="AX189" s="71"/>
      <c r="AY189" s="71"/>
      <c r="AZ189" s="71"/>
      <c r="BA189" s="71"/>
    </row>
    <row r="190" spans="8:53" s="39" customFormat="1">
      <c r="H190" s="284"/>
      <c r="J190" s="71"/>
      <c r="K190" s="71"/>
      <c r="L190" s="71"/>
      <c r="N190" s="71"/>
      <c r="O190" s="71"/>
      <c r="P190" s="71"/>
      <c r="Q190" s="71"/>
      <c r="R190" s="71"/>
      <c r="S190" s="71"/>
      <c r="T190" s="151"/>
      <c r="U190" s="147"/>
      <c r="V190" s="147"/>
      <c r="W190" s="147"/>
      <c r="X190" s="147"/>
      <c r="Y190" s="147"/>
      <c r="Z190" s="147"/>
      <c r="AR190" s="71"/>
      <c r="AS190" s="71"/>
      <c r="AT190" s="71"/>
      <c r="AU190" s="71"/>
      <c r="AW190" s="71"/>
      <c r="AX190" s="71"/>
      <c r="AY190" s="71"/>
      <c r="AZ190" s="71"/>
      <c r="BA190" s="71"/>
    </row>
    <row r="191" spans="8:53" s="39" customFormat="1">
      <c r="H191" s="284"/>
      <c r="J191" s="71"/>
      <c r="K191" s="71"/>
      <c r="L191" s="71"/>
      <c r="N191" s="71"/>
      <c r="O191" s="71"/>
      <c r="P191" s="71"/>
      <c r="Q191" s="71"/>
      <c r="R191" s="71"/>
      <c r="S191" s="71"/>
      <c r="T191" s="151"/>
      <c r="U191" s="147"/>
      <c r="V191" s="147"/>
      <c r="W191" s="147"/>
      <c r="X191" s="147"/>
      <c r="Y191" s="147"/>
      <c r="Z191" s="147"/>
      <c r="AR191" s="71"/>
      <c r="AS191" s="71"/>
      <c r="AT191" s="71"/>
      <c r="AU191" s="71"/>
      <c r="AW191" s="71"/>
      <c r="AX191" s="71"/>
      <c r="AY191" s="71"/>
      <c r="AZ191" s="71"/>
      <c r="BA191" s="71"/>
    </row>
    <row r="192" spans="8:53" s="39" customFormat="1">
      <c r="H192" s="284"/>
      <c r="J192" s="71"/>
      <c r="K192" s="71"/>
      <c r="L192" s="71"/>
      <c r="N192" s="71"/>
      <c r="O192" s="71"/>
      <c r="P192" s="71"/>
      <c r="Q192" s="71"/>
      <c r="R192" s="71"/>
      <c r="S192" s="71"/>
      <c r="T192" s="151"/>
      <c r="U192" s="147"/>
      <c r="V192" s="147"/>
      <c r="W192" s="147"/>
      <c r="X192" s="147"/>
      <c r="Y192" s="147"/>
      <c r="Z192" s="147"/>
      <c r="AR192" s="71"/>
      <c r="AS192" s="71"/>
      <c r="AT192" s="71"/>
      <c r="AU192" s="71"/>
      <c r="AW192" s="71"/>
      <c r="AX192" s="71"/>
      <c r="AY192" s="71"/>
      <c r="AZ192" s="71"/>
      <c r="BA192" s="71"/>
    </row>
    <row r="193" spans="8:53" s="39" customFormat="1">
      <c r="H193" s="284"/>
      <c r="J193" s="71"/>
      <c r="K193" s="71"/>
      <c r="L193" s="71"/>
      <c r="N193" s="71"/>
      <c r="O193" s="71"/>
      <c r="P193" s="71"/>
      <c r="Q193" s="71"/>
      <c r="R193" s="71"/>
      <c r="S193" s="71"/>
      <c r="T193" s="151"/>
      <c r="U193" s="147"/>
      <c r="V193" s="147"/>
      <c r="W193" s="147"/>
      <c r="X193" s="147"/>
      <c r="Y193" s="147"/>
      <c r="Z193" s="147"/>
      <c r="AR193" s="71"/>
      <c r="AS193" s="71"/>
      <c r="AT193" s="71"/>
      <c r="AU193" s="71"/>
      <c r="AW193" s="71"/>
      <c r="AX193" s="71"/>
      <c r="AY193" s="71"/>
      <c r="AZ193" s="71"/>
      <c r="BA193" s="71"/>
    </row>
    <row r="194" spans="8:53" s="39" customFormat="1">
      <c r="H194" s="284"/>
      <c r="J194" s="71"/>
      <c r="K194" s="71"/>
      <c r="L194" s="71"/>
      <c r="N194" s="71"/>
      <c r="O194" s="71"/>
      <c r="P194" s="71"/>
      <c r="Q194" s="71"/>
      <c r="R194" s="71"/>
      <c r="S194" s="71"/>
      <c r="T194" s="151"/>
      <c r="U194" s="147"/>
      <c r="V194" s="147"/>
      <c r="W194" s="147"/>
      <c r="X194" s="147"/>
      <c r="Y194" s="147"/>
      <c r="Z194" s="147"/>
      <c r="AR194" s="71"/>
      <c r="AS194" s="71"/>
      <c r="AT194" s="71"/>
      <c r="AU194" s="71"/>
      <c r="AW194" s="71"/>
      <c r="AX194" s="71"/>
      <c r="AY194" s="71"/>
      <c r="AZ194" s="71"/>
      <c r="BA194" s="71"/>
    </row>
    <row r="195" spans="8:53" s="39" customFormat="1">
      <c r="H195" s="284"/>
      <c r="J195" s="71"/>
      <c r="K195" s="71"/>
      <c r="L195" s="71"/>
      <c r="N195" s="71"/>
      <c r="O195" s="71"/>
      <c r="P195" s="71"/>
      <c r="Q195" s="71"/>
      <c r="R195" s="71"/>
      <c r="S195" s="71"/>
      <c r="T195" s="151"/>
      <c r="U195" s="147"/>
      <c r="V195" s="147"/>
      <c r="W195" s="147"/>
      <c r="X195" s="147"/>
      <c r="Y195" s="147"/>
      <c r="Z195" s="147"/>
      <c r="AR195" s="71"/>
      <c r="AS195" s="71"/>
      <c r="AT195" s="71"/>
      <c r="AU195" s="71"/>
      <c r="AW195" s="71"/>
      <c r="AX195" s="71"/>
      <c r="AY195" s="71"/>
      <c r="AZ195" s="71"/>
      <c r="BA195" s="71"/>
    </row>
    <row r="196" spans="8:53" s="39" customFormat="1">
      <c r="H196" s="284"/>
      <c r="J196" s="71"/>
      <c r="K196" s="71"/>
      <c r="L196" s="71"/>
      <c r="N196" s="71"/>
      <c r="O196" s="71"/>
      <c r="P196" s="71"/>
      <c r="Q196" s="71"/>
      <c r="R196" s="71"/>
      <c r="S196" s="71"/>
      <c r="T196" s="151"/>
      <c r="U196" s="147"/>
      <c r="V196" s="147"/>
      <c r="W196" s="147"/>
      <c r="X196" s="147"/>
      <c r="Y196" s="147"/>
      <c r="Z196" s="147"/>
      <c r="AR196" s="71"/>
      <c r="AS196" s="71"/>
      <c r="AT196" s="71"/>
      <c r="AU196" s="71"/>
      <c r="AW196" s="71"/>
      <c r="AX196" s="71"/>
      <c r="AY196" s="71"/>
      <c r="AZ196" s="71"/>
      <c r="BA196" s="71"/>
    </row>
    <row r="197" spans="8:53" s="39" customFormat="1">
      <c r="H197" s="284"/>
      <c r="J197" s="71"/>
      <c r="K197" s="71"/>
      <c r="L197" s="71"/>
      <c r="N197" s="71"/>
      <c r="O197" s="71"/>
      <c r="P197" s="71"/>
      <c r="Q197" s="71"/>
      <c r="R197" s="71"/>
      <c r="S197" s="71"/>
      <c r="T197" s="151"/>
      <c r="U197" s="147"/>
      <c r="V197" s="147"/>
      <c r="W197" s="147"/>
      <c r="X197" s="147"/>
      <c r="Y197" s="147"/>
      <c r="Z197" s="147"/>
      <c r="AR197" s="71"/>
      <c r="AS197" s="71"/>
      <c r="AT197" s="71"/>
      <c r="AU197" s="71"/>
      <c r="AW197" s="71"/>
      <c r="AX197" s="71"/>
      <c r="AY197" s="71"/>
      <c r="AZ197" s="71"/>
      <c r="BA197" s="71"/>
    </row>
    <row r="198" spans="8:53" s="39" customFormat="1">
      <c r="H198" s="284"/>
      <c r="J198" s="71"/>
      <c r="K198" s="71"/>
      <c r="L198" s="71"/>
      <c r="N198" s="71"/>
      <c r="O198" s="71"/>
      <c r="P198" s="71"/>
      <c r="Q198" s="71"/>
      <c r="R198" s="71"/>
      <c r="S198" s="71"/>
      <c r="T198" s="151"/>
      <c r="U198" s="147"/>
      <c r="V198" s="147"/>
      <c r="W198" s="147"/>
      <c r="X198" s="147"/>
      <c r="Y198" s="147"/>
      <c r="Z198" s="147"/>
      <c r="AR198" s="71"/>
      <c r="AS198" s="71"/>
      <c r="AT198" s="71"/>
      <c r="AU198" s="71"/>
      <c r="AW198" s="71"/>
      <c r="AX198" s="71"/>
      <c r="AY198" s="71"/>
      <c r="AZ198" s="71"/>
      <c r="BA198" s="71"/>
    </row>
    <row r="199" spans="8:53" s="39" customFormat="1">
      <c r="H199" s="284"/>
      <c r="J199" s="71"/>
      <c r="K199" s="71"/>
      <c r="L199" s="71"/>
      <c r="N199" s="71"/>
      <c r="O199" s="71"/>
      <c r="P199" s="71"/>
      <c r="Q199" s="71"/>
      <c r="R199" s="71"/>
      <c r="S199" s="71"/>
      <c r="T199" s="151"/>
      <c r="U199" s="147"/>
      <c r="V199" s="147"/>
      <c r="W199" s="147"/>
      <c r="X199" s="147"/>
      <c r="Y199" s="147"/>
      <c r="Z199" s="147"/>
      <c r="AR199" s="71"/>
      <c r="AS199" s="71"/>
      <c r="AT199" s="71"/>
      <c r="AU199" s="71"/>
      <c r="AW199" s="71"/>
      <c r="AX199" s="71"/>
      <c r="AY199" s="71"/>
      <c r="AZ199" s="71"/>
      <c r="BA199" s="71"/>
    </row>
    <row r="200" spans="8:53" s="39" customFormat="1">
      <c r="H200" s="284"/>
      <c r="J200" s="71"/>
      <c r="K200" s="71"/>
      <c r="L200" s="71"/>
      <c r="N200" s="71"/>
      <c r="O200" s="71"/>
      <c r="P200" s="71"/>
      <c r="Q200" s="71"/>
      <c r="R200" s="71"/>
      <c r="S200" s="71"/>
      <c r="T200" s="151"/>
      <c r="U200" s="147"/>
      <c r="V200" s="147"/>
      <c r="W200" s="147"/>
      <c r="X200" s="147"/>
      <c r="Y200" s="147"/>
      <c r="Z200" s="147"/>
      <c r="AR200" s="71"/>
      <c r="AS200" s="71"/>
      <c r="AT200" s="71"/>
      <c r="AU200" s="71"/>
      <c r="AW200" s="71"/>
      <c r="AX200" s="71"/>
      <c r="AY200" s="71"/>
      <c r="AZ200" s="71"/>
      <c r="BA200" s="71"/>
    </row>
    <row r="201" spans="8:53" s="39" customFormat="1">
      <c r="H201" s="284"/>
      <c r="J201" s="71"/>
      <c r="K201" s="71"/>
      <c r="L201" s="71"/>
      <c r="N201" s="71"/>
      <c r="O201" s="71"/>
      <c r="P201" s="71"/>
      <c r="Q201" s="71"/>
      <c r="R201" s="71"/>
      <c r="S201" s="71"/>
      <c r="T201" s="151"/>
      <c r="U201" s="147"/>
      <c r="V201" s="147"/>
      <c r="W201" s="147"/>
      <c r="X201" s="147"/>
      <c r="Y201" s="147"/>
      <c r="Z201" s="147"/>
      <c r="AR201" s="71"/>
      <c r="AS201" s="71"/>
      <c r="AT201" s="71"/>
      <c r="AU201" s="71"/>
      <c r="AW201" s="71"/>
      <c r="AX201" s="71"/>
      <c r="AY201" s="71"/>
      <c r="AZ201" s="71"/>
      <c r="BA201" s="71"/>
    </row>
    <row r="202" spans="8:53" s="39" customFormat="1">
      <c r="H202" s="284"/>
      <c r="J202" s="71"/>
      <c r="K202" s="71"/>
      <c r="L202" s="71"/>
      <c r="N202" s="71"/>
      <c r="O202" s="71"/>
      <c r="P202" s="71"/>
      <c r="Q202" s="71"/>
      <c r="R202" s="71"/>
      <c r="S202" s="71"/>
      <c r="T202" s="151"/>
      <c r="U202" s="147"/>
      <c r="V202" s="147"/>
      <c r="W202" s="147"/>
      <c r="X202" s="147"/>
      <c r="Y202" s="147"/>
      <c r="Z202" s="147"/>
      <c r="AR202" s="71"/>
      <c r="AS202" s="71"/>
      <c r="AT202" s="71"/>
      <c r="AU202" s="71"/>
      <c r="AW202" s="71"/>
      <c r="AX202" s="71"/>
      <c r="AY202" s="71"/>
      <c r="AZ202" s="71"/>
      <c r="BA202" s="71"/>
    </row>
    <row r="203" spans="8:53" s="39" customFormat="1">
      <c r="H203" s="284"/>
      <c r="J203" s="71"/>
      <c r="K203" s="71"/>
      <c r="L203" s="71"/>
      <c r="N203" s="71"/>
      <c r="O203" s="71"/>
      <c r="P203" s="71"/>
      <c r="Q203" s="71"/>
      <c r="R203" s="71"/>
      <c r="S203" s="71"/>
      <c r="T203" s="151"/>
      <c r="U203" s="147"/>
      <c r="V203" s="147"/>
      <c r="W203" s="147"/>
      <c r="X203" s="147"/>
      <c r="Y203" s="147"/>
      <c r="Z203" s="147"/>
      <c r="AR203" s="71"/>
      <c r="AS203" s="71"/>
      <c r="AT203" s="71"/>
      <c r="AU203" s="71"/>
      <c r="AW203" s="71"/>
      <c r="AX203" s="71"/>
      <c r="AY203" s="71"/>
      <c r="AZ203" s="71"/>
      <c r="BA203" s="71"/>
    </row>
    <row r="204" spans="8:53" s="39" customFormat="1">
      <c r="H204" s="284"/>
      <c r="J204" s="71"/>
      <c r="K204" s="71"/>
      <c r="L204" s="71"/>
      <c r="N204" s="71"/>
      <c r="O204" s="71"/>
      <c r="P204" s="71"/>
      <c r="Q204" s="71"/>
      <c r="R204" s="71"/>
      <c r="S204" s="71"/>
      <c r="T204" s="151"/>
      <c r="U204" s="147"/>
      <c r="V204" s="147"/>
      <c r="W204" s="147"/>
      <c r="X204" s="147"/>
      <c r="Y204" s="147"/>
      <c r="Z204" s="147"/>
      <c r="AR204" s="71"/>
      <c r="AS204" s="71"/>
      <c r="AT204" s="71"/>
      <c r="AU204" s="71"/>
      <c r="AW204" s="71"/>
      <c r="AX204" s="71"/>
      <c r="AY204" s="71"/>
      <c r="AZ204" s="71"/>
      <c r="BA204" s="71"/>
    </row>
    <row r="205" spans="8:53" s="39" customFormat="1">
      <c r="H205" s="284"/>
      <c r="J205" s="71"/>
      <c r="K205" s="71"/>
      <c r="L205" s="71"/>
      <c r="N205" s="71"/>
      <c r="O205" s="71"/>
      <c r="P205" s="71"/>
      <c r="Q205" s="71"/>
      <c r="R205" s="71"/>
      <c r="S205" s="71"/>
      <c r="T205" s="151"/>
      <c r="U205" s="147"/>
      <c r="V205" s="147"/>
      <c r="W205" s="147"/>
      <c r="X205" s="147"/>
      <c r="Y205" s="147"/>
      <c r="Z205" s="147"/>
      <c r="AR205" s="71"/>
      <c r="AS205" s="71"/>
      <c r="AT205" s="71"/>
      <c r="AU205" s="71"/>
      <c r="AW205" s="71"/>
      <c r="AX205" s="71"/>
      <c r="AY205" s="71"/>
      <c r="AZ205" s="71"/>
      <c r="BA205" s="71"/>
    </row>
    <row r="206" spans="8:53" s="39" customFormat="1">
      <c r="H206" s="284"/>
      <c r="J206" s="71"/>
      <c r="K206" s="71"/>
      <c r="L206" s="71"/>
      <c r="N206" s="71"/>
      <c r="O206" s="71"/>
      <c r="P206" s="71"/>
      <c r="Q206" s="71"/>
      <c r="R206" s="71"/>
      <c r="S206" s="71"/>
      <c r="T206" s="151"/>
      <c r="U206" s="147"/>
      <c r="V206" s="147"/>
      <c r="W206" s="147"/>
      <c r="X206" s="147"/>
      <c r="Y206" s="147"/>
      <c r="Z206" s="147"/>
      <c r="AR206" s="71"/>
      <c r="AS206" s="71"/>
      <c r="AT206" s="71"/>
      <c r="AU206" s="71"/>
      <c r="AW206" s="71"/>
      <c r="AX206" s="71"/>
      <c r="AY206" s="71"/>
      <c r="AZ206" s="71"/>
      <c r="BA206" s="71"/>
    </row>
    <row r="207" spans="8:53" s="39" customFormat="1">
      <c r="H207" s="284"/>
      <c r="J207" s="71"/>
      <c r="K207" s="71"/>
      <c r="L207" s="71"/>
      <c r="N207" s="71"/>
      <c r="O207" s="71"/>
      <c r="P207" s="71"/>
      <c r="Q207" s="71"/>
      <c r="R207" s="71"/>
      <c r="S207" s="71"/>
      <c r="T207" s="151"/>
      <c r="U207" s="147"/>
      <c r="V207" s="147"/>
      <c r="W207" s="147"/>
      <c r="X207" s="147"/>
      <c r="Y207" s="147"/>
      <c r="Z207" s="147"/>
      <c r="AR207" s="71"/>
      <c r="AS207" s="71"/>
      <c r="AT207" s="71"/>
      <c r="AU207" s="71"/>
      <c r="AW207" s="71"/>
      <c r="AX207" s="71"/>
      <c r="AY207" s="71"/>
      <c r="AZ207" s="71"/>
      <c r="BA207" s="71"/>
    </row>
    <row r="208" spans="8:53" s="39" customFormat="1">
      <c r="H208" s="284"/>
      <c r="J208" s="71"/>
      <c r="K208" s="71"/>
      <c r="L208" s="71"/>
      <c r="N208" s="71"/>
      <c r="O208" s="71"/>
      <c r="P208" s="71"/>
      <c r="Q208" s="71"/>
      <c r="R208" s="71"/>
      <c r="S208" s="71"/>
      <c r="T208" s="151"/>
      <c r="U208" s="147"/>
      <c r="V208" s="147"/>
      <c r="W208" s="147"/>
      <c r="X208" s="147"/>
      <c r="Y208" s="147"/>
      <c r="Z208" s="147"/>
      <c r="AR208" s="71"/>
      <c r="AS208" s="71"/>
      <c r="AT208" s="71"/>
      <c r="AU208" s="71"/>
      <c r="AW208" s="71"/>
      <c r="AX208" s="71"/>
      <c r="AY208" s="71"/>
      <c r="AZ208" s="71"/>
      <c r="BA208" s="71"/>
    </row>
    <row r="209" spans="8:53" s="39" customFormat="1">
      <c r="H209" s="284"/>
      <c r="J209" s="71"/>
      <c r="K209" s="71"/>
      <c r="L209" s="71"/>
      <c r="N209" s="71"/>
      <c r="O209" s="71"/>
      <c r="P209" s="71"/>
      <c r="Q209" s="71"/>
      <c r="R209" s="71"/>
      <c r="S209" s="71"/>
      <c r="T209" s="151"/>
      <c r="U209" s="147"/>
      <c r="V209" s="147"/>
      <c r="W209" s="147"/>
      <c r="X209" s="147"/>
      <c r="Y209" s="147"/>
      <c r="Z209" s="147"/>
      <c r="AR209" s="71"/>
      <c r="AS209" s="71"/>
      <c r="AT209" s="71"/>
      <c r="AU209" s="71"/>
      <c r="AW209" s="71"/>
      <c r="AX209" s="71"/>
      <c r="AY209" s="71"/>
      <c r="AZ209" s="71"/>
      <c r="BA209" s="71"/>
    </row>
    <row r="210" spans="8:53" s="39" customFormat="1">
      <c r="H210" s="284"/>
      <c r="J210" s="71"/>
      <c r="K210" s="71"/>
      <c r="L210" s="71"/>
      <c r="N210" s="71"/>
      <c r="O210" s="71"/>
      <c r="P210" s="71"/>
      <c r="Q210" s="71"/>
      <c r="R210" s="71"/>
      <c r="S210" s="71"/>
      <c r="T210" s="151"/>
      <c r="U210" s="147"/>
      <c r="V210" s="147"/>
      <c r="W210" s="147"/>
      <c r="X210" s="147"/>
      <c r="Y210" s="147"/>
      <c r="Z210" s="147"/>
      <c r="AR210" s="71"/>
      <c r="AS210" s="71"/>
      <c r="AT210" s="71"/>
      <c r="AU210" s="71"/>
      <c r="AW210" s="71"/>
      <c r="AX210" s="71"/>
      <c r="AY210" s="71"/>
      <c r="AZ210" s="71"/>
      <c r="BA210" s="71"/>
    </row>
    <row r="211" spans="8:53" s="39" customFormat="1">
      <c r="H211" s="284"/>
      <c r="J211" s="71"/>
      <c r="K211" s="71"/>
      <c r="L211" s="71"/>
      <c r="N211" s="71"/>
      <c r="O211" s="71"/>
      <c r="P211" s="71"/>
      <c r="Q211" s="71"/>
      <c r="R211" s="71"/>
      <c r="S211" s="71"/>
      <c r="T211" s="151"/>
      <c r="U211" s="147"/>
      <c r="V211" s="147"/>
      <c r="W211" s="147"/>
      <c r="X211" s="147"/>
      <c r="Y211" s="147"/>
      <c r="Z211" s="147"/>
      <c r="AR211" s="71"/>
      <c r="AS211" s="71"/>
      <c r="AT211" s="71"/>
      <c r="AU211" s="71"/>
      <c r="AW211" s="71"/>
      <c r="AX211" s="71"/>
      <c r="AY211" s="71"/>
      <c r="AZ211" s="71"/>
      <c r="BA211" s="71"/>
    </row>
    <row r="212" spans="8:53" s="39" customFormat="1">
      <c r="H212" s="284"/>
      <c r="J212" s="71"/>
      <c r="K212" s="71"/>
      <c r="L212" s="71"/>
      <c r="N212" s="71"/>
      <c r="O212" s="71"/>
      <c r="P212" s="71"/>
      <c r="Q212" s="71"/>
      <c r="R212" s="71"/>
      <c r="S212" s="71"/>
      <c r="T212" s="151"/>
      <c r="U212" s="147"/>
      <c r="V212" s="147"/>
      <c r="W212" s="147"/>
      <c r="X212" s="147"/>
      <c r="Y212" s="147"/>
      <c r="Z212" s="147"/>
      <c r="AR212" s="71"/>
      <c r="AS212" s="71"/>
      <c r="AT212" s="71"/>
      <c r="AU212" s="71"/>
      <c r="AW212" s="71"/>
      <c r="AX212" s="71"/>
      <c r="AY212" s="71"/>
      <c r="AZ212" s="71"/>
      <c r="BA212" s="71"/>
    </row>
    <row r="213" spans="8:53" s="39" customFormat="1">
      <c r="H213" s="284"/>
      <c r="J213" s="71"/>
      <c r="K213" s="71"/>
      <c r="L213" s="71"/>
      <c r="N213" s="71"/>
      <c r="O213" s="71"/>
      <c r="P213" s="71"/>
      <c r="Q213" s="71"/>
      <c r="R213" s="71"/>
      <c r="S213" s="71"/>
      <c r="T213" s="151"/>
      <c r="U213" s="147"/>
      <c r="V213" s="147"/>
      <c r="W213" s="147"/>
      <c r="X213" s="147"/>
      <c r="Y213" s="147"/>
      <c r="Z213" s="147"/>
      <c r="AR213" s="71"/>
      <c r="AS213" s="71"/>
      <c r="AT213" s="71"/>
      <c r="AU213" s="71"/>
      <c r="AW213" s="71"/>
      <c r="AX213" s="71"/>
      <c r="AY213" s="71"/>
      <c r="AZ213" s="71"/>
      <c r="BA213" s="71"/>
    </row>
    <row r="214" spans="8:53" s="39" customFormat="1">
      <c r="H214" s="284"/>
      <c r="J214" s="71"/>
      <c r="K214" s="71"/>
      <c r="L214" s="71"/>
      <c r="N214" s="71"/>
      <c r="O214" s="71"/>
      <c r="P214" s="71"/>
      <c r="Q214" s="71"/>
      <c r="R214" s="71"/>
      <c r="S214" s="71"/>
      <c r="T214" s="151"/>
      <c r="U214" s="147"/>
      <c r="V214" s="147"/>
      <c r="W214" s="147"/>
      <c r="X214" s="147"/>
      <c r="Y214" s="147"/>
      <c r="Z214" s="147"/>
      <c r="AR214" s="71"/>
      <c r="AS214" s="71"/>
      <c r="AT214" s="71"/>
      <c r="AU214" s="71"/>
      <c r="AW214" s="71"/>
      <c r="AX214" s="71"/>
      <c r="AY214" s="71"/>
      <c r="AZ214" s="71"/>
      <c r="BA214" s="71"/>
    </row>
    <row r="215" spans="8:53" s="39" customFormat="1">
      <c r="H215" s="284"/>
      <c r="J215" s="71"/>
      <c r="K215" s="71"/>
      <c r="L215" s="71"/>
      <c r="N215" s="71"/>
      <c r="O215" s="71"/>
      <c r="P215" s="71"/>
      <c r="Q215" s="71"/>
      <c r="R215" s="71"/>
      <c r="S215" s="71"/>
      <c r="T215" s="151"/>
      <c r="U215" s="147"/>
      <c r="V215" s="147"/>
      <c r="W215" s="147"/>
      <c r="X215" s="147"/>
      <c r="Y215" s="147"/>
      <c r="Z215" s="147"/>
      <c r="AR215" s="71"/>
      <c r="AS215" s="71"/>
      <c r="AT215" s="71"/>
      <c r="AU215" s="71"/>
      <c r="AW215" s="71"/>
      <c r="AX215" s="71"/>
      <c r="AY215" s="71"/>
      <c r="AZ215" s="71"/>
      <c r="BA215" s="71"/>
    </row>
    <row r="216" spans="8:53" s="39" customFormat="1">
      <c r="H216" s="284"/>
      <c r="J216" s="71"/>
      <c r="K216" s="71"/>
      <c r="L216" s="71"/>
      <c r="N216" s="71"/>
      <c r="O216" s="71"/>
      <c r="P216" s="71"/>
      <c r="Q216" s="71"/>
      <c r="R216" s="71"/>
      <c r="S216" s="71"/>
      <c r="T216" s="151"/>
      <c r="U216" s="147"/>
      <c r="V216" s="147"/>
      <c r="W216" s="147"/>
      <c r="X216" s="147"/>
      <c r="Y216" s="147"/>
      <c r="Z216" s="147"/>
      <c r="AR216" s="71"/>
      <c r="AS216" s="71"/>
      <c r="AT216" s="71"/>
      <c r="AU216" s="71"/>
      <c r="AW216" s="71"/>
      <c r="AX216" s="71"/>
      <c r="AY216" s="71"/>
      <c r="AZ216" s="71"/>
      <c r="BA216" s="71"/>
    </row>
    <row r="217" spans="8:53" s="39" customFormat="1">
      <c r="H217" s="284"/>
      <c r="J217" s="71"/>
      <c r="K217" s="71"/>
      <c r="L217" s="71"/>
      <c r="N217" s="71"/>
      <c r="O217" s="71"/>
      <c r="P217" s="71"/>
      <c r="Q217" s="71"/>
      <c r="R217" s="71"/>
      <c r="S217" s="71"/>
      <c r="T217" s="151"/>
      <c r="U217" s="147"/>
      <c r="V217" s="147"/>
      <c r="W217" s="147"/>
      <c r="X217" s="147"/>
      <c r="Y217" s="147"/>
      <c r="Z217" s="147"/>
      <c r="AR217" s="71"/>
      <c r="AS217" s="71"/>
      <c r="AT217" s="71"/>
      <c r="AU217" s="71"/>
      <c r="AW217" s="71"/>
      <c r="AX217" s="71"/>
      <c r="AY217" s="71"/>
      <c r="AZ217" s="71"/>
      <c r="BA217" s="71"/>
    </row>
    <row r="218" spans="8:53" s="39" customFormat="1">
      <c r="H218" s="284"/>
      <c r="J218" s="71"/>
      <c r="K218" s="71"/>
      <c r="L218" s="71"/>
      <c r="N218" s="71"/>
      <c r="O218" s="71"/>
      <c r="P218" s="71"/>
      <c r="Q218" s="71"/>
      <c r="R218" s="71"/>
      <c r="S218" s="71"/>
      <c r="T218" s="151"/>
      <c r="U218" s="147"/>
      <c r="V218" s="147"/>
      <c r="W218" s="147"/>
      <c r="X218" s="147"/>
      <c r="Y218" s="147"/>
      <c r="Z218" s="147"/>
      <c r="AR218" s="71"/>
      <c r="AS218" s="71"/>
      <c r="AT218" s="71"/>
      <c r="AU218" s="71"/>
      <c r="AW218" s="71"/>
      <c r="AX218" s="71"/>
      <c r="AY218" s="71"/>
      <c r="AZ218" s="71"/>
      <c r="BA218" s="71"/>
    </row>
    <row r="219" spans="8:53" s="39" customFormat="1">
      <c r="H219" s="284"/>
      <c r="J219" s="71"/>
      <c r="K219" s="71"/>
      <c r="L219" s="71"/>
      <c r="N219" s="71"/>
      <c r="O219" s="71"/>
      <c r="P219" s="71"/>
      <c r="Q219" s="71"/>
      <c r="R219" s="71"/>
      <c r="S219" s="71"/>
      <c r="T219" s="151"/>
      <c r="U219" s="147"/>
      <c r="V219" s="147"/>
      <c r="W219" s="147"/>
      <c r="X219" s="147"/>
      <c r="Y219" s="147"/>
      <c r="Z219" s="147"/>
      <c r="AR219" s="71"/>
      <c r="AS219" s="71"/>
      <c r="AT219" s="71"/>
      <c r="AU219" s="71"/>
      <c r="AW219" s="71"/>
      <c r="AX219" s="71"/>
      <c r="AY219" s="71"/>
      <c r="AZ219" s="71"/>
      <c r="BA219" s="71"/>
    </row>
    <row r="220" spans="8:53" s="39" customFormat="1">
      <c r="H220" s="284"/>
      <c r="J220" s="71"/>
      <c r="K220" s="71"/>
      <c r="L220" s="71"/>
      <c r="N220" s="71"/>
      <c r="O220" s="71"/>
      <c r="P220" s="71"/>
      <c r="Q220" s="71"/>
      <c r="R220" s="71"/>
      <c r="S220" s="71"/>
      <c r="T220" s="151"/>
      <c r="U220" s="147"/>
      <c r="V220" s="147"/>
      <c r="W220" s="147"/>
      <c r="X220" s="147"/>
      <c r="Y220" s="147"/>
      <c r="Z220" s="147"/>
      <c r="AR220" s="71"/>
      <c r="AS220" s="71"/>
      <c r="AT220" s="71"/>
      <c r="AU220" s="71"/>
      <c r="AW220" s="71"/>
      <c r="AX220" s="71"/>
      <c r="AY220" s="71"/>
      <c r="AZ220" s="71"/>
      <c r="BA220" s="71"/>
    </row>
    <row r="221" spans="8:53" s="39" customFormat="1">
      <c r="H221" s="284"/>
      <c r="J221" s="71"/>
      <c r="K221" s="71"/>
      <c r="L221" s="71"/>
      <c r="N221" s="71"/>
      <c r="O221" s="71"/>
      <c r="P221" s="71"/>
      <c r="Q221" s="71"/>
      <c r="R221" s="71"/>
      <c r="S221" s="71"/>
      <c r="T221" s="151"/>
      <c r="U221" s="147"/>
      <c r="V221" s="147"/>
      <c r="W221" s="147"/>
      <c r="X221" s="147"/>
      <c r="Y221" s="147"/>
      <c r="Z221" s="147"/>
      <c r="AR221" s="71"/>
      <c r="AS221" s="71"/>
      <c r="AT221" s="71"/>
      <c r="AU221" s="71"/>
      <c r="AW221" s="71"/>
      <c r="AX221" s="71"/>
      <c r="AY221" s="71"/>
      <c r="AZ221" s="71"/>
      <c r="BA221" s="71"/>
    </row>
    <row r="222" spans="8:53" s="39" customFormat="1">
      <c r="H222" s="284"/>
      <c r="J222" s="71"/>
      <c r="K222" s="71"/>
      <c r="L222" s="71"/>
      <c r="N222" s="71"/>
      <c r="O222" s="71"/>
      <c r="P222" s="71"/>
      <c r="Q222" s="71"/>
      <c r="R222" s="71"/>
      <c r="S222" s="71"/>
      <c r="T222" s="151"/>
      <c r="U222" s="147"/>
      <c r="V222" s="147"/>
      <c r="W222" s="147"/>
      <c r="X222" s="147"/>
      <c r="Y222" s="147"/>
      <c r="Z222" s="147"/>
      <c r="AR222" s="71"/>
      <c r="AS222" s="71"/>
      <c r="AT222" s="71"/>
      <c r="AU222" s="71"/>
      <c r="AW222" s="71"/>
      <c r="AX222" s="71"/>
      <c r="AY222" s="71"/>
      <c r="AZ222" s="71"/>
      <c r="BA222" s="71"/>
    </row>
    <row r="223" spans="8:53" s="39" customFormat="1">
      <c r="H223" s="284"/>
      <c r="J223" s="71"/>
      <c r="K223" s="71"/>
      <c r="L223" s="71"/>
      <c r="N223" s="71"/>
      <c r="O223" s="71"/>
      <c r="P223" s="71"/>
      <c r="Q223" s="71"/>
      <c r="R223" s="71"/>
      <c r="S223" s="71"/>
      <c r="T223" s="151"/>
      <c r="U223" s="147"/>
      <c r="V223" s="147"/>
      <c r="W223" s="147"/>
      <c r="X223" s="147"/>
      <c r="Y223" s="147"/>
      <c r="Z223" s="147"/>
      <c r="AR223" s="71"/>
      <c r="AS223" s="71"/>
      <c r="AT223" s="71"/>
      <c r="AU223" s="71"/>
      <c r="AW223" s="71"/>
      <c r="AX223" s="71"/>
      <c r="AY223" s="71"/>
      <c r="AZ223" s="71"/>
      <c r="BA223" s="71"/>
    </row>
    <row r="224" spans="8:53" s="39" customFormat="1">
      <c r="H224" s="284"/>
      <c r="J224" s="71"/>
      <c r="K224" s="71"/>
      <c r="L224" s="71"/>
      <c r="N224" s="71"/>
      <c r="O224" s="71"/>
      <c r="P224" s="71"/>
      <c r="Q224" s="71"/>
      <c r="R224" s="71"/>
      <c r="S224" s="71"/>
      <c r="T224" s="151"/>
      <c r="U224" s="147"/>
      <c r="V224" s="147"/>
      <c r="W224" s="147"/>
      <c r="X224" s="147"/>
      <c r="Y224" s="147"/>
      <c r="Z224" s="147"/>
      <c r="AR224" s="71"/>
      <c r="AS224" s="71"/>
      <c r="AT224" s="71"/>
      <c r="AU224" s="71"/>
      <c r="AW224" s="71"/>
      <c r="AX224" s="71"/>
      <c r="AY224" s="71"/>
      <c r="AZ224" s="71"/>
      <c r="BA224" s="71"/>
    </row>
    <row r="225" spans="8:53" s="39" customFormat="1">
      <c r="H225" s="284"/>
      <c r="J225" s="71"/>
      <c r="K225" s="71"/>
      <c r="L225" s="71"/>
      <c r="N225" s="71"/>
      <c r="O225" s="71"/>
      <c r="P225" s="71"/>
      <c r="Q225" s="71"/>
      <c r="R225" s="71"/>
      <c r="S225" s="71"/>
      <c r="T225" s="151"/>
      <c r="U225" s="147"/>
      <c r="V225" s="147"/>
      <c r="W225" s="147"/>
      <c r="X225" s="147"/>
      <c r="Y225" s="147"/>
      <c r="Z225" s="147"/>
      <c r="AR225" s="71"/>
      <c r="AS225" s="71"/>
      <c r="AT225" s="71"/>
      <c r="AU225" s="71"/>
      <c r="AW225" s="71"/>
      <c r="AX225" s="71"/>
      <c r="AY225" s="71"/>
      <c r="AZ225" s="71"/>
      <c r="BA225" s="71"/>
    </row>
    <row r="226" spans="8:53" s="39" customFormat="1">
      <c r="H226" s="284"/>
      <c r="J226" s="71"/>
      <c r="K226" s="71"/>
      <c r="L226" s="71"/>
      <c r="N226" s="71"/>
      <c r="O226" s="71"/>
      <c r="P226" s="71"/>
      <c r="Q226" s="71"/>
      <c r="R226" s="71"/>
      <c r="S226" s="71"/>
      <c r="T226" s="151"/>
      <c r="U226" s="147"/>
      <c r="V226" s="147"/>
      <c r="W226" s="147"/>
      <c r="X226" s="147"/>
      <c r="Y226" s="147"/>
      <c r="Z226" s="147"/>
      <c r="AR226" s="71"/>
      <c r="AS226" s="71"/>
      <c r="AT226" s="71"/>
      <c r="AU226" s="71"/>
      <c r="AW226" s="71"/>
      <c r="AX226" s="71"/>
      <c r="AY226" s="71"/>
      <c r="AZ226" s="71"/>
      <c r="BA226" s="71"/>
    </row>
    <row r="227" spans="8:53" s="39" customFormat="1">
      <c r="H227" s="284"/>
      <c r="J227" s="71"/>
      <c r="K227" s="71"/>
      <c r="L227" s="71"/>
      <c r="N227" s="71"/>
      <c r="O227" s="71"/>
      <c r="P227" s="71"/>
      <c r="Q227" s="71"/>
      <c r="R227" s="71"/>
      <c r="S227" s="71"/>
      <c r="T227" s="151"/>
      <c r="U227" s="147"/>
      <c r="V227" s="147"/>
      <c r="W227" s="147"/>
      <c r="X227" s="147"/>
      <c r="Y227" s="147"/>
      <c r="Z227" s="147"/>
      <c r="AR227" s="71"/>
      <c r="AS227" s="71"/>
      <c r="AT227" s="71"/>
      <c r="AU227" s="71"/>
      <c r="AW227" s="71"/>
      <c r="AX227" s="71"/>
      <c r="AY227" s="71"/>
      <c r="AZ227" s="71"/>
      <c r="BA227" s="71"/>
    </row>
    <row r="228" spans="8:53" s="39" customFormat="1">
      <c r="H228" s="284"/>
      <c r="J228" s="71"/>
      <c r="K228" s="71"/>
      <c r="L228" s="71"/>
      <c r="N228" s="71"/>
      <c r="O228" s="71"/>
      <c r="P228" s="71"/>
      <c r="Q228" s="71"/>
      <c r="R228" s="71"/>
      <c r="S228" s="71"/>
      <c r="T228" s="151"/>
      <c r="U228" s="147"/>
      <c r="V228" s="147"/>
      <c r="W228" s="147"/>
      <c r="X228" s="147"/>
      <c r="Y228" s="147"/>
      <c r="Z228" s="147"/>
      <c r="AR228" s="71"/>
      <c r="AS228" s="71"/>
      <c r="AT228" s="71"/>
      <c r="AU228" s="71"/>
      <c r="AW228" s="71"/>
      <c r="AX228" s="71"/>
      <c r="AY228" s="71"/>
      <c r="AZ228" s="71"/>
      <c r="BA228" s="71"/>
    </row>
    <row r="229" spans="8:53" s="39" customFormat="1">
      <c r="H229" s="284"/>
      <c r="J229" s="71"/>
      <c r="K229" s="71"/>
      <c r="L229" s="71"/>
      <c r="N229" s="71"/>
      <c r="O229" s="71"/>
      <c r="P229" s="71"/>
      <c r="Q229" s="71"/>
      <c r="R229" s="71"/>
      <c r="S229" s="71"/>
      <c r="T229" s="151"/>
      <c r="U229" s="147"/>
      <c r="V229" s="147"/>
      <c r="W229" s="147"/>
      <c r="X229" s="147"/>
      <c r="Y229" s="147"/>
      <c r="Z229" s="147"/>
      <c r="AR229" s="71"/>
      <c r="AS229" s="71"/>
      <c r="AT229" s="71"/>
      <c r="AU229" s="71"/>
      <c r="AW229" s="71"/>
      <c r="AX229" s="71"/>
      <c r="AY229" s="71"/>
      <c r="AZ229" s="71"/>
      <c r="BA229" s="71"/>
    </row>
    <row r="230" spans="8:53" s="39" customFormat="1">
      <c r="H230" s="284"/>
      <c r="J230" s="71"/>
      <c r="K230" s="71"/>
      <c r="L230" s="71"/>
      <c r="N230" s="71"/>
      <c r="O230" s="71"/>
      <c r="P230" s="71"/>
      <c r="Q230" s="71"/>
      <c r="R230" s="71"/>
      <c r="S230" s="71"/>
      <c r="T230" s="151"/>
      <c r="U230" s="147"/>
      <c r="V230" s="147"/>
      <c r="W230" s="147"/>
      <c r="X230" s="147"/>
      <c r="Y230" s="147"/>
      <c r="Z230" s="147"/>
      <c r="AR230" s="71"/>
      <c r="AS230" s="71"/>
      <c r="AT230" s="71"/>
      <c r="AU230" s="71"/>
      <c r="AW230" s="71"/>
      <c r="AX230" s="71"/>
      <c r="AY230" s="71"/>
      <c r="AZ230" s="71"/>
      <c r="BA230" s="71"/>
    </row>
    <row r="231" spans="8:53" s="39" customFormat="1">
      <c r="H231" s="284"/>
      <c r="J231" s="71"/>
      <c r="K231" s="71"/>
      <c r="L231" s="71"/>
      <c r="N231" s="71"/>
      <c r="O231" s="71"/>
      <c r="P231" s="71"/>
      <c r="Q231" s="71"/>
      <c r="R231" s="71"/>
      <c r="S231" s="71"/>
      <c r="T231" s="151"/>
      <c r="U231" s="147"/>
      <c r="V231" s="147"/>
      <c r="W231" s="147"/>
      <c r="X231" s="147"/>
      <c r="Y231" s="147"/>
      <c r="Z231" s="147"/>
      <c r="AR231" s="71"/>
      <c r="AS231" s="71"/>
      <c r="AT231" s="71"/>
      <c r="AU231" s="71"/>
      <c r="AW231" s="71"/>
      <c r="AX231" s="71"/>
      <c r="AY231" s="71"/>
      <c r="AZ231" s="71"/>
      <c r="BA231" s="71"/>
    </row>
    <row r="232" spans="8:53" s="39" customFormat="1">
      <c r="H232" s="284"/>
      <c r="J232" s="71"/>
      <c r="K232" s="71"/>
      <c r="L232" s="71"/>
      <c r="N232" s="71"/>
      <c r="O232" s="71"/>
      <c r="P232" s="71"/>
      <c r="Q232" s="71"/>
      <c r="R232" s="71"/>
      <c r="S232" s="71"/>
      <c r="T232" s="151"/>
      <c r="U232" s="147"/>
      <c r="V232" s="147"/>
      <c r="W232" s="147"/>
      <c r="X232" s="147"/>
      <c r="Y232" s="147"/>
      <c r="Z232" s="147"/>
      <c r="AR232" s="71"/>
      <c r="AS232" s="71"/>
      <c r="AT232" s="71"/>
      <c r="AU232" s="71"/>
      <c r="AW232" s="71"/>
      <c r="AX232" s="71"/>
      <c r="AY232" s="71"/>
      <c r="AZ232" s="71"/>
      <c r="BA232" s="71"/>
    </row>
    <row r="233" spans="8:53" s="39" customFormat="1">
      <c r="H233" s="284"/>
      <c r="J233" s="71"/>
      <c r="K233" s="71"/>
      <c r="L233" s="71"/>
      <c r="N233" s="71"/>
      <c r="O233" s="71"/>
      <c r="P233" s="71"/>
      <c r="Q233" s="71"/>
      <c r="R233" s="71"/>
      <c r="S233" s="71"/>
      <c r="T233" s="151"/>
      <c r="U233" s="147"/>
      <c r="V233" s="147"/>
      <c r="W233" s="147"/>
      <c r="X233" s="147"/>
      <c r="Y233" s="147"/>
      <c r="Z233" s="147"/>
      <c r="AR233" s="71"/>
      <c r="AS233" s="71"/>
      <c r="AT233" s="71"/>
      <c r="AU233" s="71"/>
      <c r="AW233" s="71"/>
      <c r="AX233" s="71"/>
      <c r="AY233" s="71"/>
      <c r="AZ233" s="71"/>
      <c r="BA233" s="71"/>
    </row>
    <row r="234" spans="8:53" s="39" customFormat="1">
      <c r="H234" s="284"/>
      <c r="J234" s="71"/>
      <c r="K234" s="71"/>
      <c r="L234" s="71"/>
      <c r="N234" s="71"/>
      <c r="O234" s="71"/>
      <c r="P234" s="71"/>
      <c r="Q234" s="71"/>
      <c r="R234" s="71"/>
      <c r="S234" s="71"/>
      <c r="T234" s="151"/>
      <c r="U234" s="147"/>
      <c r="V234" s="147"/>
      <c r="W234" s="147"/>
      <c r="X234" s="147"/>
      <c r="Y234" s="147"/>
      <c r="Z234" s="147"/>
      <c r="AR234" s="71"/>
      <c r="AS234" s="71"/>
      <c r="AT234" s="71"/>
      <c r="AU234" s="71"/>
      <c r="AW234" s="71"/>
      <c r="AX234" s="71"/>
      <c r="AY234" s="71"/>
      <c r="AZ234" s="71"/>
      <c r="BA234" s="71"/>
    </row>
    <row r="235" spans="8:53" s="39" customFormat="1">
      <c r="H235" s="284"/>
      <c r="J235" s="71"/>
      <c r="K235" s="71"/>
      <c r="L235" s="71"/>
      <c r="N235" s="71"/>
      <c r="O235" s="71"/>
      <c r="P235" s="71"/>
      <c r="Q235" s="71"/>
      <c r="R235" s="71"/>
      <c r="S235" s="71"/>
      <c r="T235" s="151"/>
      <c r="U235" s="147"/>
      <c r="V235" s="147"/>
      <c r="W235" s="147"/>
      <c r="X235" s="147"/>
      <c r="Y235" s="147"/>
      <c r="Z235" s="147"/>
      <c r="AR235" s="71"/>
      <c r="AS235" s="71"/>
      <c r="AT235" s="71"/>
      <c r="AU235" s="71"/>
      <c r="AW235" s="71"/>
      <c r="AX235" s="71"/>
      <c r="AY235" s="71"/>
      <c r="AZ235" s="71"/>
      <c r="BA235" s="71"/>
    </row>
    <row r="236" spans="8:53" s="39" customFormat="1">
      <c r="H236" s="284"/>
      <c r="J236" s="71"/>
      <c r="K236" s="71"/>
      <c r="L236" s="71"/>
      <c r="N236" s="71"/>
      <c r="O236" s="71"/>
      <c r="P236" s="71"/>
      <c r="Q236" s="71"/>
      <c r="R236" s="71"/>
      <c r="S236" s="71"/>
      <c r="T236" s="151"/>
      <c r="U236" s="147"/>
      <c r="V236" s="147"/>
      <c r="W236" s="147"/>
      <c r="X236" s="147"/>
      <c r="Y236" s="147"/>
      <c r="Z236" s="147"/>
      <c r="AR236" s="71"/>
      <c r="AS236" s="71"/>
      <c r="AT236" s="71"/>
      <c r="AU236" s="71"/>
      <c r="AW236" s="71"/>
      <c r="AX236" s="71"/>
      <c r="AY236" s="71"/>
      <c r="AZ236" s="71"/>
      <c r="BA236" s="71"/>
    </row>
    <row r="237" spans="8:53" s="39" customFormat="1">
      <c r="H237" s="284"/>
      <c r="J237" s="71"/>
      <c r="K237" s="71"/>
      <c r="L237" s="71"/>
      <c r="N237" s="71"/>
      <c r="O237" s="71"/>
      <c r="P237" s="71"/>
      <c r="Q237" s="71"/>
      <c r="R237" s="71"/>
      <c r="S237" s="71"/>
      <c r="T237" s="151"/>
      <c r="U237" s="147"/>
      <c r="V237" s="147"/>
      <c r="W237" s="147"/>
      <c r="X237" s="147"/>
      <c r="Y237" s="147"/>
      <c r="Z237" s="147"/>
      <c r="AR237" s="71"/>
      <c r="AS237" s="71"/>
      <c r="AT237" s="71"/>
      <c r="AU237" s="71"/>
      <c r="AW237" s="71"/>
      <c r="AX237" s="71"/>
      <c r="AY237" s="71"/>
      <c r="AZ237" s="71"/>
      <c r="BA237" s="71"/>
    </row>
    <row r="238" spans="8:53" s="39" customFormat="1">
      <c r="H238" s="284"/>
      <c r="J238" s="71"/>
      <c r="K238" s="71"/>
      <c r="L238" s="71"/>
      <c r="N238" s="71"/>
      <c r="O238" s="71"/>
      <c r="P238" s="71"/>
      <c r="Q238" s="71"/>
      <c r="R238" s="71"/>
      <c r="S238" s="71"/>
      <c r="T238" s="151"/>
      <c r="U238" s="147"/>
      <c r="V238" s="147"/>
      <c r="W238" s="147"/>
      <c r="X238" s="147"/>
      <c r="Y238" s="147"/>
      <c r="Z238" s="147"/>
      <c r="AR238" s="71"/>
      <c r="AS238" s="71"/>
      <c r="AT238" s="71"/>
      <c r="AU238" s="71"/>
      <c r="AW238" s="71"/>
      <c r="AX238" s="71"/>
      <c r="AY238" s="71"/>
      <c r="AZ238" s="71"/>
      <c r="BA238" s="71"/>
    </row>
    <row r="239" spans="8:53" s="39" customFormat="1">
      <c r="H239" s="284"/>
      <c r="J239" s="71"/>
      <c r="K239" s="71"/>
      <c r="L239" s="71"/>
      <c r="N239" s="71"/>
      <c r="O239" s="71"/>
      <c r="P239" s="71"/>
      <c r="Q239" s="71"/>
      <c r="R239" s="71"/>
      <c r="S239" s="71"/>
      <c r="T239" s="151"/>
      <c r="U239" s="147"/>
      <c r="V239" s="147"/>
      <c r="W239" s="147"/>
      <c r="X239" s="147"/>
      <c r="Y239" s="147"/>
      <c r="Z239" s="147"/>
      <c r="AR239" s="71"/>
      <c r="AS239" s="71"/>
      <c r="AT239" s="71"/>
      <c r="AU239" s="71"/>
      <c r="AW239" s="71"/>
      <c r="AX239" s="71"/>
      <c r="AY239" s="71"/>
      <c r="AZ239" s="71"/>
      <c r="BA239" s="71"/>
    </row>
    <row r="240" spans="8:53" s="39" customFormat="1">
      <c r="H240" s="284"/>
      <c r="J240" s="71"/>
      <c r="K240" s="71"/>
      <c r="L240" s="71"/>
      <c r="N240" s="71"/>
      <c r="O240" s="71"/>
      <c r="P240" s="71"/>
      <c r="Q240" s="71"/>
      <c r="R240" s="71"/>
      <c r="S240" s="71"/>
      <c r="T240" s="151"/>
      <c r="U240" s="147"/>
      <c r="V240" s="147"/>
      <c r="W240" s="147"/>
      <c r="X240" s="147"/>
      <c r="Y240" s="147"/>
      <c r="Z240" s="147"/>
      <c r="AR240" s="71"/>
      <c r="AS240" s="71"/>
      <c r="AT240" s="71"/>
      <c r="AU240" s="71"/>
      <c r="AW240" s="71"/>
      <c r="AX240" s="71"/>
      <c r="AY240" s="71"/>
      <c r="AZ240" s="71"/>
      <c r="BA240" s="71"/>
    </row>
    <row r="241" spans="8:53" s="39" customFormat="1">
      <c r="H241" s="284"/>
      <c r="J241" s="71"/>
      <c r="K241" s="71"/>
      <c r="L241" s="71"/>
      <c r="N241" s="71"/>
      <c r="O241" s="71"/>
      <c r="P241" s="71"/>
      <c r="Q241" s="71"/>
      <c r="R241" s="71"/>
      <c r="S241" s="71"/>
      <c r="T241" s="151"/>
      <c r="U241" s="147"/>
      <c r="V241" s="147"/>
      <c r="W241" s="147"/>
      <c r="X241" s="147"/>
      <c r="Y241" s="147"/>
      <c r="Z241" s="147"/>
      <c r="AR241" s="71"/>
      <c r="AS241" s="71"/>
      <c r="AT241" s="71"/>
      <c r="AU241" s="71"/>
      <c r="AW241" s="71"/>
      <c r="AX241" s="71"/>
      <c r="AY241" s="71"/>
      <c r="AZ241" s="71"/>
      <c r="BA241" s="71"/>
    </row>
    <row r="242" spans="8:53" s="39" customFormat="1">
      <c r="H242" s="284"/>
      <c r="J242" s="71"/>
      <c r="K242" s="71"/>
      <c r="L242" s="71"/>
      <c r="N242" s="71"/>
      <c r="O242" s="71"/>
      <c r="P242" s="71"/>
      <c r="Q242" s="71"/>
      <c r="R242" s="71"/>
      <c r="S242" s="71"/>
      <c r="T242" s="151"/>
      <c r="U242" s="147"/>
      <c r="V242" s="147"/>
      <c r="W242" s="147"/>
      <c r="X242" s="147"/>
      <c r="Y242" s="147"/>
      <c r="Z242" s="147"/>
      <c r="AR242" s="71"/>
      <c r="AS242" s="71"/>
      <c r="AT242" s="71"/>
      <c r="AU242" s="71"/>
      <c r="AW242" s="71"/>
      <c r="AX242" s="71"/>
      <c r="AY242" s="71"/>
      <c r="AZ242" s="71"/>
      <c r="BA242" s="71"/>
    </row>
    <row r="243" spans="8:53" s="39" customFormat="1">
      <c r="H243" s="284"/>
      <c r="J243" s="71"/>
      <c r="K243" s="71"/>
      <c r="L243" s="71"/>
      <c r="N243" s="71"/>
      <c r="O243" s="71"/>
      <c r="P243" s="71"/>
      <c r="Q243" s="71"/>
      <c r="R243" s="71"/>
      <c r="S243" s="71"/>
      <c r="T243" s="151"/>
      <c r="U243" s="147"/>
      <c r="V243" s="147"/>
      <c r="W243" s="147"/>
      <c r="X243" s="147"/>
      <c r="Y243" s="147"/>
      <c r="Z243" s="147"/>
      <c r="AR243" s="71"/>
      <c r="AS243" s="71"/>
      <c r="AT243" s="71"/>
      <c r="AU243" s="71"/>
      <c r="AW243" s="71"/>
      <c r="AX243" s="71"/>
      <c r="AY243" s="71"/>
      <c r="AZ243" s="71"/>
      <c r="BA243" s="71"/>
    </row>
    <row r="244" spans="8:53" s="39" customFormat="1">
      <c r="H244" s="284"/>
      <c r="J244" s="71"/>
      <c r="K244" s="71"/>
      <c r="L244" s="71"/>
      <c r="N244" s="71"/>
      <c r="O244" s="71"/>
      <c r="P244" s="71"/>
      <c r="Q244" s="71"/>
      <c r="R244" s="71"/>
      <c r="S244" s="71"/>
      <c r="T244" s="151"/>
      <c r="U244" s="147"/>
      <c r="V244" s="147"/>
      <c r="W244" s="147"/>
      <c r="X244" s="147"/>
      <c r="Y244" s="147"/>
      <c r="Z244" s="147"/>
      <c r="AR244" s="71"/>
      <c r="AS244" s="71"/>
      <c r="AT244" s="71"/>
      <c r="AU244" s="71"/>
      <c r="AW244" s="71"/>
      <c r="AX244" s="71"/>
      <c r="AY244" s="71"/>
      <c r="AZ244" s="71"/>
      <c r="BA244" s="71"/>
    </row>
    <row r="245" spans="8:53" s="39" customFormat="1">
      <c r="H245" s="284"/>
      <c r="J245" s="71"/>
      <c r="K245" s="71"/>
      <c r="L245" s="71"/>
      <c r="N245" s="71"/>
      <c r="O245" s="71"/>
      <c r="P245" s="71"/>
      <c r="Q245" s="71"/>
      <c r="R245" s="71"/>
      <c r="S245" s="71"/>
      <c r="T245" s="151"/>
      <c r="U245" s="147"/>
      <c r="V245" s="147"/>
      <c r="W245" s="147"/>
      <c r="X245" s="147"/>
      <c r="Y245" s="147"/>
      <c r="Z245" s="147"/>
      <c r="AR245" s="71"/>
      <c r="AS245" s="71"/>
      <c r="AT245" s="71"/>
      <c r="AU245" s="71"/>
      <c r="AW245" s="71"/>
      <c r="AX245" s="71"/>
      <c r="AY245" s="71"/>
      <c r="AZ245" s="71"/>
      <c r="BA245" s="71"/>
    </row>
    <row r="246" spans="8:53" s="39" customFormat="1">
      <c r="H246" s="284"/>
      <c r="J246" s="71"/>
      <c r="K246" s="71"/>
      <c r="L246" s="71"/>
      <c r="N246" s="71"/>
      <c r="O246" s="71"/>
      <c r="P246" s="71"/>
      <c r="Q246" s="71"/>
      <c r="R246" s="71"/>
      <c r="S246" s="71"/>
      <c r="T246" s="151"/>
      <c r="U246" s="147"/>
      <c r="V246" s="147"/>
      <c r="W246" s="147"/>
      <c r="X246" s="147"/>
      <c r="Y246" s="147"/>
      <c r="Z246" s="147"/>
      <c r="AR246" s="71"/>
      <c r="AS246" s="71"/>
      <c r="AT246" s="71"/>
      <c r="AU246" s="71"/>
      <c r="AW246" s="71"/>
      <c r="AX246" s="71"/>
      <c r="AY246" s="71"/>
      <c r="AZ246" s="71"/>
      <c r="BA246" s="71"/>
    </row>
    <row r="247" spans="8:53" s="39" customFormat="1">
      <c r="H247" s="284"/>
      <c r="J247" s="71"/>
      <c r="K247" s="71"/>
      <c r="L247" s="71"/>
      <c r="N247" s="71"/>
      <c r="O247" s="71"/>
      <c r="P247" s="71"/>
      <c r="Q247" s="71"/>
      <c r="R247" s="71"/>
      <c r="S247" s="71"/>
      <c r="T247" s="151"/>
      <c r="U247" s="147"/>
      <c r="V247" s="147"/>
      <c r="W247" s="147"/>
      <c r="X247" s="147"/>
      <c r="Y247" s="147"/>
      <c r="Z247" s="147"/>
      <c r="AR247" s="71"/>
      <c r="AS247" s="71"/>
      <c r="AT247" s="71"/>
      <c r="AU247" s="71"/>
      <c r="AW247" s="71"/>
      <c r="AX247" s="71"/>
      <c r="AY247" s="71"/>
      <c r="AZ247" s="71"/>
      <c r="BA247" s="71"/>
    </row>
    <row r="248" spans="8:53" s="39" customFormat="1">
      <c r="H248" s="284"/>
      <c r="J248" s="71"/>
      <c r="K248" s="71"/>
      <c r="L248" s="71"/>
      <c r="N248" s="71"/>
      <c r="O248" s="71"/>
      <c r="P248" s="71"/>
      <c r="Q248" s="71"/>
      <c r="R248" s="71"/>
      <c r="S248" s="71"/>
      <c r="T248" s="151"/>
      <c r="U248" s="147"/>
      <c r="V248" s="147"/>
      <c r="W248" s="147"/>
      <c r="X248" s="147"/>
      <c r="Y248" s="147"/>
      <c r="Z248" s="147"/>
      <c r="AR248" s="71"/>
      <c r="AS248" s="71"/>
      <c r="AT248" s="71"/>
      <c r="AU248" s="71"/>
      <c r="AW248" s="71"/>
      <c r="AX248" s="71"/>
      <c r="AY248" s="71"/>
      <c r="AZ248" s="71"/>
      <c r="BA248" s="71"/>
    </row>
    <row r="249" spans="8:53" s="39" customFormat="1">
      <c r="H249" s="284"/>
      <c r="J249" s="71"/>
      <c r="K249" s="71"/>
      <c r="L249" s="71"/>
      <c r="N249" s="71"/>
      <c r="O249" s="71"/>
      <c r="P249" s="71"/>
      <c r="Q249" s="71"/>
      <c r="R249" s="71"/>
      <c r="S249" s="71"/>
      <c r="T249" s="151"/>
      <c r="U249" s="147"/>
      <c r="V249" s="147"/>
      <c r="W249" s="147"/>
      <c r="X249" s="147"/>
      <c r="Y249" s="147"/>
      <c r="Z249" s="147"/>
      <c r="AR249" s="71"/>
      <c r="AS249" s="71"/>
      <c r="AT249" s="71"/>
      <c r="AU249" s="71"/>
      <c r="AW249" s="71"/>
      <c r="AX249" s="71"/>
      <c r="AY249" s="71"/>
      <c r="AZ249" s="71"/>
      <c r="BA249" s="71"/>
    </row>
    <row r="250" spans="8:53" s="39" customFormat="1">
      <c r="H250" s="284"/>
      <c r="J250" s="71"/>
      <c r="K250" s="71"/>
      <c r="L250" s="71"/>
      <c r="N250" s="71"/>
      <c r="O250" s="71"/>
      <c r="P250" s="71"/>
      <c r="Q250" s="71"/>
      <c r="R250" s="71"/>
      <c r="S250" s="71"/>
      <c r="T250" s="151"/>
      <c r="U250" s="147"/>
      <c r="V250" s="147"/>
      <c r="W250" s="147"/>
      <c r="X250" s="147"/>
      <c r="Y250" s="147"/>
      <c r="Z250" s="147"/>
      <c r="AR250" s="71"/>
      <c r="AS250" s="71"/>
      <c r="AT250" s="71"/>
      <c r="AU250" s="71"/>
      <c r="AW250" s="71"/>
      <c r="AX250" s="71"/>
      <c r="AY250" s="71"/>
      <c r="AZ250" s="71"/>
      <c r="BA250" s="71"/>
    </row>
    <row r="251" spans="8:53" s="39" customFormat="1">
      <c r="H251" s="284"/>
      <c r="J251" s="71"/>
      <c r="K251" s="71"/>
      <c r="L251" s="71"/>
      <c r="N251" s="71"/>
      <c r="O251" s="71"/>
      <c r="P251" s="71"/>
      <c r="Q251" s="71"/>
      <c r="R251" s="71"/>
      <c r="S251" s="71"/>
      <c r="T251" s="151"/>
      <c r="U251" s="147"/>
      <c r="V251" s="147"/>
      <c r="W251" s="147"/>
      <c r="X251" s="147"/>
      <c r="Y251" s="147"/>
      <c r="Z251" s="147"/>
      <c r="AR251" s="71"/>
      <c r="AS251" s="71"/>
      <c r="AT251" s="71"/>
      <c r="AU251" s="71"/>
      <c r="AW251" s="71"/>
      <c r="AX251" s="71"/>
      <c r="AY251" s="71"/>
      <c r="AZ251" s="71"/>
      <c r="BA251" s="71"/>
    </row>
    <row r="252" spans="8:53" s="39" customFormat="1">
      <c r="H252" s="284"/>
      <c r="J252" s="71"/>
      <c r="K252" s="71"/>
      <c r="L252" s="71"/>
      <c r="N252" s="71"/>
      <c r="O252" s="71"/>
      <c r="P252" s="71"/>
      <c r="Q252" s="71"/>
      <c r="R252" s="71"/>
      <c r="S252" s="71"/>
      <c r="T252" s="151"/>
      <c r="U252" s="147"/>
      <c r="V252" s="147"/>
      <c r="W252" s="147"/>
      <c r="X252" s="147"/>
      <c r="Y252" s="147"/>
      <c r="Z252" s="147"/>
      <c r="AR252" s="71"/>
      <c r="AS252" s="71"/>
      <c r="AT252" s="71"/>
      <c r="AU252" s="71"/>
      <c r="AW252" s="71"/>
      <c r="AX252" s="71"/>
      <c r="AY252" s="71"/>
      <c r="AZ252" s="71"/>
      <c r="BA252" s="71"/>
    </row>
    <row r="253" spans="8:53" s="39" customFormat="1">
      <c r="H253" s="284"/>
      <c r="J253" s="71"/>
      <c r="K253" s="71"/>
      <c r="L253" s="71"/>
      <c r="N253" s="71"/>
      <c r="O253" s="71"/>
      <c r="P253" s="71"/>
      <c r="Q253" s="71"/>
      <c r="R253" s="71"/>
      <c r="S253" s="71"/>
      <c r="T253" s="151"/>
      <c r="U253" s="147"/>
      <c r="V253" s="147"/>
      <c r="W253" s="147"/>
      <c r="X253" s="147"/>
      <c r="Y253" s="147"/>
      <c r="Z253" s="147"/>
      <c r="AR253" s="71"/>
      <c r="AS253" s="71"/>
      <c r="AT253" s="71"/>
      <c r="AU253" s="71"/>
      <c r="AW253" s="71"/>
      <c r="AX253" s="71"/>
      <c r="AY253" s="71"/>
      <c r="AZ253" s="71"/>
      <c r="BA253" s="71"/>
    </row>
    <row r="254" spans="8:53" s="39" customFormat="1">
      <c r="H254" s="284"/>
      <c r="J254" s="71"/>
      <c r="K254" s="71"/>
      <c r="L254" s="71"/>
      <c r="N254" s="71"/>
      <c r="O254" s="71"/>
      <c r="P254" s="71"/>
      <c r="Q254" s="71"/>
      <c r="R254" s="71"/>
      <c r="S254" s="71"/>
      <c r="T254" s="151"/>
      <c r="U254" s="147"/>
      <c r="V254" s="147"/>
      <c r="W254" s="147"/>
      <c r="X254" s="147"/>
      <c r="Y254" s="147"/>
      <c r="Z254" s="147"/>
      <c r="AR254" s="71"/>
      <c r="AS254" s="71"/>
      <c r="AT254" s="71"/>
      <c r="AU254" s="71"/>
      <c r="AW254" s="71"/>
      <c r="AX254" s="71"/>
      <c r="AY254" s="71"/>
      <c r="AZ254" s="71"/>
      <c r="BA254" s="71"/>
    </row>
    <row r="255" spans="8:53" s="39" customFormat="1">
      <c r="H255" s="284"/>
      <c r="J255" s="71"/>
      <c r="K255" s="71"/>
      <c r="L255" s="71"/>
      <c r="N255" s="71"/>
      <c r="O255" s="71"/>
      <c r="P255" s="71"/>
      <c r="Q255" s="71"/>
      <c r="R255" s="71"/>
      <c r="S255" s="71"/>
      <c r="T255" s="151"/>
      <c r="U255" s="147"/>
      <c r="V255" s="147"/>
      <c r="W255" s="147"/>
      <c r="X255" s="147"/>
      <c r="Y255" s="147"/>
      <c r="Z255" s="147"/>
      <c r="AR255" s="71"/>
      <c r="AS255" s="71"/>
      <c r="AT255" s="71"/>
      <c r="AU255" s="71"/>
      <c r="AW255" s="71"/>
      <c r="AX255" s="71"/>
      <c r="AY255" s="71"/>
      <c r="AZ255" s="71"/>
      <c r="BA255" s="71"/>
    </row>
    <row r="256" spans="8:53" s="39" customFormat="1">
      <c r="H256" s="284"/>
      <c r="J256" s="71"/>
      <c r="K256" s="71"/>
      <c r="L256" s="71"/>
      <c r="N256" s="71"/>
      <c r="O256" s="71"/>
      <c r="P256" s="71"/>
      <c r="Q256" s="71"/>
      <c r="R256" s="71"/>
      <c r="S256" s="71"/>
      <c r="T256" s="151"/>
      <c r="U256" s="147"/>
      <c r="V256" s="147"/>
      <c r="W256" s="147"/>
      <c r="X256" s="147"/>
      <c r="Y256" s="147"/>
      <c r="Z256" s="147"/>
      <c r="AR256" s="71"/>
      <c r="AS256" s="71"/>
      <c r="AT256" s="71"/>
      <c r="AU256" s="71"/>
      <c r="AW256" s="71"/>
      <c r="AX256" s="71"/>
      <c r="AY256" s="71"/>
      <c r="AZ256" s="71"/>
      <c r="BA256" s="71"/>
    </row>
    <row r="257" spans="8:53" s="39" customFormat="1">
      <c r="H257" s="284"/>
      <c r="J257" s="71"/>
      <c r="K257" s="71"/>
      <c r="L257" s="71"/>
      <c r="N257" s="71"/>
      <c r="O257" s="71"/>
      <c r="P257" s="71"/>
      <c r="Q257" s="71"/>
      <c r="R257" s="71"/>
      <c r="S257" s="71"/>
      <c r="T257" s="151"/>
      <c r="U257" s="147"/>
      <c r="V257" s="147"/>
      <c r="W257" s="147"/>
      <c r="X257" s="147"/>
      <c r="Y257" s="147"/>
      <c r="Z257" s="147"/>
      <c r="AR257" s="71"/>
      <c r="AS257" s="71"/>
      <c r="AT257" s="71"/>
      <c r="AU257" s="71"/>
      <c r="AW257" s="71"/>
      <c r="AX257" s="71"/>
      <c r="AY257" s="71"/>
      <c r="AZ257" s="71"/>
      <c r="BA257" s="71"/>
    </row>
    <row r="258" spans="8:53" s="39" customFormat="1">
      <c r="H258" s="284"/>
      <c r="J258" s="71"/>
      <c r="K258" s="71"/>
      <c r="L258" s="71"/>
      <c r="N258" s="71"/>
      <c r="O258" s="71"/>
      <c r="P258" s="71"/>
      <c r="Q258" s="71"/>
      <c r="R258" s="71"/>
      <c r="S258" s="71"/>
      <c r="T258" s="151"/>
      <c r="U258" s="147"/>
      <c r="V258" s="147"/>
      <c r="W258" s="147"/>
      <c r="X258" s="147"/>
      <c r="Y258" s="147"/>
      <c r="Z258" s="147"/>
      <c r="AR258" s="71"/>
      <c r="AS258" s="71"/>
      <c r="AT258" s="71"/>
      <c r="AU258" s="71"/>
      <c r="AW258" s="71"/>
      <c r="AX258" s="71"/>
      <c r="AY258" s="71"/>
      <c r="AZ258" s="71"/>
      <c r="BA258" s="71"/>
    </row>
    <row r="259" spans="8:53" s="39" customFormat="1">
      <c r="H259" s="284"/>
      <c r="J259" s="71"/>
      <c r="K259" s="71"/>
      <c r="L259" s="71"/>
      <c r="N259" s="71"/>
      <c r="O259" s="71"/>
      <c r="P259" s="71"/>
      <c r="Q259" s="71"/>
      <c r="R259" s="71"/>
      <c r="S259" s="71"/>
      <c r="T259" s="151"/>
      <c r="U259" s="147"/>
      <c r="V259" s="147"/>
      <c r="W259" s="147"/>
      <c r="X259" s="147"/>
      <c r="Y259" s="147"/>
      <c r="Z259" s="147"/>
      <c r="AR259" s="71"/>
      <c r="AS259" s="71"/>
      <c r="AT259" s="71"/>
      <c r="AU259" s="71"/>
      <c r="AW259" s="71"/>
      <c r="AX259" s="71"/>
      <c r="AY259" s="71"/>
      <c r="AZ259" s="71"/>
      <c r="BA259" s="71"/>
    </row>
    <row r="260" spans="8:53" s="39" customFormat="1">
      <c r="H260" s="284"/>
      <c r="J260" s="71"/>
      <c r="K260" s="71"/>
      <c r="L260" s="71"/>
      <c r="N260" s="71"/>
      <c r="O260" s="71"/>
      <c r="P260" s="71"/>
      <c r="Q260" s="71"/>
      <c r="R260" s="71"/>
      <c r="S260" s="71"/>
      <c r="T260" s="151"/>
      <c r="U260" s="147"/>
      <c r="V260" s="147"/>
      <c r="W260" s="147"/>
      <c r="X260" s="147"/>
      <c r="Y260" s="147"/>
      <c r="Z260" s="147"/>
      <c r="AR260" s="71"/>
      <c r="AS260" s="71"/>
      <c r="AT260" s="71"/>
      <c r="AU260" s="71"/>
      <c r="AW260" s="71"/>
      <c r="AX260" s="71"/>
      <c r="AY260" s="71"/>
      <c r="AZ260" s="71"/>
      <c r="BA260" s="71"/>
    </row>
    <row r="261" spans="8:53" s="39" customFormat="1">
      <c r="H261" s="284"/>
      <c r="J261" s="71"/>
      <c r="K261" s="71"/>
      <c r="L261" s="71"/>
      <c r="N261" s="71"/>
      <c r="O261" s="71"/>
      <c r="P261" s="71"/>
      <c r="Q261" s="71"/>
      <c r="R261" s="71"/>
      <c r="S261" s="71"/>
      <c r="T261" s="151"/>
      <c r="U261" s="147"/>
      <c r="V261" s="147"/>
      <c r="W261" s="147"/>
      <c r="X261" s="147"/>
      <c r="Y261" s="147"/>
      <c r="Z261" s="147"/>
      <c r="AR261" s="71"/>
      <c r="AS261" s="71"/>
      <c r="AT261" s="71"/>
      <c r="AU261" s="71"/>
      <c r="AW261" s="71"/>
      <c r="AX261" s="71"/>
      <c r="AY261" s="71"/>
      <c r="AZ261" s="71"/>
      <c r="BA261" s="71"/>
    </row>
    <row r="262" spans="8:53" s="39" customFormat="1">
      <c r="H262" s="284"/>
      <c r="J262" s="71"/>
      <c r="K262" s="71"/>
      <c r="L262" s="71"/>
      <c r="N262" s="71"/>
      <c r="O262" s="71"/>
      <c r="P262" s="71"/>
      <c r="Q262" s="71"/>
      <c r="R262" s="71"/>
      <c r="S262" s="71"/>
      <c r="T262" s="151"/>
      <c r="U262" s="147"/>
      <c r="V262" s="147"/>
      <c r="W262" s="147"/>
      <c r="X262" s="147"/>
      <c r="Y262" s="147"/>
      <c r="Z262" s="147"/>
      <c r="AR262" s="71"/>
      <c r="AS262" s="71"/>
      <c r="AT262" s="71"/>
      <c r="AU262" s="71"/>
      <c r="AW262" s="71"/>
      <c r="AX262" s="71"/>
      <c r="AY262" s="71"/>
      <c r="AZ262" s="71"/>
      <c r="BA262" s="71"/>
    </row>
    <row r="263" spans="8:53" s="39" customFormat="1">
      <c r="H263" s="284"/>
      <c r="J263" s="71"/>
      <c r="K263" s="71"/>
      <c r="L263" s="71"/>
      <c r="N263" s="71"/>
      <c r="O263" s="71"/>
      <c r="P263" s="71"/>
      <c r="Q263" s="71"/>
      <c r="R263" s="71"/>
      <c r="S263" s="71"/>
      <c r="T263" s="151"/>
      <c r="U263" s="147"/>
      <c r="V263" s="147"/>
      <c r="W263" s="147"/>
      <c r="X263" s="147"/>
      <c r="Y263" s="147"/>
      <c r="Z263" s="147"/>
      <c r="AR263" s="71"/>
      <c r="AS263" s="71"/>
      <c r="AT263" s="71"/>
      <c r="AU263" s="71"/>
      <c r="AW263" s="71"/>
      <c r="AX263" s="71"/>
      <c r="AY263" s="71"/>
      <c r="AZ263" s="71"/>
      <c r="BA263" s="71"/>
    </row>
    <row r="264" spans="8:53" s="39" customFormat="1">
      <c r="H264" s="284"/>
      <c r="J264" s="71"/>
      <c r="K264" s="71"/>
      <c r="L264" s="71"/>
      <c r="N264" s="71"/>
      <c r="O264" s="71"/>
      <c r="P264" s="71"/>
      <c r="Q264" s="71"/>
      <c r="R264" s="71"/>
      <c r="S264" s="71"/>
      <c r="T264" s="151"/>
      <c r="U264" s="147"/>
      <c r="V264" s="147"/>
      <c r="W264" s="147"/>
      <c r="X264" s="147"/>
      <c r="Y264" s="147"/>
      <c r="Z264" s="147"/>
      <c r="AR264" s="71"/>
      <c r="AS264" s="71"/>
      <c r="AT264" s="71"/>
      <c r="AU264" s="71"/>
      <c r="AW264" s="71"/>
      <c r="AX264" s="71"/>
      <c r="AY264" s="71"/>
      <c r="AZ264" s="71"/>
      <c r="BA264" s="71"/>
    </row>
    <row r="265" spans="8:53" s="39" customFormat="1">
      <c r="H265" s="284"/>
      <c r="J265" s="71"/>
      <c r="K265" s="71"/>
      <c r="L265" s="71"/>
      <c r="N265" s="71"/>
      <c r="O265" s="71"/>
      <c r="P265" s="71"/>
      <c r="Q265" s="71"/>
      <c r="R265" s="71"/>
      <c r="S265" s="71"/>
      <c r="T265" s="151"/>
      <c r="U265" s="147"/>
      <c r="V265" s="147"/>
      <c r="W265" s="147"/>
      <c r="X265" s="147"/>
      <c r="Y265" s="147"/>
      <c r="Z265" s="147"/>
      <c r="AR265" s="71"/>
      <c r="AS265" s="71"/>
      <c r="AT265" s="71"/>
      <c r="AU265" s="71"/>
      <c r="AW265" s="71"/>
      <c r="AX265" s="71"/>
      <c r="AY265" s="71"/>
      <c r="AZ265" s="71"/>
      <c r="BA265" s="71"/>
    </row>
    <row r="266" spans="8:53" s="39" customFormat="1">
      <c r="H266" s="284"/>
      <c r="J266" s="71"/>
      <c r="K266" s="71"/>
      <c r="L266" s="71"/>
      <c r="N266" s="71"/>
      <c r="O266" s="71"/>
      <c r="P266" s="71"/>
      <c r="Q266" s="71"/>
      <c r="R266" s="71"/>
      <c r="S266" s="71"/>
      <c r="T266" s="151"/>
      <c r="U266" s="147"/>
      <c r="V266" s="147"/>
      <c r="W266" s="147"/>
      <c r="X266" s="147"/>
      <c r="Y266" s="147"/>
      <c r="Z266" s="147"/>
      <c r="AR266" s="71"/>
      <c r="AS266" s="71"/>
      <c r="AT266" s="71"/>
      <c r="AU266" s="71"/>
      <c r="AW266" s="71"/>
      <c r="AX266" s="71"/>
      <c r="AY266" s="71"/>
      <c r="AZ266" s="71"/>
      <c r="BA266" s="71"/>
    </row>
    <row r="267" spans="8:53" s="39" customFormat="1">
      <c r="H267" s="284"/>
      <c r="J267" s="71"/>
      <c r="K267" s="71"/>
      <c r="L267" s="71"/>
      <c r="N267" s="71"/>
      <c r="O267" s="71"/>
      <c r="P267" s="71"/>
      <c r="Q267" s="71"/>
      <c r="R267" s="71"/>
      <c r="S267" s="71"/>
      <c r="T267" s="151"/>
      <c r="U267" s="147"/>
      <c r="V267" s="147"/>
      <c r="W267" s="147"/>
      <c r="X267" s="147"/>
      <c r="Y267" s="147"/>
      <c r="Z267" s="147"/>
      <c r="AR267" s="71"/>
      <c r="AS267" s="71"/>
      <c r="AT267" s="71"/>
      <c r="AU267" s="71"/>
      <c r="AW267" s="71"/>
      <c r="AX267" s="71"/>
      <c r="AY267" s="71"/>
      <c r="AZ267" s="71"/>
      <c r="BA267" s="71"/>
    </row>
    <row r="268" spans="8:53" s="39" customFormat="1">
      <c r="H268" s="284"/>
      <c r="J268" s="71"/>
      <c r="K268" s="71"/>
      <c r="L268" s="71"/>
      <c r="N268" s="71"/>
      <c r="O268" s="71"/>
      <c r="P268" s="71"/>
      <c r="Q268" s="71"/>
      <c r="R268" s="71"/>
      <c r="S268" s="71"/>
      <c r="T268" s="151"/>
      <c r="U268" s="147"/>
      <c r="V268" s="147"/>
      <c r="W268" s="147"/>
      <c r="X268" s="147"/>
      <c r="Y268" s="147"/>
      <c r="Z268" s="147"/>
      <c r="AR268" s="71"/>
      <c r="AS268" s="71"/>
      <c r="AT268" s="71"/>
      <c r="AU268" s="71"/>
      <c r="AW268" s="71"/>
      <c r="AX268" s="71"/>
      <c r="AY268" s="71"/>
      <c r="AZ268" s="71"/>
      <c r="BA268" s="71"/>
    </row>
    <row r="269" spans="8:53" s="39" customFormat="1">
      <c r="H269" s="284"/>
      <c r="J269" s="71"/>
      <c r="K269" s="71"/>
      <c r="L269" s="71"/>
      <c r="N269" s="71"/>
      <c r="O269" s="71"/>
      <c r="P269" s="71"/>
      <c r="Q269" s="71"/>
      <c r="R269" s="71"/>
      <c r="S269" s="71"/>
      <c r="T269" s="151"/>
      <c r="U269" s="147"/>
      <c r="V269" s="147"/>
      <c r="W269" s="147"/>
      <c r="X269" s="147"/>
      <c r="Y269" s="147"/>
      <c r="Z269" s="147"/>
      <c r="AR269" s="71"/>
      <c r="AS269" s="71"/>
      <c r="AT269" s="71"/>
      <c r="AU269" s="71"/>
      <c r="AW269" s="71"/>
      <c r="AX269" s="71"/>
      <c r="AY269" s="71"/>
      <c r="AZ269" s="71"/>
      <c r="BA269" s="71"/>
    </row>
    <row r="270" spans="8:53" s="39" customFormat="1">
      <c r="H270" s="284"/>
      <c r="J270" s="71"/>
      <c r="K270" s="71"/>
      <c r="L270" s="71"/>
      <c r="N270" s="71"/>
      <c r="O270" s="71"/>
      <c r="P270" s="71"/>
      <c r="Q270" s="71"/>
      <c r="R270" s="71"/>
      <c r="S270" s="71"/>
      <c r="T270" s="151"/>
      <c r="U270" s="147"/>
      <c r="V270" s="147"/>
      <c r="W270" s="147"/>
      <c r="X270" s="147"/>
      <c r="Y270" s="147"/>
      <c r="Z270" s="147"/>
      <c r="AR270" s="71"/>
      <c r="AS270" s="71"/>
      <c r="AT270" s="71"/>
      <c r="AU270" s="71"/>
      <c r="AW270" s="71"/>
      <c r="AX270" s="71"/>
      <c r="AY270" s="71"/>
      <c r="AZ270" s="71"/>
      <c r="BA270" s="71"/>
    </row>
    <row r="271" spans="8:53" s="39" customFormat="1">
      <c r="H271" s="284"/>
      <c r="J271" s="71"/>
      <c r="K271" s="71"/>
      <c r="L271" s="71"/>
      <c r="N271" s="71"/>
      <c r="O271" s="71"/>
      <c r="P271" s="71"/>
      <c r="Q271" s="71"/>
      <c r="R271" s="71"/>
      <c r="S271" s="71"/>
      <c r="T271" s="151"/>
      <c r="U271" s="147"/>
      <c r="V271" s="147"/>
      <c r="W271" s="147"/>
      <c r="X271" s="147"/>
      <c r="Y271" s="147"/>
      <c r="Z271" s="147"/>
      <c r="AR271" s="71"/>
      <c r="AS271" s="71"/>
      <c r="AT271" s="71"/>
      <c r="AU271" s="71"/>
      <c r="AW271" s="71"/>
      <c r="AX271" s="71"/>
      <c r="AY271" s="71"/>
      <c r="AZ271" s="71"/>
      <c r="BA271" s="71"/>
    </row>
    <row r="272" spans="8:53" s="39" customFormat="1">
      <c r="H272" s="284"/>
      <c r="J272" s="71"/>
      <c r="K272" s="71"/>
      <c r="L272" s="71"/>
      <c r="N272" s="71"/>
      <c r="O272" s="71"/>
      <c r="P272" s="71"/>
      <c r="Q272" s="71"/>
      <c r="R272" s="71"/>
      <c r="S272" s="71"/>
      <c r="T272" s="151"/>
      <c r="U272" s="147"/>
      <c r="V272" s="147"/>
      <c r="W272" s="147"/>
      <c r="X272" s="147"/>
      <c r="Y272" s="147"/>
      <c r="Z272" s="147"/>
      <c r="AR272" s="71"/>
      <c r="AS272" s="71"/>
      <c r="AT272" s="71"/>
      <c r="AU272" s="71"/>
      <c r="AW272" s="71"/>
      <c r="AX272" s="71"/>
      <c r="AY272" s="71"/>
      <c r="AZ272" s="71"/>
      <c r="BA272" s="71"/>
    </row>
    <row r="273" spans="8:53" s="39" customFormat="1">
      <c r="H273" s="284"/>
      <c r="J273" s="71"/>
      <c r="K273" s="71"/>
      <c r="L273" s="71"/>
      <c r="N273" s="71"/>
      <c r="O273" s="71"/>
      <c r="P273" s="71"/>
      <c r="Q273" s="71"/>
      <c r="R273" s="71"/>
      <c r="S273" s="71"/>
      <c r="T273" s="151"/>
      <c r="U273" s="147"/>
      <c r="V273" s="147"/>
      <c r="W273" s="147"/>
      <c r="X273" s="147"/>
      <c r="Y273" s="147"/>
      <c r="Z273" s="147"/>
      <c r="AR273" s="71"/>
      <c r="AS273" s="71"/>
      <c r="AT273" s="71"/>
      <c r="AU273" s="71"/>
      <c r="AW273" s="71"/>
      <c r="AX273" s="71"/>
      <c r="AY273" s="71"/>
      <c r="AZ273" s="71"/>
      <c r="BA273" s="71"/>
    </row>
    <row r="274" spans="8:53" s="39" customFormat="1">
      <c r="H274" s="284"/>
      <c r="J274" s="71"/>
      <c r="K274" s="71"/>
      <c r="L274" s="71"/>
      <c r="N274" s="71"/>
      <c r="O274" s="71"/>
      <c r="P274" s="71"/>
      <c r="Q274" s="71"/>
      <c r="R274" s="71"/>
      <c r="S274" s="71"/>
      <c r="T274" s="151"/>
      <c r="U274" s="147"/>
      <c r="V274" s="147"/>
      <c r="W274" s="147"/>
      <c r="X274" s="147"/>
      <c r="Y274" s="147"/>
      <c r="Z274" s="147"/>
      <c r="AR274" s="71"/>
      <c r="AS274" s="71"/>
      <c r="AT274" s="71"/>
      <c r="AU274" s="71"/>
      <c r="AW274" s="71"/>
      <c r="AX274" s="71"/>
      <c r="AY274" s="71"/>
      <c r="AZ274" s="71"/>
      <c r="BA274" s="71"/>
    </row>
    <row r="275" spans="8:53" s="39" customFormat="1">
      <c r="H275" s="284"/>
      <c r="J275" s="71"/>
      <c r="K275" s="71"/>
      <c r="L275" s="71"/>
      <c r="N275" s="71"/>
      <c r="O275" s="71"/>
      <c r="P275" s="71"/>
      <c r="Q275" s="71"/>
      <c r="R275" s="71"/>
      <c r="S275" s="71"/>
      <c r="T275" s="151"/>
      <c r="U275" s="147"/>
      <c r="V275" s="147"/>
      <c r="W275" s="147"/>
      <c r="X275" s="147"/>
      <c r="Y275" s="147"/>
      <c r="Z275" s="147"/>
      <c r="AR275" s="71"/>
      <c r="AS275" s="71"/>
      <c r="AT275" s="71"/>
      <c r="AU275" s="71"/>
      <c r="AW275" s="71"/>
      <c r="AX275" s="71"/>
      <c r="AY275" s="71"/>
      <c r="AZ275" s="71"/>
      <c r="BA275" s="71"/>
    </row>
    <row r="276" spans="8:53" s="39" customFormat="1">
      <c r="H276" s="284"/>
      <c r="J276" s="71"/>
      <c r="K276" s="71"/>
      <c r="L276" s="71"/>
      <c r="N276" s="71"/>
      <c r="O276" s="71"/>
      <c r="P276" s="71"/>
      <c r="Q276" s="71"/>
      <c r="R276" s="71"/>
      <c r="S276" s="71"/>
      <c r="T276" s="151"/>
      <c r="U276" s="147"/>
      <c r="V276" s="147"/>
      <c r="W276" s="147"/>
      <c r="X276" s="147"/>
      <c r="Y276" s="147"/>
      <c r="Z276" s="147"/>
      <c r="AR276" s="71"/>
      <c r="AS276" s="71"/>
      <c r="AT276" s="71"/>
      <c r="AU276" s="71"/>
      <c r="AW276" s="71"/>
      <c r="AX276" s="71"/>
      <c r="AY276" s="71"/>
      <c r="AZ276" s="71"/>
      <c r="BA276" s="71"/>
    </row>
    <row r="277" spans="8:53" s="39" customFormat="1">
      <c r="H277" s="284"/>
      <c r="J277" s="71"/>
      <c r="K277" s="71"/>
      <c r="L277" s="71"/>
      <c r="N277" s="71"/>
      <c r="O277" s="71"/>
      <c r="P277" s="71"/>
      <c r="Q277" s="71"/>
      <c r="R277" s="71"/>
      <c r="S277" s="71"/>
      <c r="T277" s="151"/>
      <c r="U277" s="147"/>
      <c r="V277" s="147"/>
      <c r="W277" s="147"/>
      <c r="X277" s="147"/>
      <c r="Y277" s="147"/>
      <c r="Z277" s="147"/>
      <c r="AR277" s="71"/>
      <c r="AS277" s="71"/>
      <c r="AT277" s="71"/>
      <c r="AU277" s="71"/>
      <c r="AW277" s="71"/>
      <c r="AX277" s="71"/>
      <c r="AY277" s="71"/>
      <c r="AZ277" s="71"/>
      <c r="BA277" s="71"/>
    </row>
    <row r="278" spans="8:53" s="39" customFormat="1">
      <c r="H278" s="284"/>
      <c r="J278" s="71"/>
      <c r="K278" s="71"/>
      <c r="L278" s="71"/>
      <c r="N278" s="71"/>
      <c r="O278" s="71"/>
      <c r="P278" s="71"/>
      <c r="Q278" s="71"/>
      <c r="R278" s="71"/>
      <c r="S278" s="71"/>
      <c r="T278" s="151"/>
      <c r="U278" s="147"/>
      <c r="V278" s="147"/>
      <c r="W278" s="147"/>
      <c r="X278" s="147"/>
      <c r="Y278" s="147"/>
      <c r="Z278" s="147"/>
      <c r="AR278" s="71"/>
      <c r="AS278" s="71"/>
      <c r="AT278" s="71"/>
      <c r="AU278" s="71"/>
      <c r="AW278" s="71"/>
      <c r="AX278" s="71"/>
      <c r="AY278" s="71"/>
      <c r="AZ278" s="71"/>
      <c r="BA278" s="71"/>
    </row>
    <row r="279" spans="8:53" s="39" customFormat="1">
      <c r="H279" s="284"/>
      <c r="J279" s="71"/>
      <c r="K279" s="71"/>
      <c r="L279" s="71"/>
      <c r="N279" s="71"/>
      <c r="O279" s="71"/>
      <c r="P279" s="71"/>
      <c r="Q279" s="71"/>
      <c r="R279" s="71"/>
      <c r="S279" s="71"/>
      <c r="T279" s="151"/>
      <c r="U279" s="147"/>
      <c r="V279" s="147"/>
      <c r="W279" s="147"/>
      <c r="X279" s="147"/>
      <c r="Y279" s="147"/>
      <c r="Z279" s="147"/>
      <c r="AR279" s="71"/>
      <c r="AS279" s="71"/>
      <c r="AT279" s="71"/>
      <c r="AU279" s="71"/>
      <c r="AW279" s="71"/>
      <c r="AX279" s="71"/>
      <c r="AY279" s="71"/>
      <c r="AZ279" s="71"/>
      <c r="BA279" s="71"/>
    </row>
    <row r="280" spans="8:53" s="39" customFormat="1">
      <c r="H280" s="284"/>
      <c r="J280" s="71"/>
      <c r="K280" s="71"/>
      <c r="L280" s="71"/>
      <c r="N280" s="71"/>
      <c r="O280" s="71"/>
      <c r="P280" s="71"/>
      <c r="Q280" s="71"/>
      <c r="R280" s="71"/>
      <c r="S280" s="71"/>
      <c r="T280" s="151"/>
      <c r="U280" s="147"/>
      <c r="V280" s="147"/>
      <c r="W280" s="147"/>
      <c r="X280" s="147"/>
      <c r="Y280" s="147"/>
      <c r="Z280" s="147"/>
      <c r="AR280" s="71"/>
      <c r="AS280" s="71"/>
      <c r="AT280" s="71"/>
      <c r="AU280" s="71"/>
      <c r="AW280" s="71"/>
      <c r="AX280" s="71"/>
      <c r="AY280" s="71"/>
      <c r="AZ280" s="71"/>
      <c r="BA280" s="71"/>
    </row>
    <row r="281" spans="8:53" s="39" customFormat="1">
      <c r="H281" s="284"/>
      <c r="J281" s="71"/>
      <c r="K281" s="71"/>
      <c r="L281" s="71"/>
      <c r="N281" s="71"/>
      <c r="O281" s="71"/>
      <c r="P281" s="71"/>
      <c r="Q281" s="71"/>
      <c r="R281" s="71"/>
      <c r="S281" s="71"/>
      <c r="T281" s="151"/>
      <c r="U281" s="147"/>
      <c r="V281" s="147"/>
      <c r="W281" s="147"/>
      <c r="X281" s="147"/>
      <c r="Y281" s="147"/>
      <c r="Z281" s="147"/>
      <c r="AR281" s="71"/>
      <c r="AS281" s="71"/>
      <c r="AT281" s="71"/>
      <c r="AU281" s="71"/>
      <c r="AW281" s="71"/>
      <c r="AX281" s="71"/>
      <c r="AY281" s="71"/>
      <c r="AZ281" s="71"/>
      <c r="BA281" s="71"/>
    </row>
    <row r="282" spans="8:53" s="39" customFormat="1">
      <c r="H282" s="284"/>
      <c r="J282" s="71"/>
      <c r="K282" s="71"/>
      <c r="L282" s="71"/>
      <c r="N282" s="71"/>
      <c r="O282" s="71"/>
      <c r="P282" s="71"/>
      <c r="Q282" s="71"/>
      <c r="R282" s="71"/>
      <c r="S282" s="71"/>
      <c r="T282" s="151"/>
      <c r="U282" s="147"/>
      <c r="V282" s="147"/>
      <c r="W282" s="147"/>
      <c r="X282" s="147"/>
      <c r="Y282" s="147"/>
      <c r="Z282" s="147"/>
      <c r="AR282" s="71"/>
      <c r="AS282" s="71"/>
      <c r="AT282" s="71"/>
      <c r="AU282" s="71"/>
      <c r="AW282" s="71"/>
      <c r="AX282" s="71"/>
      <c r="AY282" s="71"/>
      <c r="AZ282" s="71"/>
      <c r="BA282" s="71"/>
    </row>
    <row r="283" spans="8:53" s="39" customFormat="1">
      <c r="H283" s="284"/>
      <c r="J283" s="71"/>
      <c r="K283" s="71"/>
      <c r="L283" s="71"/>
      <c r="N283" s="71"/>
      <c r="O283" s="71"/>
      <c r="P283" s="71"/>
      <c r="Q283" s="71"/>
      <c r="R283" s="71"/>
      <c r="S283" s="71"/>
      <c r="T283" s="151"/>
      <c r="U283" s="147"/>
      <c r="V283" s="147"/>
      <c r="W283" s="147"/>
      <c r="X283" s="147"/>
      <c r="Y283" s="147"/>
      <c r="Z283" s="147"/>
      <c r="AR283" s="71"/>
      <c r="AS283" s="71"/>
      <c r="AT283" s="71"/>
      <c r="AU283" s="71"/>
      <c r="AW283" s="71"/>
      <c r="AX283" s="71"/>
      <c r="AY283" s="71"/>
      <c r="AZ283" s="71"/>
      <c r="BA283" s="71"/>
    </row>
    <row r="284" spans="8:53" s="39" customFormat="1">
      <c r="H284" s="284"/>
      <c r="J284" s="71"/>
      <c r="K284" s="71"/>
      <c r="L284" s="71"/>
      <c r="N284" s="71"/>
      <c r="O284" s="71"/>
      <c r="P284" s="71"/>
      <c r="Q284" s="71"/>
      <c r="R284" s="71"/>
      <c r="S284" s="71"/>
      <c r="T284" s="151"/>
      <c r="U284" s="147"/>
      <c r="V284" s="147"/>
      <c r="W284" s="147"/>
      <c r="X284" s="147"/>
      <c r="Y284" s="147"/>
      <c r="Z284" s="147"/>
      <c r="AR284" s="71"/>
      <c r="AS284" s="71"/>
      <c r="AT284" s="71"/>
      <c r="AU284" s="71"/>
      <c r="AW284" s="71"/>
      <c r="AX284" s="71"/>
      <c r="AY284" s="71"/>
      <c r="AZ284" s="71"/>
      <c r="BA284" s="71"/>
    </row>
    <row r="285" spans="8:53" s="39" customFormat="1">
      <c r="H285" s="284"/>
      <c r="J285" s="71"/>
      <c r="K285" s="71"/>
      <c r="L285" s="71"/>
      <c r="N285" s="71"/>
      <c r="O285" s="71"/>
      <c r="P285" s="71"/>
      <c r="Q285" s="71"/>
      <c r="R285" s="71"/>
      <c r="S285" s="71"/>
      <c r="T285" s="151"/>
      <c r="U285" s="147"/>
      <c r="V285" s="147"/>
      <c r="W285" s="147"/>
      <c r="X285" s="147"/>
      <c r="Y285" s="147"/>
      <c r="Z285" s="147"/>
      <c r="AR285" s="71"/>
      <c r="AS285" s="71"/>
      <c r="AT285" s="71"/>
      <c r="AU285" s="71"/>
      <c r="AW285" s="71"/>
      <c r="AX285" s="71"/>
      <c r="AY285" s="71"/>
      <c r="AZ285" s="71"/>
      <c r="BA285" s="71"/>
    </row>
    <row r="286" spans="8:53" s="39" customFormat="1">
      <c r="H286" s="284"/>
      <c r="J286" s="71"/>
      <c r="K286" s="71"/>
      <c r="L286" s="71"/>
      <c r="N286" s="71"/>
      <c r="O286" s="71"/>
      <c r="P286" s="71"/>
      <c r="Q286" s="71"/>
      <c r="R286" s="71"/>
      <c r="S286" s="71"/>
      <c r="T286" s="151"/>
      <c r="U286" s="147"/>
      <c r="V286" s="147"/>
      <c r="W286" s="147"/>
      <c r="X286" s="147"/>
      <c r="Y286" s="147"/>
      <c r="Z286" s="147"/>
      <c r="AR286" s="71"/>
      <c r="AS286" s="71"/>
      <c r="AT286" s="71"/>
      <c r="AU286" s="71"/>
      <c r="AW286" s="71"/>
      <c r="AX286" s="71"/>
      <c r="AY286" s="71"/>
      <c r="AZ286" s="71"/>
      <c r="BA286" s="71"/>
    </row>
    <row r="287" spans="8:53" s="39" customFormat="1">
      <c r="H287" s="284"/>
      <c r="J287" s="71"/>
      <c r="K287" s="71"/>
      <c r="L287" s="71"/>
      <c r="N287" s="71"/>
      <c r="O287" s="71"/>
      <c r="P287" s="71"/>
      <c r="Q287" s="71"/>
      <c r="R287" s="71"/>
      <c r="S287" s="71"/>
      <c r="T287" s="151"/>
      <c r="U287" s="147"/>
      <c r="V287" s="147"/>
      <c r="W287" s="147"/>
      <c r="X287" s="147"/>
      <c r="Y287" s="147"/>
      <c r="Z287" s="147"/>
      <c r="AR287" s="71"/>
      <c r="AS287" s="71"/>
      <c r="AT287" s="71"/>
      <c r="AU287" s="71"/>
      <c r="AW287" s="71"/>
      <c r="AX287" s="71"/>
      <c r="AY287" s="71"/>
      <c r="AZ287" s="71"/>
      <c r="BA287" s="71"/>
    </row>
    <row r="288" spans="8:53" s="39" customFormat="1">
      <c r="H288" s="284"/>
      <c r="J288" s="71"/>
      <c r="K288" s="71"/>
      <c r="L288" s="71"/>
      <c r="N288" s="71"/>
      <c r="O288" s="71"/>
      <c r="P288" s="71"/>
      <c r="Q288" s="71"/>
      <c r="R288" s="71"/>
      <c r="S288" s="71"/>
      <c r="T288" s="151"/>
      <c r="U288" s="147"/>
      <c r="V288" s="147"/>
      <c r="W288" s="147"/>
      <c r="X288" s="147"/>
      <c r="Y288" s="147"/>
      <c r="Z288" s="147"/>
      <c r="AR288" s="71"/>
      <c r="AS288" s="71"/>
      <c r="AT288" s="71"/>
      <c r="AU288" s="71"/>
      <c r="AW288" s="71"/>
      <c r="AX288" s="71"/>
      <c r="AY288" s="71"/>
      <c r="AZ288" s="71"/>
      <c r="BA288" s="71"/>
    </row>
    <row r="289" spans="8:53" s="39" customFormat="1">
      <c r="H289" s="284"/>
      <c r="J289" s="71"/>
      <c r="K289" s="71"/>
      <c r="L289" s="71"/>
      <c r="N289" s="71"/>
      <c r="O289" s="71"/>
      <c r="P289" s="71"/>
      <c r="Q289" s="71"/>
      <c r="R289" s="71"/>
      <c r="S289" s="71"/>
      <c r="T289" s="151"/>
      <c r="U289" s="147"/>
      <c r="V289" s="147"/>
      <c r="W289" s="147"/>
      <c r="X289" s="147"/>
      <c r="Y289" s="147"/>
      <c r="Z289" s="147"/>
      <c r="AR289" s="71"/>
      <c r="AS289" s="71"/>
      <c r="AT289" s="71"/>
      <c r="AU289" s="71"/>
      <c r="AW289" s="71"/>
      <c r="AX289" s="71"/>
      <c r="AY289" s="71"/>
      <c r="AZ289" s="71"/>
      <c r="BA289" s="71"/>
    </row>
    <row r="290" spans="8:53" s="39" customFormat="1">
      <c r="H290" s="284"/>
      <c r="J290" s="71"/>
      <c r="K290" s="71"/>
      <c r="L290" s="71"/>
      <c r="N290" s="71"/>
      <c r="O290" s="71"/>
      <c r="P290" s="71"/>
      <c r="Q290" s="71"/>
      <c r="R290" s="71"/>
      <c r="S290" s="71"/>
      <c r="T290" s="151"/>
      <c r="U290" s="147"/>
      <c r="V290" s="147"/>
      <c r="W290" s="147"/>
      <c r="X290" s="147"/>
      <c r="Y290" s="147"/>
      <c r="Z290" s="147"/>
      <c r="AR290" s="71"/>
      <c r="AS290" s="71"/>
      <c r="AT290" s="71"/>
      <c r="AU290" s="71"/>
      <c r="AW290" s="71"/>
      <c r="AX290" s="71"/>
      <c r="AY290" s="71"/>
      <c r="AZ290" s="71"/>
      <c r="BA290" s="71"/>
    </row>
    <row r="291" spans="8:53" s="39" customFormat="1">
      <c r="H291" s="284"/>
      <c r="J291" s="71"/>
      <c r="K291" s="71"/>
      <c r="L291" s="71"/>
      <c r="N291" s="71"/>
      <c r="O291" s="71"/>
      <c r="P291" s="71"/>
      <c r="Q291" s="71"/>
      <c r="R291" s="71"/>
      <c r="S291" s="71"/>
      <c r="T291" s="151"/>
      <c r="U291" s="147"/>
      <c r="V291" s="147"/>
      <c r="W291" s="147"/>
      <c r="X291" s="147"/>
      <c r="Y291" s="147"/>
      <c r="Z291" s="147"/>
      <c r="AR291" s="71"/>
      <c r="AS291" s="71"/>
      <c r="AT291" s="71"/>
      <c r="AU291" s="71"/>
      <c r="AW291" s="71"/>
      <c r="AX291" s="71"/>
      <c r="AY291" s="71"/>
      <c r="AZ291" s="71"/>
      <c r="BA291" s="71"/>
    </row>
    <row r="292" spans="8:53" s="39" customFormat="1">
      <c r="H292" s="284"/>
      <c r="J292" s="71"/>
      <c r="K292" s="71"/>
      <c r="L292" s="71"/>
      <c r="N292" s="71"/>
      <c r="O292" s="71"/>
      <c r="P292" s="71"/>
      <c r="Q292" s="71"/>
      <c r="R292" s="71"/>
      <c r="S292" s="71"/>
      <c r="T292" s="151"/>
      <c r="U292" s="147"/>
      <c r="V292" s="147"/>
      <c r="W292" s="147"/>
      <c r="X292" s="147"/>
      <c r="Y292" s="147"/>
      <c r="Z292" s="147"/>
      <c r="AR292" s="71"/>
      <c r="AS292" s="71"/>
      <c r="AT292" s="71"/>
      <c r="AU292" s="71"/>
      <c r="AW292" s="71"/>
      <c r="AX292" s="71"/>
      <c r="AY292" s="71"/>
      <c r="AZ292" s="71"/>
      <c r="BA292" s="71"/>
    </row>
    <row r="293" spans="8:53" s="39" customFormat="1">
      <c r="H293" s="284"/>
      <c r="J293" s="71"/>
      <c r="K293" s="71"/>
      <c r="L293" s="71"/>
      <c r="N293" s="71"/>
      <c r="O293" s="71"/>
      <c r="P293" s="71"/>
      <c r="Q293" s="71"/>
      <c r="R293" s="71"/>
      <c r="S293" s="71"/>
      <c r="T293" s="151"/>
      <c r="U293" s="147"/>
      <c r="V293" s="147"/>
      <c r="W293" s="147"/>
      <c r="X293" s="147"/>
      <c r="Y293" s="147"/>
      <c r="Z293" s="147"/>
      <c r="AR293" s="71"/>
      <c r="AS293" s="71"/>
      <c r="AT293" s="71"/>
      <c r="AU293" s="71"/>
      <c r="AW293" s="71"/>
      <c r="AX293" s="71"/>
      <c r="AY293" s="71"/>
      <c r="AZ293" s="71"/>
      <c r="BA293" s="71"/>
    </row>
    <row r="294" spans="8:53" s="39" customFormat="1">
      <c r="H294" s="284"/>
      <c r="J294" s="71"/>
      <c r="K294" s="71"/>
      <c r="L294" s="71"/>
      <c r="N294" s="71"/>
      <c r="O294" s="71"/>
      <c r="P294" s="71"/>
      <c r="Q294" s="71"/>
      <c r="R294" s="71"/>
      <c r="S294" s="71"/>
      <c r="T294" s="151"/>
      <c r="U294" s="147"/>
      <c r="V294" s="147"/>
      <c r="W294" s="147"/>
      <c r="X294" s="147"/>
      <c r="Y294" s="147"/>
      <c r="Z294" s="147"/>
      <c r="AR294" s="71"/>
      <c r="AS294" s="71"/>
      <c r="AT294" s="71"/>
      <c r="AU294" s="71"/>
      <c r="AW294" s="71"/>
      <c r="AX294" s="71"/>
      <c r="AY294" s="71"/>
      <c r="AZ294" s="71"/>
      <c r="BA294" s="71"/>
    </row>
    <row r="295" spans="8:53" s="39" customFormat="1">
      <c r="H295" s="284"/>
      <c r="J295" s="71"/>
      <c r="K295" s="71"/>
      <c r="L295" s="71"/>
      <c r="N295" s="71"/>
      <c r="O295" s="71"/>
      <c r="P295" s="71"/>
      <c r="Q295" s="71"/>
      <c r="R295" s="71"/>
      <c r="S295" s="71"/>
      <c r="T295" s="151"/>
      <c r="U295" s="147"/>
      <c r="V295" s="147"/>
      <c r="W295" s="147"/>
      <c r="X295" s="147"/>
      <c r="Y295" s="147"/>
      <c r="Z295" s="147"/>
      <c r="AR295" s="71"/>
      <c r="AS295" s="71"/>
      <c r="AT295" s="71"/>
      <c r="AU295" s="71"/>
      <c r="AW295" s="71"/>
      <c r="AX295" s="71"/>
      <c r="AY295" s="71"/>
      <c r="AZ295" s="71"/>
      <c r="BA295" s="71"/>
    </row>
    <row r="296" spans="8:53" s="39" customFormat="1">
      <c r="H296" s="284"/>
      <c r="J296" s="71"/>
      <c r="K296" s="71"/>
      <c r="L296" s="71"/>
      <c r="N296" s="71"/>
      <c r="O296" s="71"/>
      <c r="P296" s="71"/>
      <c r="Q296" s="71"/>
      <c r="R296" s="71"/>
      <c r="S296" s="71"/>
      <c r="T296" s="151"/>
      <c r="U296" s="147"/>
      <c r="V296" s="147"/>
      <c r="W296" s="147"/>
      <c r="X296" s="147"/>
      <c r="Y296" s="147"/>
      <c r="Z296" s="147"/>
      <c r="AR296" s="71"/>
      <c r="AS296" s="71"/>
      <c r="AT296" s="71"/>
      <c r="AU296" s="71"/>
      <c r="AW296" s="71"/>
      <c r="AX296" s="71"/>
      <c r="AY296" s="71"/>
      <c r="AZ296" s="71"/>
      <c r="BA296" s="71"/>
    </row>
    <row r="297" spans="8:53" s="39" customFormat="1">
      <c r="H297" s="284"/>
      <c r="J297" s="71"/>
      <c r="K297" s="71"/>
      <c r="L297" s="71"/>
      <c r="N297" s="71"/>
      <c r="O297" s="71"/>
      <c r="P297" s="71"/>
      <c r="Q297" s="71"/>
      <c r="R297" s="71"/>
      <c r="S297" s="71"/>
      <c r="T297" s="151"/>
      <c r="U297" s="147"/>
      <c r="V297" s="147"/>
      <c r="W297" s="147"/>
      <c r="X297" s="147"/>
      <c r="Y297" s="147"/>
      <c r="Z297" s="147"/>
      <c r="AR297" s="71"/>
      <c r="AS297" s="71"/>
      <c r="AT297" s="71"/>
      <c r="AU297" s="71"/>
      <c r="AW297" s="71"/>
      <c r="AX297" s="71"/>
      <c r="AY297" s="71"/>
      <c r="AZ297" s="71"/>
      <c r="BA297" s="71"/>
    </row>
    <row r="298" spans="8:53" s="39" customFormat="1">
      <c r="H298" s="284"/>
      <c r="J298" s="71"/>
      <c r="K298" s="71"/>
      <c r="L298" s="71"/>
      <c r="N298" s="71"/>
      <c r="O298" s="71"/>
      <c r="P298" s="71"/>
      <c r="Q298" s="71"/>
      <c r="R298" s="71"/>
      <c r="S298" s="71"/>
      <c r="T298" s="151"/>
      <c r="U298" s="147"/>
      <c r="V298" s="147"/>
      <c r="W298" s="147"/>
      <c r="X298" s="147"/>
      <c r="Y298" s="147"/>
      <c r="Z298" s="147"/>
      <c r="AR298" s="71"/>
      <c r="AS298" s="71"/>
      <c r="AT298" s="71"/>
      <c r="AU298" s="71"/>
      <c r="AW298" s="71"/>
      <c r="AX298" s="71"/>
      <c r="AY298" s="71"/>
      <c r="AZ298" s="71"/>
      <c r="BA298" s="71"/>
    </row>
    <row r="299" spans="8:53" s="39" customFormat="1">
      <c r="H299" s="284"/>
      <c r="J299" s="71"/>
      <c r="K299" s="71"/>
      <c r="L299" s="71"/>
      <c r="N299" s="71"/>
      <c r="O299" s="71"/>
      <c r="P299" s="71"/>
      <c r="Q299" s="71"/>
      <c r="R299" s="71"/>
      <c r="S299" s="71"/>
      <c r="T299" s="151"/>
      <c r="U299" s="147"/>
      <c r="V299" s="147"/>
      <c r="W299" s="147"/>
      <c r="X299" s="147"/>
      <c r="Y299" s="147"/>
      <c r="Z299" s="147"/>
      <c r="AR299" s="71"/>
      <c r="AS299" s="71"/>
      <c r="AT299" s="71"/>
      <c r="AU299" s="71"/>
      <c r="AW299" s="71"/>
      <c r="AX299" s="71"/>
      <c r="AY299" s="71"/>
      <c r="AZ299" s="71"/>
      <c r="BA299" s="71"/>
    </row>
    <row r="300" spans="8:53" s="39" customFormat="1">
      <c r="H300" s="284"/>
      <c r="J300" s="71"/>
      <c r="K300" s="71"/>
      <c r="L300" s="71"/>
      <c r="N300" s="71"/>
      <c r="O300" s="71"/>
      <c r="P300" s="71"/>
      <c r="Q300" s="71"/>
      <c r="R300" s="71"/>
      <c r="S300" s="71"/>
      <c r="T300" s="151"/>
      <c r="U300" s="147"/>
      <c r="V300" s="147"/>
      <c r="W300" s="147"/>
      <c r="X300" s="147"/>
      <c r="Y300" s="147"/>
      <c r="Z300" s="147"/>
      <c r="AR300" s="71"/>
      <c r="AS300" s="71"/>
      <c r="AT300" s="71"/>
      <c r="AU300" s="71"/>
      <c r="AW300" s="71"/>
      <c r="AX300" s="71"/>
      <c r="AY300" s="71"/>
      <c r="AZ300" s="71"/>
      <c r="BA300" s="71"/>
    </row>
    <row r="301" spans="8:53" s="39" customFormat="1">
      <c r="H301" s="284"/>
      <c r="J301" s="71"/>
      <c r="K301" s="71"/>
      <c r="L301" s="71"/>
      <c r="N301" s="71"/>
      <c r="O301" s="71"/>
      <c r="P301" s="71"/>
      <c r="Q301" s="71"/>
      <c r="R301" s="71"/>
      <c r="S301" s="71"/>
      <c r="T301" s="151"/>
      <c r="U301" s="147"/>
      <c r="V301" s="147"/>
      <c r="W301" s="147"/>
      <c r="X301" s="147"/>
      <c r="Y301" s="147"/>
      <c r="Z301" s="147"/>
      <c r="AR301" s="71"/>
      <c r="AS301" s="71"/>
      <c r="AT301" s="71"/>
      <c r="AU301" s="71"/>
      <c r="AW301" s="71"/>
      <c r="AX301" s="71"/>
      <c r="AY301" s="71"/>
      <c r="AZ301" s="71"/>
      <c r="BA301" s="71"/>
    </row>
    <row r="302" spans="8:53" s="39" customFormat="1">
      <c r="H302" s="284"/>
      <c r="J302" s="71"/>
      <c r="K302" s="71"/>
      <c r="L302" s="71"/>
      <c r="N302" s="71"/>
      <c r="O302" s="71"/>
      <c r="P302" s="71"/>
      <c r="Q302" s="71"/>
      <c r="R302" s="71"/>
      <c r="S302" s="71"/>
      <c r="T302" s="151"/>
      <c r="U302" s="147"/>
      <c r="V302" s="147"/>
      <c r="W302" s="147"/>
      <c r="X302" s="147"/>
      <c r="Y302" s="147"/>
      <c r="Z302" s="147"/>
      <c r="AR302" s="71"/>
      <c r="AS302" s="71"/>
      <c r="AT302" s="71"/>
      <c r="AU302" s="71"/>
      <c r="AW302" s="71"/>
      <c r="AX302" s="71"/>
      <c r="AY302" s="71"/>
      <c r="AZ302" s="71"/>
      <c r="BA302" s="71"/>
    </row>
    <row r="303" spans="8:53" s="39" customFormat="1">
      <c r="H303" s="284"/>
      <c r="J303" s="71"/>
      <c r="K303" s="71"/>
      <c r="L303" s="71"/>
      <c r="N303" s="71"/>
      <c r="O303" s="71"/>
      <c r="P303" s="71"/>
      <c r="Q303" s="71"/>
      <c r="R303" s="71"/>
      <c r="S303" s="71"/>
      <c r="T303" s="151"/>
      <c r="U303" s="147"/>
      <c r="V303" s="147"/>
      <c r="W303" s="147"/>
      <c r="X303" s="147"/>
      <c r="Y303" s="147"/>
      <c r="Z303" s="147"/>
      <c r="AR303" s="71"/>
      <c r="AS303" s="71"/>
      <c r="AT303" s="71"/>
      <c r="AU303" s="71"/>
      <c r="AW303" s="71"/>
      <c r="AX303" s="71"/>
      <c r="AY303" s="71"/>
      <c r="AZ303" s="71"/>
      <c r="BA303" s="71"/>
    </row>
    <row r="304" spans="8:53" s="39" customFormat="1">
      <c r="H304" s="284"/>
      <c r="J304" s="71"/>
      <c r="K304" s="71"/>
      <c r="L304" s="71"/>
      <c r="N304" s="71"/>
      <c r="O304" s="71"/>
      <c r="P304" s="71"/>
      <c r="Q304" s="71"/>
      <c r="R304" s="71"/>
      <c r="S304" s="71"/>
      <c r="T304" s="151"/>
      <c r="U304" s="147"/>
      <c r="V304" s="147"/>
      <c r="W304" s="147"/>
      <c r="X304" s="147"/>
      <c r="Y304" s="147"/>
      <c r="Z304" s="147"/>
      <c r="AR304" s="71"/>
      <c r="AS304" s="71"/>
      <c r="AT304" s="71"/>
      <c r="AU304" s="71"/>
      <c r="AW304" s="71"/>
      <c r="AX304" s="71"/>
      <c r="AY304" s="71"/>
      <c r="AZ304" s="71"/>
      <c r="BA304" s="71"/>
    </row>
    <row r="305" spans="8:53" s="39" customFormat="1">
      <c r="H305" s="284"/>
      <c r="J305" s="71"/>
      <c r="K305" s="71"/>
      <c r="L305" s="71"/>
      <c r="N305" s="71"/>
      <c r="O305" s="71"/>
      <c r="P305" s="71"/>
      <c r="Q305" s="71"/>
      <c r="R305" s="71"/>
      <c r="S305" s="71"/>
      <c r="T305" s="151"/>
      <c r="U305" s="147"/>
      <c r="V305" s="147"/>
      <c r="W305" s="147"/>
      <c r="X305" s="147"/>
      <c r="Y305" s="147"/>
      <c r="Z305" s="147"/>
      <c r="AR305" s="71"/>
      <c r="AS305" s="71"/>
      <c r="AT305" s="71"/>
      <c r="AU305" s="71"/>
      <c r="AW305" s="71"/>
      <c r="AX305" s="71"/>
      <c r="AY305" s="71"/>
      <c r="AZ305" s="71"/>
      <c r="BA305" s="71"/>
    </row>
    <row r="306" spans="8:53" s="39" customFormat="1">
      <c r="H306" s="284"/>
      <c r="J306" s="71"/>
      <c r="K306" s="71"/>
      <c r="L306" s="71"/>
      <c r="N306" s="71"/>
      <c r="O306" s="71"/>
      <c r="P306" s="71"/>
      <c r="Q306" s="71"/>
      <c r="R306" s="71"/>
      <c r="S306" s="71"/>
      <c r="T306" s="151"/>
      <c r="U306" s="147"/>
      <c r="V306" s="147"/>
      <c r="W306" s="147"/>
      <c r="X306" s="147"/>
      <c r="Y306" s="147"/>
      <c r="Z306" s="147"/>
      <c r="AR306" s="71"/>
      <c r="AS306" s="71"/>
      <c r="AT306" s="71"/>
      <c r="AU306" s="71"/>
      <c r="AW306" s="71"/>
      <c r="AX306" s="71"/>
      <c r="AY306" s="71"/>
      <c r="AZ306" s="71"/>
      <c r="BA306" s="71"/>
    </row>
    <row r="307" spans="8:53" s="39" customFormat="1">
      <c r="H307" s="284"/>
      <c r="J307" s="71"/>
      <c r="K307" s="71"/>
      <c r="L307" s="71"/>
      <c r="N307" s="71"/>
      <c r="O307" s="71"/>
      <c r="P307" s="71"/>
      <c r="Q307" s="71"/>
      <c r="R307" s="71"/>
      <c r="S307" s="71"/>
      <c r="T307" s="151"/>
      <c r="U307" s="147"/>
      <c r="V307" s="147"/>
      <c r="W307" s="147"/>
      <c r="X307" s="147"/>
      <c r="Y307" s="147"/>
      <c r="Z307" s="147"/>
      <c r="AR307" s="71"/>
      <c r="AS307" s="71"/>
      <c r="AT307" s="71"/>
      <c r="AU307" s="71"/>
      <c r="AW307" s="71"/>
      <c r="AX307" s="71"/>
      <c r="AY307" s="71"/>
      <c r="AZ307" s="71"/>
      <c r="BA307" s="71"/>
    </row>
    <row r="308" spans="8:53" s="39" customFormat="1">
      <c r="H308" s="284"/>
      <c r="J308" s="71"/>
      <c r="K308" s="71"/>
      <c r="L308" s="71"/>
      <c r="N308" s="71"/>
      <c r="O308" s="71"/>
      <c r="P308" s="71"/>
      <c r="Q308" s="71"/>
      <c r="R308" s="71"/>
      <c r="S308" s="71"/>
      <c r="T308" s="151"/>
      <c r="U308" s="147"/>
      <c r="V308" s="147"/>
      <c r="W308" s="147"/>
      <c r="X308" s="147"/>
      <c r="Y308" s="147"/>
      <c r="Z308" s="147"/>
      <c r="AR308" s="71"/>
      <c r="AS308" s="71"/>
      <c r="AT308" s="71"/>
      <c r="AU308" s="71"/>
      <c r="AW308" s="71"/>
      <c r="AX308" s="71"/>
      <c r="AY308" s="71"/>
      <c r="AZ308" s="71"/>
      <c r="BA308" s="71"/>
    </row>
    <row r="309" spans="8:53" s="39" customFormat="1">
      <c r="H309" s="284"/>
      <c r="J309" s="71"/>
      <c r="K309" s="71"/>
      <c r="L309" s="71"/>
      <c r="N309" s="71"/>
      <c r="O309" s="71"/>
      <c r="P309" s="71"/>
      <c r="Q309" s="71"/>
      <c r="R309" s="71"/>
      <c r="S309" s="71"/>
      <c r="T309" s="151"/>
      <c r="U309" s="147"/>
      <c r="V309" s="147"/>
      <c r="W309" s="147"/>
      <c r="X309" s="147"/>
      <c r="Y309" s="147"/>
      <c r="Z309" s="147"/>
      <c r="AR309" s="71"/>
      <c r="AS309" s="71"/>
      <c r="AT309" s="71"/>
      <c r="AU309" s="71"/>
      <c r="AW309" s="71"/>
      <c r="AX309" s="71"/>
      <c r="AY309" s="71"/>
      <c r="AZ309" s="71"/>
      <c r="BA309" s="71"/>
    </row>
    <row r="310" spans="8:53" s="39" customFormat="1">
      <c r="H310" s="284"/>
      <c r="J310" s="71"/>
      <c r="K310" s="71"/>
      <c r="L310" s="71"/>
      <c r="N310" s="71"/>
      <c r="O310" s="71"/>
      <c r="P310" s="71"/>
      <c r="Q310" s="71"/>
      <c r="R310" s="71"/>
      <c r="S310" s="71"/>
      <c r="T310" s="151"/>
      <c r="U310" s="147"/>
      <c r="V310" s="147"/>
      <c r="W310" s="147"/>
      <c r="X310" s="147"/>
      <c r="Y310" s="147"/>
      <c r="Z310" s="147"/>
      <c r="AR310" s="71"/>
      <c r="AS310" s="71"/>
      <c r="AT310" s="71"/>
      <c r="AU310" s="71"/>
      <c r="AW310" s="71"/>
      <c r="AX310" s="71"/>
      <c r="AY310" s="71"/>
      <c r="AZ310" s="71"/>
      <c r="BA310" s="71"/>
    </row>
    <row r="311" spans="8:53" s="39" customFormat="1">
      <c r="H311" s="284"/>
      <c r="J311" s="71"/>
      <c r="K311" s="71"/>
      <c r="L311" s="71"/>
      <c r="N311" s="71"/>
      <c r="O311" s="71"/>
      <c r="P311" s="71"/>
      <c r="Q311" s="71"/>
      <c r="R311" s="71"/>
      <c r="S311" s="71"/>
      <c r="T311" s="151"/>
      <c r="U311" s="147"/>
      <c r="V311" s="147"/>
      <c r="W311" s="147"/>
      <c r="X311" s="147"/>
      <c r="Y311" s="147"/>
      <c r="Z311" s="147"/>
      <c r="AR311" s="71"/>
      <c r="AS311" s="71"/>
      <c r="AT311" s="71"/>
      <c r="AU311" s="71"/>
      <c r="AW311" s="71"/>
      <c r="AX311" s="71"/>
      <c r="AY311" s="71"/>
      <c r="AZ311" s="71"/>
      <c r="BA311" s="71"/>
    </row>
    <row r="312" spans="8:53" s="39" customFormat="1">
      <c r="H312" s="284"/>
      <c r="J312" s="71"/>
      <c r="K312" s="71"/>
      <c r="L312" s="71"/>
      <c r="N312" s="71"/>
      <c r="O312" s="71"/>
      <c r="P312" s="71"/>
      <c r="Q312" s="71"/>
      <c r="R312" s="71"/>
      <c r="S312" s="71"/>
      <c r="T312" s="151"/>
      <c r="U312" s="147"/>
      <c r="V312" s="147"/>
      <c r="W312" s="147"/>
      <c r="X312" s="147"/>
      <c r="Y312" s="147"/>
      <c r="Z312" s="147"/>
      <c r="AR312" s="71"/>
      <c r="AS312" s="71"/>
      <c r="AT312" s="71"/>
      <c r="AU312" s="71"/>
      <c r="AW312" s="71"/>
      <c r="AX312" s="71"/>
      <c r="AY312" s="71"/>
      <c r="AZ312" s="71"/>
      <c r="BA312" s="71"/>
    </row>
    <row r="313" spans="8:53" s="39" customFormat="1">
      <c r="H313" s="284"/>
      <c r="J313" s="71"/>
      <c r="K313" s="71"/>
      <c r="L313" s="71"/>
      <c r="N313" s="71"/>
      <c r="O313" s="71"/>
      <c r="P313" s="71"/>
      <c r="Q313" s="71"/>
      <c r="R313" s="71"/>
      <c r="S313" s="71"/>
      <c r="T313" s="151"/>
      <c r="U313" s="147"/>
      <c r="V313" s="147"/>
      <c r="W313" s="147"/>
      <c r="X313" s="147"/>
      <c r="Y313" s="147"/>
      <c r="Z313" s="147"/>
      <c r="AR313" s="71"/>
      <c r="AS313" s="71"/>
      <c r="AT313" s="71"/>
      <c r="AU313" s="71"/>
      <c r="AW313" s="71"/>
      <c r="AX313" s="71"/>
      <c r="AY313" s="71"/>
      <c r="AZ313" s="71"/>
      <c r="BA313" s="71"/>
    </row>
    <row r="314" spans="8:53" s="39" customFormat="1">
      <c r="H314" s="284"/>
      <c r="J314" s="71"/>
      <c r="K314" s="71"/>
      <c r="L314" s="71"/>
      <c r="N314" s="71"/>
      <c r="O314" s="71"/>
      <c r="P314" s="71"/>
      <c r="Q314" s="71"/>
      <c r="R314" s="71"/>
      <c r="S314" s="71"/>
      <c r="T314" s="151"/>
      <c r="U314" s="147"/>
      <c r="V314" s="147"/>
      <c r="W314" s="147"/>
      <c r="X314" s="147"/>
      <c r="Y314" s="147"/>
      <c r="Z314" s="147"/>
      <c r="AR314" s="71"/>
      <c r="AS314" s="71"/>
      <c r="AT314" s="71"/>
      <c r="AU314" s="71"/>
      <c r="AW314" s="71"/>
      <c r="AX314" s="71"/>
      <c r="AY314" s="71"/>
      <c r="AZ314" s="71"/>
      <c r="BA314" s="71"/>
    </row>
    <row r="315" spans="8:53" s="39" customFormat="1">
      <c r="H315" s="284"/>
      <c r="J315" s="71"/>
      <c r="K315" s="71"/>
      <c r="L315" s="71"/>
      <c r="N315" s="71"/>
      <c r="O315" s="71"/>
      <c r="P315" s="71"/>
      <c r="Q315" s="71"/>
      <c r="R315" s="71"/>
      <c r="S315" s="71"/>
      <c r="T315" s="151"/>
      <c r="U315" s="147"/>
      <c r="V315" s="147"/>
      <c r="W315" s="147"/>
      <c r="X315" s="147"/>
      <c r="Y315" s="147"/>
      <c r="Z315" s="147"/>
      <c r="AR315" s="71"/>
      <c r="AS315" s="71"/>
      <c r="AT315" s="71"/>
      <c r="AU315" s="71"/>
      <c r="AW315" s="71"/>
      <c r="AX315" s="71"/>
      <c r="AY315" s="71"/>
      <c r="AZ315" s="71"/>
      <c r="BA315" s="71"/>
    </row>
    <row r="316" spans="8:53" s="39" customFormat="1">
      <c r="H316" s="284"/>
      <c r="J316" s="71"/>
      <c r="K316" s="71"/>
      <c r="L316" s="71"/>
      <c r="N316" s="71"/>
      <c r="O316" s="71"/>
      <c r="P316" s="71"/>
      <c r="Q316" s="71"/>
      <c r="R316" s="71"/>
      <c r="S316" s="71"/>
      <c r="T316" s="151"/>
      <c r="U316" s="147"/>
      <c r="V316" s="147"/>
      <c r="W316" s="147"/>
      <c r="X316" s="147"/>
      <c r="Y316" s="147"/>
      <c r="Z316" s="147"/>
      <c r="AR316" s="71"/>
      <c r="AS316" s="71"/>
      <c r="AT316" s="71"/>
      <c r="AU316" s="71"/>
      <c r="AW316" s="71"/>
      <c r="AX316" s="71"/>
      <c r="AY316" s="71"/>
      <c r="AZ316" s="71"/>
      <c r="BA316" s="71"/>
    </row>
    <row r="317" spans="8:53" s="39" customFormat="1">
      <c r="H317" s="284"/>
      <c r="J317" s="71"/>
      <c r="K317" s="71"/>
      <c r="L317" s="71"/>
      <c r="N317" s="71"/>
      <c r="O317" s="71"/>
      <c r="P317" s="71"/>
      <c r="Q317" s="71"/>
      <c r="R317" s="71"/>
      <c r="S317" s="71"/>
      <c r="T317" s="151"/>
      <c r="U317" s="147"/>
      <c r="V317" s="147"/>
      <c r="W317" s="147"/>
      <c r="X317" s="147"/>
      <c r="Y317" s="147"/>
      <c r="Z317" s="147"/>
      <c r="AR317" s="71"/>
      <c r="AS317" s="71"/>
      <c r="AT317" s="71"/>
      <c r="AU317" s="71"/>
      <c r="AW317" s="71"/>
      <c r="AX317" s="71"/>
      <c r="AY317" s="71"/>
      <c r="AZ317" s="71"/>
      <c r="BA317" s="71"/>
    </row>
    <row r="318" spans="8:53" s="39" customFormat="1">
      <c r="H318" s="284"/>
      <c r="J318" s="71"/>
      <c r="K318" s="71"/>
      <c r="L318" s="71"/>
      <c r="N318" s="71"/>
      <c r="O318" s="71"/>
      <c r="P318" s="71"/>
      <c r="Q318" s="71"/>
      <c r="R318" s="71"/>
      <c r="S318" s="71"/>
      <c r="T318" s="151"/>
      <c r="U318" s="147"/>
      <c r="V318" s="147"/>
      <c r="W318" s="147"/>
      <c r="X318" s="147"/>
      <c r="Y318" s="147"/>
      <c r="Z318" s="147"/>
      <c r="AR318" s="71"/>
      <c r="AS318" s="71"/>
      <c r="AT318" s="71"/>
      <c r="AU318" s="71"/>
      <c r="AW318" s="71"/>
      <c r="AX318" s="71"/>
      <c r="AY318" s="71"/>
      <c r="AZ318" s="71"/>
      <c r="BA318" s="71"/>
    </row>
    <row r="319" spans="8:53" s="39" customFormat="1">
      <c r="H319" s="284"/>
      <c r="J319" s="71"/>
      <c r="K319" s="71"/>
      <c r="L319" s="71"/>
      <c r="N319" s="71"/>
      <c r="O319" s="71"/>
      <c r="P319" s="71"/>
      <c r="Q319" s="71"/>
      <c r="R319" s="71"/>
      <c r="S319" s="71"/>
      <c r="T319" s="151"/>
      <c r="U319" s="147"/>
      <c r="V319" s="147"/>
      <c r="W319" s="147"/>
      <c r="X319" s="147"/>
      <c r="Y319" s="147"/>
      <c r="Z319" s="147"/>
      <c r="AR319" s="71"/>
      <c r="AS319" s="71"/>
      <c r="AT319" s="71"/>
      <c r="AU319" s="71"/>
      <c r="AW319" s="71"/>
      <c r="AX319" s="71"/>
      <c r="AY319" s="71"/>
      <c r="AZ319" s="71"/>
      <c r="BA319" s="71"/>
    </row>
    <row r="320" spans="8:53" s="39" customFormat="1">
      <c r="H320" s="284"/>
      <c r="J320" s="71"/>
      <c r="K320" s="71"/>
      <c r="L320" s="71"/>
      <c r="N320" s="71"/>
      <c r="O320" s="71"/>
      <c r="P320" s="71"/>
      <c r="Q320" s="71"/>
      <c r="R320" s="71"/>
      <c r="S320" s="71"/>
      <c r="T320" s="151"/>
      <c r="U320" s="147"/>
      <c r="V320" s="147"/>
      <c r="W320" s="147"/>
      <c r="X320" s="147"/>
      <c r="Y320" s="147"/>
      <c r="Z320" s="147"/>
      <c r="AR320" s="71"/>
      <c r="AS320" s="71"/>
      <c r="AT320" s="71"/>
      <c r="AU320" s="71"/>
      <c r="AW320" s="71"/>
      <c r="AX320" s="71"/>
      <c r="AY320" s="71"/>
      <c r="AZ320" s="71"/>
      <c r="BA320" s="71"/>
    </row>
    <row r="321" spans="8:53" s="39" customFormat="1">
      <c r="H321" s="284"/>
      <c r="J321" s="71"/>
      <c r="K321" s="71"/>
      <c r="L321" s="71"/>
      <c r="N321" s="71"/>
      <c r="O321" s="71"/>
      <c r="P321" s="71"/>
      <c r="Q321" s="71"/>
      <c r="R321" s="71"/>
      <c r="S321" s="71"/>
      <c r="T321" s="151"/>
      <c r="U321" s="147"/>
      <c r="V321" s="147"/>
      <c r="W321" s="147"/>
      <c r="X321" s="147"/>
      <c r="Y321" s="147"/>
      <c r="Z321" s="147"/>
      <c r="AR321" s="71"/>
      <c r="AS321" s="71"/>
      <c r="AT321" s="71"/>
      <c r="AU321" s="71"/>
      <c r="AW321" s="71"/>
      <c r="AX321" s="71"/>
      <c r="AY321" s="71"/>
      <c r="AZ321" s="71"/>
      <c r="BA321" s="71"/>
    </row>
    <row r="322" spans="8:53" s="39" customFormat="1">
      <c r="H322" s="284"/>
      <c r="J322" s="71"/>
      <c r="K322" s="71"/>
      <c r="L322" s="71"/>
      <c r="N322" s="71"/>
      <c r="O322" s="71"/>
      <c r="P322" s="71"/>
      <c r="Q322" s="71"/>
      <c r="R322" s="71"/>
      <c r="S322" s="71"/>
      <c r="T322" s="151"/>
      <c r="U322" s="147"/>
      <c r="V322" s="147"/>
      <c r="W322" s="147"/>
      <c r="X322" s="147"/>
      <c r="Y322" s="147"/>
      <c r="Z322" s="147"/>
      <c r="AR322" s="71"/>
      <c r="AS322" s="71"/>
      <c r="AT322" s="71"/>
      <c r="AU322" s="71"/>
      <c r="AW322" s="71"/>
      <c r="AX322" s="71"/>
      <c r="AY322" s="71"/>
      <c r="AZ322" s="71"/>
      <c r="BA322" s="71"/>
    </row>
    <row r="323" spans="8:53" s="39" customFormat="1">
      <c r="H323" s="284"/>
      <c r="J323" s="71"/>
      <c r="K323" s="71"/>
      <c r="L323" s="71"/>
      <c r="N323" s="71"/>
      <c r="O323" s="71"/>
      <c r="P323" s="71"/>
      <c r="Q323" s="71"/>
      <c r="R323" s="71"/>
      <c r="S323" s="71"/>
      <c r="T323" s="151"/>
      <c r="U323" s="147"/>
      <c r="V323" s="147"/>
      <c r="W323" s="147"/>
      <c r="X323" s="147"/>
      <c r="Y323" s="147"/>
      <c r="Z323" s="147"/>
      <c r="AR323" s="71"/>
      <c r="AS323" s="71"/>
      <c r="AT323" s="71"/>
      <c r="AU323" s="71"/>
      <c r="AW323" s="71"/>
      <c r="AX323" s="71"/>
      <c r="AY323" s="71"/>
      <c r="AZ323" s="71"/>
      <c r="BA323" s="71"/>
    </row>
    <row r="324" spans="8:53" s="39" customFormat="1">
      <c r="H324" s="284"/>
      <c r="J324" s="71"/>
      <c r="K324" s="71"/>
      <c r="L324" s="71"/>
      <c r="N324" s="71"/>
      <c r="O324" s="71"/>
      <c r="P324" s="71"/>
      <c r="Q324" s="71"/>
      <c r="R324" s="71"/>
      <c r="S324" s="71"/>
      <c r="T324" s="151"/>
      <c r="U324" s="147"/>
      <c r="V324" s="147"/>
      <c r="W324" s="147"/>
      <c r="X324" s="147"/>
      <c r="Y324" s="147"/>
      <c r="Z324" s="147"/>
      <c r="AR324" s="71"/>
      <c r="AS324" s="71"/>
      <c r="AT324" s="71"/>
      <c r="AU324" s="71"/>
      <c r="AW324" s="71"/>
      <c r="AX324" s="71"/>
      <c r="AY324" s="71"/>
      <c r="AZ324" s="71"/>
      <c r="BA324" s="71"/>
    </row>
    <row r="325" spans="8:53" s="39" customFormat="1">
      <c r="H325" s="284"/>
      <c r="J325" s="71"/>
      <c r="K325" s="71"/>
      <c r="L325" s="71"/>
      <c r="N325" s="71"/>
      <c r="O325" s="71"/>
      <c r="P325" s="71"/>
      <c r="Q325" s="71"/>
      <c r="R325" s="71"/>
      <c r="S325" s="71"/>
      <c r="T325" s="151"/>
      <c r="U325" s="147"/>
      <c r="V325" s="147"/>
      <c r="W325" s="147"/>
      <c r="X325" s="147"/>
      <c r="Y325" s="147"/>
      <c r="Z325" s="147"/>
      <c r="AR325" s="71"/>
      <c r="AS325" s="71"/>
      <c r="AT325" s="71"/>
      <c r="AU325" s="71"/>
      <c r="AW325" s="71"/>
      <c r="AX325" s="71"/>
      <c r="AY325" s="71"/>
      <c r="AZ325" s="71"/>
      <c r="BA325" s="71"/>
    </row>
    <row r="326" spans="8:53" s="39" customFormat="1">
      <c r="H326" s="284"/>
      <c r="J326" s="71"/>
      <c r="K326" s="71"/>
      <c r="L326" s="71"/>
      <c r="N326" s="71"/>
      <c r="O326" s="71"/>
      <c r="P326" s="71"/>
      <c r="Q326" s="71"/>
      <c r="R326" s="71"/>
      <c r="S326" s="71"/>
      <c r="T326" s="151"/>
      <c r="U326" s="147"/>
      <c r="V326" s="147"/>
      <c r="W326" s="147"/>
      <c r="X326" s="147"/>
      <c r="Y326" s="147"/>
      <c r="Z326" s="147"/>
      <c r="AR326" s="71"/>
      <c r="AS326" s="71"/>
      <c r="AT326" s="71"/>
      <c r="AU326" s="71"/>
      <c r="AW326" s="71"/>
      <c r="AX326" s="71"/>
      <c r="AY326" s="71"/>
      <c r="AZ326" s="71"/>
      <c r="BA326" s="71"/>
    </row>
    <row r="327" spans="8:53" s="39" customFormat="1">
      <c r="H327" s="284"/>
      <c r="J327" s="71"/>
      <c r="K327" s="71"/>
      <c r="L327" s="71"/>
      <c r="N327" s="71"/>
      <c r="O327" s="71"/>
      <c r="P327" s="71"/>
      <c r="Q327" s="71"/>
      <c r="R327" s="71"/>
      <c r="S327" s="71"/>
      <c r="T327" s="151"/>
      <c r="U327" s="147"/>
      <c r="V327" s="147"/>
      <c r="W327" s="147"/>
      <c r="X327" s="147"/>
      <c r="Y327" s="147"/>
      <c r="Z327" s="147"/>
      <c r="AR327" s="71"/>
      <c r="AS327" s="71"/>
      <c r="AT327" s="71"/>
      <c r="AU327" s="71"/>
      <c r="AW327" s="71"/>
      <c r="AX327" s="71"/>
      <c r="AY327" s="71"/>
      <c r="AZ327" s="71"/>
      <c r="BA327" s="71"/>
    </row>
    <row r="328" spans="8:53" s="39" customFormat="1">
      <c r="H328" s="284"/>
      <c r="J328" s="71"/>
      <c r="K328" s="71"/>
      <c r="L328" s="71"/>
      <c r="N328" s="71"/>
      <c r="O328" s="71"/>
      <c r="P328" s="71"/>
      <c r="Q328" s="71"/>
      <c r="R328" s="71"/>
      <c r="S328" s="71"/>
      <c r="T328" s="151"/>
      <c r="U328" s="147"/>
      <c r="V328" s="147"/>
      <c r="W328" s="147"/>
      <c r="X328" s="147"/>
      <c r="Y328" s="147"/>
      <c r="Z328" s="147"/>
      <c r="AR328" s="71"/>
      <c r="AS328" s="71"/>
      <c r="AT328" s="71"/>
      <c r="AU328" s="71"/>
      <c r="AW328" s="71"/>
      <c r="AX328" s="71"/>
      <c r="AY328" s="71"/>
      <c r="AZ328" s="71"/>
      <c r="BA328" s="71"/>
    </row>
    <row r="329" spans="8:53" s="39" customFormat="1">
      <c r="H329" s="284"/>
      <c r="J329" s="71"/>
      <c r="K329" s="71"/>
      <c r="L329" s="71"/>
      <c r="N329" s="71"/>
      <c r="O329" s="71"/>
      <c r="P329" s="71"/>
      <c r="Q329" s="71"/>
      <c r="R329" s="71"/>
      <c r="S329" s="71"/>
      <c r="T329" s="151"/>
      <c r="U329" s="147"/>
      <c r="V329" s="147"/>
      <c r="W329" s="147"/>
      <c r="X329" s="147"/>
      <c r="Y329" s="147"/>
      <c r="Z329" s="147"/>
      <c r="AR329" s="71"/>
      <c r="AS329" s="71"/>
      <c r="AT329" s="71"/>
      <c r="AU329" s="71"/>
      <c r="AW329" s="71"/>
      <c r="AX329" s="71"/>
      <c r="AY329" s="71"/>
      <c r="AZ329" s="71"/>
      <c r="BA329" s="71"/>
    </row>
    <row r="330" spans="8:53" s="39" customFormat="1">
      <c r="H330" s="284"/>
      <c r="J330" s="71"/>
      <c r="K330" s="71"/>
      <c r="L330" s="71"/>
      <c r="N330" s="71"/>
      <c r="O330" s="71"/>
      <c r="P330" s="71"/>
      <c r="Q330" s="71"/>
      <c r="R330" s="71"/>
      <c r="S330" s="71"/>
      <c r="T330" s="151"/>
      <c r="U330" s="147"/>
      <c r="V330" s="147"/>
      <c r="W330" s="147"/>
      <c r="X330" s="147"/>
      <c r="Y330" s="147"/>
      <c r="Z330" s="147"/>
      <c r="AR330" s="71"/>
      <c r="AS330" s="71"/>
      <c r="AT330" s="71"/>
      <c r="AU330" s="71"/>
      <c r="AW330" s="71"/>
      <c r="AX330" s="71"/>
      <c r="AY330" s="71"/>
      <c r="AZ330" s="71"/>
      <c r="BA330" s="71"/>
    </row>
    <row r="331" spans="8:53" s="39" customFormat="1">
      <c r="H331" s="284"/>
      <c r="J331" s="71"/>
      <c r="K331" s="71"/>
      <c r="L331" s="71"/>
      <c r="N331" s="71"/>
      <c r="O331" s="71"/>
      <c r="P331" s="71"/>
      <c r="Q331" s="71"/>
      <c r="R331" s="71"/>
      <c r="S331" s="71"/>
      <c r="T331" s="151"/>
      <c r="U331" s="147"/>
      <c r="V331" s="147"/>
      <c r="W331" s="147"/>
      <c r="X331" s="147"/>
      <c r="Y331" s="147"/>
      <c r="Z331" s="147"/>
      <c r="AR331" s="71"/>
      <c r="AS331" s="71"/>
      <c r="AT331" s="71"/>
      <c r="AU331" s="71"/>
      <c r="AW331" s="71"/>
      <c r="AX331" s="71"/>
      <c r="AY331" s="71"/>
      <c r="AZ331" s="71"/>
      <c r="BA331" s="71"/>
    </row>
    <row r="332" spans="8:53" s="39" customFormat="1">
      <c r="H332" s="284"/>
      <c r="J332" s="71"/>
      <c r="K332" s="71"/>
      <c r="L332" s="71"/>
      <c r="N332" s="71"/>
      <c r="O332" s="71"/>
      <c r="P332" s="71"/>
      <c r="Q332" s="71"/>
      <c r="R332" s="71"/>
      <c r="S332" s="71"/>
      <c r="T332" s="151"/>
      <c r="U332" s="147"/>
      <c r="V332" s="147"/>
      <c r="W332" s="147"/>
      <c r="X332" s="147"/>
      <c r="Y332" s="147"/>
      <c r="Z332" s="147"/>
      <c r="AR332" s="71"/>
      <c r="AS332" s="71"/>
      <c r="AT332" s="71"/>
      <c r="AU332" s="71"/>
      <c r="AW332" s="71"/>
      <c r="AX332" s="71"/>
      <c r="AY332" s="71"/>
      <c r="AZ332" s="71"/>
      <c r="BA332" s="71"/>
    </row>
    <row r="333" spans="8:53" s="39" customFormat="1">
      <c r="H333" s="284"/>
      <c r="J333" s="71"/>
      <c r="K333" s="71"/>
      <c r="L333" s="71"/>
      <c r="N333" s="71"/>
      <c r="O333" s="71"/>
      <c r="P333" s="71"/>
      <c r="Q333" s="71"/>
      <c r="R333" s="71"/>
      <c r="S333" s="71"/>
      <c r="T333" s="151"/>
      <c r="U333" s="147"/>
      <c r="V333" s="147"/>
      <c r="W333" s="147"/>
      <c r="X333" s="147"/>
      <c r="Y333" s="147"/>
      <c r="Z333" s="147"/>
      <c r="AR333" s="71"/>
      <c r="AS333" s="71"/>
      <c r="AT333" s="71"/>
      <c r="AU333" s="71"/>
      <c r="AW333" s="71"/>
      <c r="AX333" s="71"/>
      <c r="AY333" s="71"/>
      <c r="AZ333" s="71"/>
      <c r="BA333" s="71"/>
    </row>
    <row r="334" spans="8:53" s="39" customFormat="1">
      <c r="H334" s="284"/>
      <c r="J334" s="71"/>
      <c r="K334" s="71"/>
      <c r="L334" s="71"/>
      <c r="N334" s="71"/>
      <c r="O334" s="71"/>
      <c r="P334" s="71"/>
      <c r="Q334" s="71"/>
      <c r="R334" s="71"/>
      <c r="S334" s="71"/>
      <c r="T334" s="151"/>
      <c r="U334" s="147"/>
      <c r="V334" s="147"/>
      <c r="W334" s="147"/>
      <c r="X334" s="147"/>
      <c r="Y334" s="147"/>
      <c r="Z334" s="147"/>
      <c r="AR334" s="71"/>
      <c r="AS334" s="71"/>
      <c r="AT334" s="71"/>
      <c r="AU334" s="71"/>
      <c r="AW334" s="71"/>
      <c r="AX334" s="71"/>
      <c r="AY334" s="71"/>
      <c r="AZ334" s="71"/>
      <c r="BA334" s="71"/>
    </row>
    <row r="335" spans="8:53" s="39" customFormat="1">
      <c r="H335" s="284"/>
      <c r="J335" s="71"/>
      <c r="K335" s="71"/>
      <c r="L335" s="71"/>
      <c r="N335" s="71"/>
      <c r="O335" s="71"/>
      <c r="P335" s="71"/>
      <c r="Q335" s="71"/>
      <c r="R335" s="71"/>
      <c r="S335" s="71"/>
      <c r="T335" s="151"/>
      <c r="U335" s="147"/>
      <c r="V335" s="147"/>
      <c r="W335" s="147"/>
      <c r="X335" s="147"/>
      <c r="Y335" s="147"/>
      <c r="Z335" s="147"/>
      <c r="AR335" s="71"/>
      <c r="AS335" s="71"/>
      <c r="AT335" s="71"/>
      <c r="AU335" s="71"/>
      <c r="AW335" s="71"/>
      <c r="AX335" s="71"/>
      <c r="AY335" s="71"/>
      <c r="AZ335" s="71"/>
      <c r="BA335" s="71"/>
    </row>
    <row r="336" spans="8:53" s="39" customFormat="1">
      <c r="H336" s="284"/>
      <c r="J336" s="71"/>
      <c r="K336" s="71"/>
      <c r="L336" s="71"/>
      <c r="N336" s="71"/>
      <c r="O336" s="71"/>
      <c r="P336" s="71"/>
      <c r="Q336" s="71"/>
      <c r="R336" s="71"/>
      <c r="S336" s="71"/>
      <c r="T336" s="151"/>
      <c r="U336" s="147"/>
      <c r="V336" s="147"/>
      <c r="W336" s="147"/>
      <c r="X336" s="147"/>
      <c r="Y336" s="147"/>
      <c r="Z336" s="147"/>
      <c r="AR336" s="71"/>
      <c r="AS336" s="71"/>
      <c r="AT336" s="71"/>
      <c r="AU336" s="71"/>
      <c r="AW336" s="71"/>
      <c r="AX336" s="71"/>
      <c r="AY336" s="71"/>
      <c r="AZ336" s="71"/>
      <c r="BA336" s="71"/>
    </row>
    <row r="337" spans="1:53" s="39" customFormat="1">
      <c r="H337" s="284"/>
      <c r="J337" s="71"/>
      <c r="K337" s="71"/>
      <c r="L337" s="71"/>
      <c r="N337" s="71"/>
      <c r="O337" s="71"/>
      <c r="P337" s="71"/>
      <c r="Q337" s="71"/>
      <c r="R337" s="71"/>
      <c r="S337" s="71"/>
      <c r="T337" s="151"/>
      <c r="U337" s="147"/>
      <c r="V337" s="147"/>
      <c r="W337" s="147"/>
      <c r="X337" s="147"/>
      <c r="Y337" s="147"/>
      <c r="Z337" s="147"/>
      <c r="AR337" s="71"/>
      <c r="AS337" s="71"/>
      <c r="AT337" s="71"/>
      <c r="AU337" s="71"/>
      <c r="AW337" s="71"/>
      <c r="AX337" s="71"/>
      <c r="AY337" s="71"/>
      <c r="AZ337" s="71"/>
      <c r="BA337" s="71"/>
    </row>
    <row r="338" spans="1:53" s="39" customFormat="1">
      <c r="H338" s="284"/>
      <c r="J338" s="71"/>
      <c r="K338" s="71"/>
      <c r="L338" s="71"/>
      <c r="N338" s="71"/>
      <c r="O338" s="71"/>
      <c r="P338" s="71"/>
      <c r="Q338" s="71"/>
      <c r="R338" s="71"/>
      <c r="S338" s="71"/>
      <c r="T338" s="151"/>
      <c r="U338" s="147"/>
      <c r="V338" s="147"/>
      <c r="W338" s="147"/>
      <c r="X338" s="147"/>
      <c r="Y338" s="147"/>
      <c r="Z338" s="147"/>
      <c r="AR338" s="71"/>
      <c r="AS338" s="71"/>
      <c r="AT338" s="71"/>
      <c r="AU338" s="71"/>
      <c r="AW338" s="71"/>
      <c r="AX338" s="71"/>
      <c r="AY338" s="71"/>
      <c r="AZ338" s="71"/>
      <c r="BA338" s="71"/>
    </row>
    <row r="339" spans="1:53" s="39" customFormat="1">
      <c r="H339" s="284"/>
      <c r="J339" s="71"/>
      <c r="K339" s="71"/>
      <c r="L339" s="71"/>
      <c r="N339" s="71"/>
      <c r="O339" s="71"/>
      <c r="P339" s="71"/>
      <c r="Q339" s="71"/>
      <c r="R339" s="71"/>
      <c r="S339" s="71"/>
      <c r="T339" s="151"/>
      <c r="U339" s="147"/>
      <c r="V339" s="147"/>
      <c r="W339" s="147"/>
      <c r="X339" s="147"/>
      <c r="Y339" s="147"/>
      <c r="Z339" s="147"/>
      <c r="AR339" s="71"/>
      <c r="AS339" s="71"/>
      <c r="AT339" s="71"/>
      <c r="AU339" s="71"/>
      <c r="AW339" s="71"/>
      <c r="AX339" s="71"/>
      <c r="AY339" s="71"/>
      <c r="AZ339" s="71"/>
      <c r="BA339" s="71"/>
    </row>
    <row r="340" spans="1:53" s="39" customFormat="1">
      <c r="H340" s="284"/>
      <c r="J340" s="71"/>
      <c r="K340" s="71"/>
      <c r="L340" s="71"/>
      <c r="N340" s="71"/>
      <c r="O340" s="71"/>
      <c r="P340" s="71"/>
      <c r="Q340" s="71"/>
      <c r="R340" s="71"/>
      <c r="S340" s="71"/>
      <c r="T340" s="151"/>
      <c r="U340" s="147"/>
      <c r="V340" s="147"/>
      <c r="W340" s="147"/>
      <c r="X340" s="147"/>
      <c r="Y340" s="147"/>
      <c r="Z340" s="147"/>
      <c r="AR340" s="71"/>
      <c r="AS340" s="71"/>
      <c r="AT340" s="71"/>
      <c r="AU340" s="71"/>
      <c r="AW340" s="71"/>
      <c r="AX340" s="71"/>
      <c r="AY340" s="71"/>
      <c r="AZ340" s="71"/>
      <c r="BA340" s="71"/>
    </row>
    <row r="341" spans="1:53" s="39" customFormat="1">
      <c r="H341" s="284"/>
      <c r="J341" s="71"/>
      <c r="K341" s="71"/>
      <c r="L341" s="71"/>
      <c r="N341" s="71"/>
      <c r="O341" s="71"/>
      <c r="P341" s="71"/>
      <c r="Q341" s="71"/>
      <c r="R341" s="71"/>
      <c r="S341" s="71"/>
      <c r="T341" s="151"/>
      <c r="U341" s="147"/>
      <c r="V341" s="147"/>
      <c r="W341" s="147"/>
      <c r="X341" s="147"/>
      <c r="Y341" s="147"/>
      <c r="Z341" s="147"/>
      <c r="AR341" s="71"/>
      <c r="AS341" s="71"/>
      <c r="AT341" s="71"/>
      <c r="AU341" s="71"/>
      <c r="AW341" s="71"/>
      <c r="AX341" s="71"/>
      <c r="AY341" s="71"/>
      <c r="AZ341" s="71"/>
      <c r="BA341" s="71"/>
    </row>
    <row r="342" spans="1:53" s="39" customFormat="1">
      <c r="H342" s="284"/>
      <c r="J342" s="71"/>
      <c r="K342" s="71"/>
      <c r="L342" s="71"/>
      <c r="N342" s="71"/>
      <c r="O342" s="71"/>
      <c r="P342" s="71"/>
      <c r="Q342" s="71"/>
      <c r="R342" s="71"/>
      <c r="S342" s="71"/>
      <c r="T342" s="151"/>
      <c r="U342" s="147"/>
      <c r="V342" s="147"/>
      <c r="W342" s="147"/>
      <c r="X342" s="147"/>
      <c r="Y342" s="147"/>
      <c r="Z342" s="147"/>
      <c r="AR342" s="71"/>
      <c r="AS342" s="71"/>
      <c r="AT342" s="71"/>
      <c r="AU342" s="71"/>
      <c r="AW342" s="71"/>
      <c r="AX342" s="71"/>
      <c r="AY342" s="71"/>
      <c r="AZ342" s="71"/>
      <c r="BA342" s="71"/>
    </row>
    <row r="343" spans="1:53" s="39" customFormat="1">
      <c r="H343" s="284"/>
      <c r="J343" s="71"/>
      <c r="K343" s="71"/>
      <c r="L343" s="71"/>
      <c r="N343" s="71"/>
      <c r="O343" s="71"/>
      <c r="P343" s="71"/>
      <c r="Q343" s="71"/>
      <c r="R343" s="71"/>
      <c r="S343" s="71"/>
      <c r="T343" s="151"/>
      <c r="U343" s="147"/>
      <c r="V343" s="147"/>
      <c r="W343" s="147"/>
      <c r="X343" s="147"/>
      <c r="Y343" s="147"/>
      <c r="Z343" s="147"/>
      <c r="AR343" s="71"/>
      <c r="AS343" s="71"/>
      <c r="AT343" s="71"/>
      <c r="AU343" s="71"/>
      <c r="AW343" s="71"/>
      <c r="AX343" s="71"/>
      <c r="AY343" s="71"/>
      <c r="AZ343" s="71"/>
      <c r="BA343" s="71"/>
    </row>
    <row r="344" spans="1:53" s="39" customFormat="1">
      <c r="H344" s="284"/>
      <c r="J344" s="71"/>
      <c r="K344" s="71"/>
      <c r="L344" s="71"/>
      <c r="N344" s="71"/>
      <c r="O344" s="71"/>
      <c r="P344" s="71"/>
      <c r="Q344" s="71"/>
      <c r="R344" s="71"/>
      <c r="S344" s="71"/>
      <c r="T344" s="151"/>
      <c r="U344" s="147"/>
      <c r="V344" s="147"/>
      <c r="W344" s="147"/>
      <c r="X344" s="147"/>
      <c r="Y344" s="147"/>
      <c r="Z344" s="147"/>
      <c r="AR344" s="71"/>
      <c r="AS344" s="71"/>
      <c r="AT344" s="71"/>
      <c r="AU344" s="71"/>
      <c r="AW344" s="71"/>
      <c r="AX344" s="71"/>
      <c r="AY344" s="71"/>
      <c r="AZ344" s="71"/>
      <c r="BA344" s="71"/>
    </row>
    <row r="345" spans="1:53" s="39" customFormat="1">
      <c r="H345" s="284"/>
      <c r="J345" s="71"/>
      <c r="K345" s="71"/>
      <c r="L345" s="71"/>
      <c r="N345" s="71"/>
      <c r="O345" s="71"/>
      <c r="P345" s="71"/>
      <c r="Q345" s="71"/>
      <c r="R345" s="71"/>
      <c r="S345" s="71"/>
      <c r="T345" s="151"/>
      <c r="U345" s="147"/>
      <c r="V345" s="147"/>
      <c r="W345" s="147"/>
      <c r="X345" s="147"/>
      <c r="Y345" s="147"/>
      <c r="Z345" s="147"/>
      <c r="AR345" s="71"/>
      <c r="AS345" s="71"/>
      <c r="AT345" s="71"/>
      <c r="AU345" s="71"/>
      <c r="AW345" s="71"/>
      <c r="AX345" s="71"/>
      <c r="AY345" s="71"/>
      <c r="AZ345" s="71"/>
      <c r="BA345" s="71"/>
    </row>
    <row r="346" spans="1:53" s="39" customFormat="1">
      <c r="H346" s="284"/>
      <c r="J346" s="71"/>
      <c r="K346" s="71"/>
      <c r="L346" s="71"/>
      <c r="N346" s="71"/>
      <c r="O346" s="71"/>
      <c r="P346" s="71"/>
      <c r="Q346" s="71"/>
      <c r="R346" s="71"/>
      <c r="S346" s="71"/>
      <c r="T346" s="151"/>
      <c r="U346" s="147"/>
      <c r="V346" s="147"/>
      <c r="W346" s="147"/>
      <c r="X346" s="147"/>
      <c r="Y346" s="147"/>
      <c r="Z346" s="147"/>
      <c r="AR346" s="71"/>
      <c r="AS346" s="71"/>
      <c r="AT346" s="71"/>
      <c r="AU346" s="71"/>
      <c r="AW346" s="71"/>
      <c r="AX346" s="71"/>
      <c r="AY346" s="71"/>
      <c r="AZ346" s="71"/>
      <c r="BA346" s="71"/>
    </row>
    <row r="347" spans="1:53" s="39" customFormat="1">
      <c r="H347" s="284"/>
      <c r="J347" s="71"/>
      <c r="K347" s="71"/>
      <c r="L347" s="71"/>
      <c r="N347" s="71"/>
      <c r="O347" s="71"/>
      <c r="P347" s="71"/>
      <c r="Q347" s="71"/>
      <c r="R347" s="71"/>
      <c r="S347" s="71"/>
      <c r="T347" s="151"/>
      <c r="U347" s="147"/>
      <c r="V347" s="147"/>
      <c r="W347" s="147"/>
      <c r="X347" s="147"/>
      <c r="Y347" s="147"/>
      <c r="Z347" s="147"/>
      <c r="AR347" s="71"/>
      <c r="AS347" s="71"/>
      <c r="AT347" s="71"/>
      <c r="AU347" s="71"/>
      <c r="AW347" s="71"/>
      <c r="AX347" s="71"/>
      <c r="AY347" s="71"/>
      <c r="AZ347" s="71"/>
      <c r="BA347" s="71"/>
    </row>
    <row r="348" spans="1:53">
      <c r="A348" s="39"/>
      <c r="B348" s="39"/>
      <c r="C348" s="39"/>
      <c r="D348" s="39"/>
      <c r="E348" s="39"/>
      <c r="F348" s="39"/>
      <c r="G348" s="39"/>
      <c r="H348" s="284"/>
      <c r="I348" s="39"/>
      <c r="J348" s="71"/>
      <c r="K348" s="71"/>
      <c r="L348" s="71"/>
      <c r="M348" s="39"/>
      <c r="N348" s="71"/>
      <c r="O348" s="71"/>
      <c r="P348" s="71"/>
      <c r="Q348" s="71"/>
      <c r="R348" s="71"/>
      <c r="S348" s="71"/>
      <c r="AK348" s="39"/>
      <c r="AL348" s="39"/>
      <c r="AM348" s="39"/>
      <c r="AN348" s="39"/>
      <c r="AO348" s="39"/>
      <c r="AP348" s="39"/>
      <c r="AQ348" s="39"/>
      <c r="AR348" s="71"/>
      <c r="AS348" s="71"/>
      <c r="AT348" s="71"/>
      <c r="AU348" s="71"/>
      <c r="AV348" s="39"/>
      <c r="AW348" s="71"/>
      <c r="AX348" s="71"/>
      <c r="AY348" s="71"/>
      <c r="AZ348" s="71"/>
    </row>
    <row r="349" spans="1:53">
      <c r="A349" s="39"/>
      <c r="B349" s="39"/>
      <c r="C349" s="39"/>
      <c r="D349" s="39"/>
      <c r="E349" s="39"/>
      <c r="F349" s="39"/>
      <c r="G349" s="39"/>
      <c r="H349" s="284"/>
      <c r="I349" s="39"/>
      <c r="J349" s="71"/>
      <c r="K349" s="71"/>
      <c r="L349" s="71"/>
      <c r="M349" s="39"/>
      <c r="N349" s="71"/>
      <c r="O349" s="71"/>
      <c r="P349" s="71"/>
      <c r="Q349" s="71"/>
      <c r="R349" s="71"/>
      <c r="S349" s="71"/>
      <c r="AR349" s="71"/>
      <c r="AS349" s="71"/>
      <c r="AT349" s="71"/>
      <c r="AU349" s="71"/>
      <c r="AV349" s="39"/>
      <c r="AW349" s="71"/>
      <c r="AX349" s="71"/>
      <c r="AY349" s="71"/>
    </row>
    <row r="350" spans="1:53">
      <c r="A350" s="39"/>
      <c r="B350" s="39"/>
      <c r="C350" s="39"/>
      <c r="D350" s="39"/>
      <c r="E350" s="39"/>
      <c r="F350" s="39"/>
      <c r="G350" s="39"/>
      <c r="H350" s="284"/>
      <c r="I350" s="39"/>
      <c r="J350" s="71"/>
      <c r="K350" s="71"/>
      <c r="L350" s="71"/>
      <c r="M350" s="39"/>
      <c r="N350" s="71"/>
      <c r="O350" s="71"/>
      <c r="P350" s="71"/>
      <c r="Q350" s="71"/>
      <c r="R350" s="71"/>
      <c r="S350" s="71"/>
      <c r="AS350" s="71"/>
      <c r="AT350" s="71"/>
      <c r="AU350" s="71"/>
      <c r="AV350" s="39"/>
    </row>
    <row r="351" spans="1:53">
      <c r="A351" s="39"/>
      <c r="B351" s="39"/>
      <c r="C351" s="39"/>
      <c r="D351" s="39"/>
      <c r="E351" s="39"/>
      <c r="F351" s="39"/>
      <c r="G351" s="39"/>
      <c r="H351" s="284"/>
      <c r="I351" s="39"/>
      <c r="J351" s="71"/>
      <c r="K351" s="71"/>
      <c r="L351" s="71"/>
      <c r="M351" s="39"/>
      <c r="N351" s="71"/>
      <c r="O351" s="71"/>
      <c r="P351" s="71"/>
      <c r="Q351" s="71"/>
      <c r="R351" s="71"/>
      <c r="S351" s="71"/>
    </row>
    <row r="352" spans="1:53">
      <c r="A352" s="39"/>
      <c r="B352" s="39"/>
      <c r="C352" s="39"/>
      <c r="D352" s="39"/>
      <c r="E352" s="39"/>
      <c r="F352" s="39"/>
      <c r="G352" s="39"/>
      <c r="H352" s="284"/>
      <c r="I352" s="39"/>
      <c r="J352" s="71"/>
      <c r="K352" s="71"/>
      <c r="L352" s="71"/>
      <c r="M352" s="39"/>
      <c r="N352" s="71"/>
      <c r="O352" s="71"/>
      <c r="P352" s="71"/>
      <c r="Q352" s="71"/>
      <c r="R352" s="71"/>
      <c r="S352" s="71"/>
    </row>
    <row r="353" spans="8:19">
      <c r="H353" s="284"/>
      <c r="I353" s="39"/>
      <c r="J353" s="71"/>
      <c r="K353" s="71"/>
      <c r="L353" s="71"/>
      <c r="M353" s="39"/>
      <c r="N353" s="71"/>
      <c r="O353" s="71"/>
      <c r="P353" s="71"/>
      <c r="Q353" s="71"/>
      <c r="R353" s="71"/>
      <c r="S353" s="71"/>
    </row>
    <row r="354" spans="8:19">
      <c r="H354" s="284"/>
      <c r="I354" s="39"/>
      <c r="J354" s="71"/>
      <c r="K354" s="71"/>
      <c r="L354" s="71"/>
      <c r="M354" s="39"/>
      <c r="N354" s="71"/>
      <c r="O354" s="71"/>
      <c r="P354" s="71"/>
      <c r="Q354" s="71"/>
      <c r="R354" s="71"/>
      <c r="S354" s="71"/>
    </row>
    <row r="355" spans="8:19">
      <c r="H355" s="284"/>
      <c r="I355" s="39"/>
      <c r="J355" s="71"/>
      <c r="K355" s="71"/>
      <c r="L355" s="71"/>
      <c r="M355" s="39"/>
      <c r="N355" s="71"/>
      <c r="O355" s="71"/>
      <c r="P355" s="71"/>
      <c r="Q355" s="71"/>
      <c r="R355" s="71"/>
      <c r="S355" s="71"/>
    </row>
    <row r="356" spans="8:19">
      <c r="H356" s="284"/>
      <c r="I356" s="39"/>
      <c r="J356" s="71"/>
      <c r="K356" s="71"/>
      <c r="L356" s="71"/>
      <c r="M356" s="39"/>
      <c r="N356" s="71"/>
      <c r="O356" s="71"/>
      <c r="P356" s="71"/>
      <c r="Q356" s="71"/>
      <c r="R356" s="71"/>
      <c r="S356" s="71"/>
    </row>
    <row r="357" spans="8:19">
      <c r="H357" s="284"/>
      <c r="I357" s="39"/>
      <c r="J357" s="71"/>
      <c r="K357" s="71"/>
      <c r="L357" s="71"/>
      <c r="M357" s="39"/>
      <c r="N357" s="71"/>
      <c r="O357" s="71"/>
      <c r="P357" s="71"/>
      <c r="Q357" s="71"/>
      <c r="R357" s="71"/>
      <c r="S357" s="71"/>
    </row>
    <row r="358" spans="8:19">
      <c r="H358" s="284"/>
      <c r="I358" s="39"/>
      <c r="J358" s="71"/>
      <c r="K358" s="71"/>
      <c r="L358" s="71"/>
      <c r="M358" s="39"/>
      <c r="N358" s="71"/>
      <c r="O358" s="71"/>
      <c r="P358" s="71"/>
      <c r="Q358" s="71"/>
      <c r="R358" s="71"/>
      <c r="S358" s="71"/>
    </row>
    <row r="359" spans="8:19">
      <c r="H359" s="284"/>
      <c r="I359" s="39"/>
      <c r="J359" s="71"/>
      <c r="K359" s="71"/>
      <c r="L359" s="71"/>
      <c r="M359" s="39"/>
      <c r="N359" s="71"/>
      <c r="O359" s="71"/>
      <c r="P359" s="71"/>
      <c r="Q359" s="71"/>
      <c r="R359" s="71"/>
      <c r="S359" s="71"/>
    </row>
    <row r="360" spans="8:19">
      <c r="H360" s="284"/>
      <c r="I360" s="39"/>
      <c r="J360" s="71"/>
      <c r="K360" s="71"/>
      <c r="L360" s="71"/>
      <c r="M360" s="39"/>
      <c r="N360" s="71"/>
      <c r="O360" s="71"/>
      <c r="P360" s="71"/>
      <c r="Q360" s="71"/>
      <c r="R360" s="71"/>
      <c r="S360" s="71"/>
    </row>
    <row r="361" spans="8:19">
      <c r="H361" s="284"/>
      <c r="I361" s="39"/>
      <c r="J361" s="71"/>
      <c r="K361" s="71"/>
      <c r="L361" s="71"/>
      <c r="M361" s="39"/>
      <c r="N361" s="71"/>
      <c r="O361" s="71"/>
      <c r="P361" s="71"/>
      <c r="Q361" s="71"/>
      <c r="R361" s="71"/>
      <c r="S361" s="71"/>
    </row>
    <row r="362" spans="8:19">
      <c r="H362" s="284"/>
      <c r="I362" s="39"/>
      <c r="J362" s="71"/>
      <c r="K362" s="71"/>
      <c r="L362" s="71"/>
      <c r="M362" s="39"/>
      <c r="N362" s="71"/>
      <c r="O362" s="71"/>
      <c r="P362" s="71"/>
      <c r="Q362" s="71"/>
      <c r="R362" s="71"/>
      <c r="S362" s="71"/>
    </row>
    <row r="363" spans="8:19">
      <c r="H363" s="284"/>
      <c r="I363" s="39"/>
      <c r="J363" s="71"/>
      <c r="K363" s="71"/>
      <c r="L363" s="71"/>
      <c r="M363" s="39"/>
      <c r="N363" s="71"/>
      <c r="O363" s="71"/>
      <c r="P363" s="71"/>
      <c r="Q363" s="71"/>
      <c r="R363" s="71"/>
      <c r="S363" s="71"/>
    </row>
    <row r="364" spans="8:19">
      <c r="H364" s="284"/>
      <c r="I364" s="39"/>
      <c r="J364" s="71"/>
      <c r="K364" s="71"/>
      <c r="L364" s="71"/>
      <c r="M364" s="39"/>
      <c r="N364" s="71"/>
      <c r="O364" s="71"/>
      <c r="P364" s="71"/>
      <c r="Q364" s="71"/>
      <c r="R364" s="71"/>
      <c r="S364" s="71"/>
    </row>
    <row r="365" spans="8:19">
      <c r="H365" s="284"/>
      <c r="I365" s="39"/>
      <c r="J365" s="71"/>
      <c r="K365" s="71"/>
      <c r="L365" s="71"/>
      <c r="M365" s="39"/>
      <c r="N365" s="71"/>
      <c r="O365" s="71"/>
      <c r="P365" s="71"/>
      <c r="Q365" s="71"/>
      <c r="R365" s="71"/>
      <c r="S365" s="71"/>
    </row>
    <row r="366" spans="8:19">
      <c r="H366" s="284"/>
      <c r="I366" s="39"/>
      <c r="J366" s="71"/>
      <c r="K366" s="71"/>
      <c r="L366" s="71"/>
      <c r="M366" s="39"/>
      <c r="N366" s="71"/>
      <c r="O366" s="71"/>
      <c r="P366" s="71"/>
      <c r="Q366" s="71"/>
      <c r="R366" s="71"/>
      <c r="S366" s="71"/>
    </row>
    <row r="367" spans="8:19">
      <c r="H367" s="284"/>
      <c r="I367" s="39"/>
      <c r="J367" s="71"/>
      <c r="K367" s="71"/>
      <c r="L367" s="71"/>
      <c r="M367" s="39"/>
      <c r="N367" s="71"/>
      <c r="O367" s="71"/>
      <c r="P367" s="71"/>
      <c r="Q367" s="71"/>
      <c r="R367" s="71"/>
      <c r="S367" s="71"/>
    </row>
    <row r="368" spans="8:19">
      <c r="H368" s="284"/>
      <c r="I368" s="39"/>
      <c r="J368" s="71"/>
      <c r="K368" s="71"/>
      <c r="L368" s="71"/>
      <c r="M368" s="39"/>
      <c r="N368" s="71"/>
      <c r="O368" s="71"/>
      <c r="P368" s="71"/>
      <c r="Q368" s="71"/>
      <c r="R368" s="71"/>
      <c r="S368" s="71"/>
    </row>
    <row r="369" spans="8:19">
      <c r="H369" s="284"/>
      <c r="I369" s="39"/>
      <c r="J369" s="71"/>
      <c r="K369" s="71"/>
      <c r="L369" s="71"/>
      <c r="M369" s="39"/>
      <c r="N369" s="71"/>
      <c r="O369" s="71"/>
      <c r="P369" s="71"/>
      <c r="Q369" s="71"/>
      <c r="R369" s="71"/>
      <c r="S369" s="71"/>
    </row>
    <row r="370" spans="8:19">
      <c r="H370" s="284"/>
      <c r="I370" s="39"/>
      <c r="J370" s="71"/>
      <c r="K370" s="71"/>
      <c r="L370" s="71"/>
      <c r="M370" s="39"/>
      <c r="N370" s="71"/>
      <c r="O370" s="71"/>
      <c r="P370" s="71"/>
      <c r="Q370" s="71"/>
      <c r="R370" s="71"/>
      <c r="S370" s="71"/>
    </row>
    <row r="371" spans="8:19">
      <c r="H371" s="284"/>
      <c r="I371" s="39"/>
      <c r="J371" s="71"/>
      <c r="K371" s="71"/>
      <c r="L371" s="71"/>
      <c r="M371" s="39"/>
      <c r="N371" s="71"/>
      <c r="O371" s="71"/>
      <c r="P371" s="71"/>
      <c r="Q371" s="71"/>
      <c r="R371" s="71"/>
      <c r="S371" s="71"/>
    </row>
    <row r="372" spans="8:19">
      <c r="H372" s="284"/>
      <c r="I372" s="39"/>
      <c r="J372" s="71"/>
      <c r="K372" s="71"/>
      <c r="L372" s="71"/>
      <c r="M372" s="39"/>
      <c r="N372" s="71"/>
      <c r="O372" s="71"/>
      <c r="P372" s="71"/>
      <c r="Q372" s="71"/>
      <c r="R372" s="71"/>
      <c r="S372" s="71"/>
    </row>
    <row r="373" spans="8:19">
      <c r="H373" s="284"/>
      <c r="I373" s="39"/>
      <c r="J373" s="71"/>
      <c r="K373" s="71"/>
      <c r="L373" s="71"/>
      <c r="M373" s="39"/>
      <c r="N373" s="71"/>
      <c r="O373" s="71"/>
      <c r="P373" s="71"/>
      <c r="Q373" s="71"/>
      <c r="R373" s="71"/>
      <c r="S373" s="71"/>
    </row>
    <row r="374" spans="8:19">
      <c r="H374" s="284"/>
      <c r="I374" s="39"/>
      <c r="J374" s="71"/>
      <c r="K374" s="71"/>
      <c r="L374" s="71"/>
      <c r="M374" s="39"/>
      <c r="N374" s="71"/>
      <c r="O374" s="71"/>
      <c r="P374" s="71"/>
      <c r="Q374" s="71"/>
      <c r="R374" s="71"/>
      <c r="S374" s="71"/>
    </row>
    <row r="375" spans="8:19">
      <c r="H375" s="284"/>
      <c r="I375" s="39"/>
      <c r="J375" s="71"/>
      <c r="K375" s="71"/>
      <c r="L375" s="71"/>
      <c r="M375" s="39"/>
      <c r="N375" s="71"/>
      <c r="O375" s="71"/>
      <c r="P375" s="71"/>
      <c r="Q375" s="71"/>
      <c r="R375" s="71"/>
      <c r="S375" s="71"/>
    </row>
    <row r="376" spans="8:19">
      <c r="H376" s="284"/>
      <c r="I376" s="39"/>
      <c r="J376" s="71"/>
      <c r="K376" s="71"/>
      <c r="L376" s="71"/>
      <c r="M376" s="39"/>
      <c r="N376" s="71"/>
      <c r="O376" s="71"/>
      <c r="P376" s="71"/>
      <c r="Q376" s="71"/>
      <c r="R376" s="71"/>
      <c r="S376" s="71"/>
    </row>
    <row r="377" spans="8:19">
      <c r="H377" s="284"/>
      <c r="I377" s="39"/>
      <c r="J377" s="71"/>
      <c r="K377" s="71"/>
      <c r="L377" s="71"/>
      <c r="M377" s="39"/>
      <c r="N377" s="71"/>
      <c r="O377" s="71"/>
      <c r="P377" s="71"/>
      <c r="Q377" s="71"/>
      <c r="R377" s="71"/>
      <c r="S377" s="71"/>
    </row>
    <row r="378" spans="8:19">
      <c r="H378" s="284"/>
      <c r="I378" s="39"/>
      <c r="J378" s="71"/>
      <c r="K378" s="71"/>
      <c r="L378" s="71"/>
      <c r="M378" s="39"/>
      <c r="N378" s="71"/>
      <c r="O378" s="71"/>
      <c r="P378" s="71"/>
      <c r="Q378" s="71"/>
      <c r="R378" s="71"/>
      <c r="S378" s="71"/>
    </row>
    <row r="379" spans="8:19">
      <c r="H379" s="284"/>
      <c r="I379" s="39"/>
      <c r="J379" s="71"/>
      <c r="K379" s="71"/>
      <c r="L379" s="71"/>
      <c r="M379" s="39"/>
      <c r="N379" s="71"/>
      <c r="O379" s="71"/>
      <c r="P379" s="71"/>
      <c r="Q379" s="71"/>
      <c r="R379" s="71"/>
      <c r="S379" s="71"/>
    </row>
    <row r="380" spans="8:19">
      <c r="H380" s="284"/>
      <c r="I380" s="39"/>
      <c r="J380" s="71"/>
      <c r="K380" s="71"/>
      <c r="L380" s="71"/>
      <c r="M380" s="39"/>
      <c r="N380" s="71"/>
      <c r="O380" s="71"/>
      <c r="P380" s="71"/>
      <c r="Q380" s="71"/>
      <c r="R380" s="71"/>
      <c r="S380" s="71"/>
    </row>
    <row r="381" spans="8:19">
      <c r="H381" s="284"/>
      <c r="I381" s="39"/>
      <c r="J381" s="71"/>
      <c r="K381" s="71"/>
      <c r="L381" s="71"/>
      <c r="M381" s="39"/>
      <c r="N381" s="71"/>
      <c r="O381" s="71"/>
      <c r="P381" s="71"/>
      <c r="Q381" s="71"/>
      <c r="R381" s="71"/>
      <c r="S381" s="71"/>
    </row>
    <row r="382" spans="8:19">
      <c r="H382" s="284"/>
      <c r="I382" s="39"/>
      <c r="J382" s="71"/>
      <c r="K382" s="71"/>
      <c r="L382" s="71"/>
      <c r="M382" s="39"/>
      <c r="N382" s="71"/>
      <c r="O382" s="71"/>
      <c r="P382" s="71"/>
      <c r="Q382" s="71"/>
      <c r="R382" s="71"/>
      <c r="S382" s="71"/>
    </row>
    <row r="383" spans="8:19">
      <c r="H383" s="284"/>
      <c r="I383" s="39"/>
      <c r="J383" s="71"/>
      <c r="K383" s="71"/>
      <c r="L383" s="71"/>
      <c r="M383" s="39"/>
      <c r="N383" s="71"/>
      <c r="O383" s="71"/>
      <c r="P383" s="71"/>
      <c r="Q383" s="71"/>
      <c r="R383" s="71"/>
      <c r="S383" s="71"/>
    </row>
    <row r="384" spans="8:19">
      <c r="H384" s="284"/>
      <c r="I384" s="39"/>
      <c r="J384" s="71"/>
      <c r="K384" s="71"/>
      <c r="L384" s="71"/>
      <c r="M384" s="39"/>
      <c r="N384" s="71"/>
      <c r="O384" s="71"/>
      <c r="P384" s="71"/>
      <c r="Q384" s="71"/>
      <c r="R384" s="71"/>
      <c r="S384" s="71"/>
    </row>
    <row r="385" spans="8:19">
      <c r="H385" s="284"/>
      <c r="I385" s="39"/>
      <c r="J385" s="71"/>
      <c r="K385" s="71"/>
      <c r="L385" s="71"/>
      <c r="M385" s="39"/>
      <c r="N385" s="71"/>
      <c r="O385" s="71"/>
      <c r="P385" s="71"/>
      <c r="Q385" s="71"/>
      <c r="R385" s="71"/>
      <c r="S385" s="71"/>
    </row>
    <row r="386" spans="8:19">
      <c r="H386" s="284"/>
      <c r="I386" s="39"/>
      <c r="J386" s="71"/>
      <c r="K386" s="71"/>
      <c r="L386" s="71"/>
      <c r="M386" s="39"/>
      <c r="N386" s="71"/>
      <c r="O386" s="71"/>
      <c r="P386" s="71"/>
      <c r="Q386" s="71"/>
      <c r="R386" s="71"/>
      <c r="S386" s="71"/>
    </row>
    <row r="387" spans="8:19">
      <c r="H387" s="284"/>
      <c r="I387" s="39"/>
      <c r="J387" s="71"/>
      <c r="K387" s="71"/>
      <c r="L387" s="71"/>
      <c r="M387" s="39"/>
      <c r="N387" s="71"/>
      <c r="O387" s="71"/>
      <c r="P387" s="71"/>
      <c r="Q387" s="71"/>
      <c r="R387" s="71"/>
      <c r="S387" s="71"/>
    </row>
    <row r="388" spans="8:19">
      <c r="H388" s="284"/>
      <c r="I388" s="39"/>
      <c r="J388" s="71"/>
      <c r="K388" s="71"/>
      <c r="L388" s="71"/>
      <c r="M388" s="39"/>
      <c r="N388" s="71"/>
      <c r="O388" s="71"/>
      <c r="P388" s="71"/>
      <c r="Q388" s="71"/>
      <c r="R388" s="71"/>
      <c r="S388" s="71"/>
    </row>
    <row r="389" spans="8:19">
      <c r="H389" s="284"/>
      <c r="I389" s="39"/>
      <c r="J389" s="71"/>
      <c r="K389" s="71"/>
      <c r="L389" s="71"/>
    </row>
    <row r="390" spans="8:19">
      <c r="H390" s="284"/>
      <c r="I390" s="39"/>
      <c r="J390" s="71"/>
      <c r="K390" s="71"/>
      <c r="L390" s="71"/>
    </row>
    <row r="391" spans="8:19">
      <c r="H391" s="284"/>
      <c r="I391" s="39"/>
      <c r="J391" s="71"/>
      <c r="K391" s="71"/>
      <c r="L391" s="71"/>
    </row>
    <row r="392" spans="8:19">
      <c r="H392" s="284"/>
      <c r="I392" s="39"/>
      <c r="J392" s="71"/>
      <c r="K392" s="71"/>
      <c r="L392" s="71"/>
    </row>
    <row r="393" spans="8:19">
      <c r="H393" s="284"/>
      <c r="I393" s="39"/>
      <c r="J393" s="71"/>
      <c r="K393" s="71"/>
      <c r="L393" s="7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33"/>
  <sheetViews>
    <sheetView topLeftCell="G19" workbookViewId="0">
      <selection activeCell="AD44" sqref="AD44"/>
    </sheetView>
  </sheetViews>
  <sheetFormatPr defaultRowHeight="14.4"/>
  <cols>
    <col min="1" max="1" width="5.5546875" customWidth="1"/>
    <col min="2" max="2" width="11.33203125" customWidth="1"/>
    <col min="3" max="3" width="6.6640625" bestFit="1" customWidth="1"/>
    <col min="4" max="4" width="13.109375" bestFit="1" customWidth="1"/>
    <col min="5" max="5" width="12" style="9" bestFit="1" customWidth="1"/>
    <col min="6" max="6" width="12.88671875" bestFit="1" customWidth="1"/>
    <col min="7" max="12" width="6.6640625" style="117" customWidth="1"/>
    <col min="13" max="13" width="4.6640625" style="352" customWidth="1"/>
    <col min="14" max="14" width="2.44140625" style="630" customWidth="1"/>
    <col min="22" max="22" width="6.6640625" customWidth="1"/>
    <col min="25" max="25" width="4" style="192" customWidth="1"/>
    <col min="26" max="26" width="6.44140625" customWidth="1"/>
    <col min="27" max="27" width="8.88671875" style="135"/>
    <col min="32" max="32" width="7.88671875" style="117" customWidth="1"/>
  </cols>
  <sheetData>
    <row r="1" spans="1:32">
      <c r="A1" s="838" t="s">
        <v>406</v>
      </c>
      <c r="N1" s="744"/>
      <c r="O1" s="329"/>
      <c r="P1" s="329"/>
      <c r="Q1" s="329"/>
      <c r="R1" s="329"/>
      <c r="S1" s="329" t="s">
        <v>457</v>
      </c>
      <c r="T1" s="329"/>
      <c r="U1" s="745"/>
      <c r="V1" s="329"/>
      <c r="W1" s="329"/>
      <c r="X1" s="329"/>
      <c r="Y1" s="329"/>
      <c r="Z1" s="329"/>
      <c r="AA1" s="329"/>
      <c r="AB1" s="746" t="s">
        <v>580</v>
      </c>
      <c r="AC1" s="329"/>
      <c r="AD1" s="332"/>
      <c r="AE1" s="60" t="s">
        <v>419</v>
      </c>
      <c r="AF1" s="843"/>
    </row>
    <row r="2" spans="1:32">
      <c r="A2" s="60" t="s">
        <v>440</v>
      </c>
      <c r="B2" s="11" t="s">
        <v>155</v>
      </c>
      <c r="C2" s="11"/>
      <c r="D2" s="11"/>
      <c r="E2" s="66"/>
      <c r="F2" s="11"/>
      <c r="G2" s="121"/>
      <c r="H2" s="121"/>
      <c r="I2" s="121"/>
      <c r="J2" s="121"/>
      <c r="K2" s="121"/>
      <c r="L2" s="121"/>
      <c r="M2" s="361"/>
      <c r="O2" s="354" t="s">
        <v>134</v>
      </c>
      <c r="R2" t="s">
        <v>575</v>
      </c>
      <c r="S2" s="61"/>
      <c r="V2" t="s">
        <v>440</v>
      </c>
      <c r="W2" t="s">
        <v>419</v>
      </c>
      <c r="X2" s="61" t="s">
        <v>438</v>
      </c>
      <c r="AA2" s="135" t="s">
        <v>435</v>
      </c>
      <c r="AB2" t="s">
        <v>585</v>
      </c>
      <c r="AE2" s="60" t="s">
        <v>301</v>
      </c>
      <c r="AF2" s="844" t="s">
        <v>96</v>
      </c>
    </row>
    <row r="3" spans="1:32">
      <c r="A3" s="60" t="s">
        <v>441</v>
      </c>
      <c r="B3" s="77" t="s">
        <v>39</v>
      </c>
      <c r="C3" s="202" t="s">
        <v>36</v>
      </c>
      <c r="D3" s="373" t="s">
        <v>33</v>
      </c>
      <c r="E3" s="629" t="s">
        <v>35</v>
      </c>
      <c r="F3" s="374" t="s">
        <v>34</v>
      </c>
      <c r="G3" s="125"/>
      <c r="H3" s="121"/>
      <c r="I3" s="121"/>
      <c r="J3" s="121"/>
      <c r="K3" s="121"/>
      <c r="L3" s="121"/>
      <c r="M3" s="362" t="s">
        <v>96</v>
      </c>
      <c r="O3" s="354" t="s">
        <v>154</v>
      </c>
      <c r="R3" t="s">
        <v>576</v>
      </c>
      <c r="S3" s="61"/>
      <c r="V3" t="s">
        <v>441</v>
      </c>
      <c r="W3" t="s">
        <v>436</v>
      </c>
      <c r="X3" s="61" t="s">
        <v>437</v>
      </c>
      <c r="AA3" s="135" t="s">
        <v>301</v>
      </c>
      <c r="AB3" s="178" t="s">
        <v>0</v>
      </c>
      <c r="AC3" s="178" t="s">
        <v>1</v>
      </c>
      <c r="AD3" s="178" t="s">
        <v>2</v>
      </c>
      <c r="AE3" s="840" t="s">
        <v>2</v>
      </c>
      <c r="AF3" s="845" t="s">
        <v>141</v>
      </c>
    </row>
    <row r="4" spans="1:32">
      <c r="A4" s="60" t="s">
        <v>581</v>
      </c>
      <c r="B4" s="79" t="s">
        <v>31</v>
      </c>
      <c r="C4" s="189" t="s">
        <v>32</v>
      </c>
      <c r="D4" s="378" t="s">
        <v>7</v>
      </c>
      <c r="E4" s="545" t="s">
        <v>7</v>
      </c>
      <c r="F4" s="145" t="s">
        <v>7</v>
      </c>
      <c r="G4" s="127">
        <v>1</v>
      </c>
      <c r="H4" s="128">
        <v>2</v>
      </c>
      <c r="I4" s="128">
        <v>3</v>
      </c>
      <c r="J4" s="128">
        <v>4</v>
      </c>
      <c r="K4" s="128">
        <v>5</v>
      </c>
      <c r="L4" s="128">
        <v>6</v>
      </c>
      <c r="M4" s="734" t="s">
        <v>141</v>
      </c>
      <c r="O4" s="735" t="s">
        <v>136</v>
      </c>
      <c r="P4" t="s">
        <v>25</v>
      </c>
      <c r="Q4" t="s">
        <v>26</v>
      </c>
      <c r="R4" t="s">
        <v>434</v>
      </c>
      <c r="S4" s="61"/>
      <c r="W4" t="s">
        <v>154</v>
      </c>
      <c r="X4" s="61" t="s">
        <v>439</v>
      </c>
      <c r="AA4" s="135" t="s">
        <v>2</v>
      </c>
      <c r="AB4" s="178" t="s">
        <v>7</v>
      </c>
      <c r="AC4" s="178" t="s">
        <v>7</v>
      </c>
      <c r="AD4" s="178" t="s">
        <v>7</v>
      </c>
      <c r="AE4" s="840" t="s">
        <v>136</v>
      </c>
      <c r="AF4" s="846" t="s">
        <v>582</v>
      </c>
    </row>
    <row r="5" spans="1:32">
      <c r="A5" s="330"/>
      <c r="B5" s="836">
        <v>0</v>
      </c>
      <c r="C5" s="4">
        <v>0</v>
      </c>
      <c r="D5" s="136">
        <v>-4.6550000000000002</v>
      </c>
      <c r="E5" s="136">
        <v>-4.6550000000000002</v>
      </c>
      <c r="F5" s="120">
        <f t="shared" ref="F5:F10" si="0">E5-offset1</f>
        <v>0</v>
      </c>
      <c r="G5" s="130">
        <v>0</v>
      </c>
      <c r="H5" s="118">
        <v>0</v>
      </c>
      <c r="I5" s="118">
        <v>0</v>
      </c>
      <c r="J5" s="118">
        <v>0</v>
      </c>
      <c r="K5" s="118">
        <v>0</v>
      </c>
      <c r="L5" s="118">
        <v>0</v>
      </c>
      <c r="M5" s="736"/>
      <c r="N5" s="737"/>
      <c r="O5" s="738">
        <f>E5-offset1</f>
        <v>0</v>
      </c>
      <c r="P5" s="3"/>
      <c r="Q5" s="3"/>
      <c r="R5" s="3">
        <v>1.2999999999999999E-2</v>
      </c>
      <c r="S5" s="83">
        <v>0.02</v>
      </c>
      <c r="T5" s="3"/>
      <c r="U5" s="3">
        <v>1.4E-2</v>
      </c>
      <c r="V5" s="3"/>
      <c r="W5" s="3">
        <f>S5-0.02</f>
        <v>0</v>
      </c>
      <c r="X5" s="83"/>
      <c r="Y5" s="5"/>
      <c r="Z5" s="3">
        <v>0</v>
      </c>
      <c r="AA5" s="4">
        <v>1.2E-2</v>
      </c>
      <c r="AB5" s="2">
        <v>-5.0000000000000001E-3</v>
      </c>
      <c r="AC5" s="3">
        <v>1.9E-2</v>
      </c>
      <c r="AD5" s="83">
        <v>1E-3</v>
      </c>
      <c r="AE5" s="746"/>
      <c r="AF5" s="847"/>
    </row>
    <row r="6" spans="1:32">
      <c r="A6" s="60">
        <v>1</v>
      </c>
      <c r="B6" s="719">
        <v>5</v>
      </c>
      <c r="C6" s="189">
        <v>5</v>
      </c>
      <c r="D6" s="27"/>
      <c r="E6" s="132">
        <v>-4.6500000000000004</v>
      </c>
      <c r="F6" s="75">
        <f t="shared" si="0"/>
        <v>4.9999999999998934E-3</v>
      </c>
      <c r="G6" s="127">
        <v>-4</v>
      </c>
      <c r="H6" s="128">
        <v>-4</v>
      </c>
      <c r="I6" s="128">
        <v>-4</v>
      </c>
      <c r="J6" s="128">
        <v>-4</v>
      </c>
      <c r="K6" s="128">
        <v>-4</v>
      </c>
      <c r="L6" s="128">
        <v>-5</v>
      </c>
      <c r="M6" s="364">
        <f>ABS(100*((F6-F5)*1000-(C6-C5))/5)</f>
        <v>2.1316282072803006E-12</v>
      </c>
      <c r="O6" s="367">
        <f>O5+5*1</f>
        <v>5</v>
      </c>
      <c r="R6">
        <v>0.02</v>
      </c>
      <c r="S6" s="61">
        <v>2.5999999999999999E-2</v>
      </c>
      <c r="V6">
        <v>1</v>
      </c>
      <c r="W6">
        <f>S6-0.02</f>
        <v>5.9999999999999984E-3</v>
      </c>
      <c r="X6" s="61">
        <f>W6-C6/1000</f>
        <v>9.9999999999999829E-4</v>
      </c>
      <c r="Z6">
        <v>50</v>
      </c>
      <c r="AA6" s="135">
        <v>6.2E-2</v>
      </c>
      <c r="AB6" s="6">
        <v>-5.0000000000000001E-3</v>
      </c>
      <c r="AC6" s="39">
        <v>2.1000000000000001E-2</v>
      </c>
      <c r="AD6" s="79">
        <v>7.0000000000000001E-3</v>
      </c>
      <c r="AE6" s="60">
        <f>(AD6-AD5)*1000</f>
        <v>6</v>
      </c>
      <c r="AF6" s="844">
        <f>100*(AE6-B6)/B6</f>
        <v>20</v>
      </c>
    </row>
    <row r="7" spans="1:32">
      <c r="A7" s="60">
        <v>2</v>
      </c>
      <c r="B7" s="719">
        <v>5</v>
      </c>
      <c r="C7" s="189">
        <v>11</v>
      </c>
      <c r="D7" s="27"/>
      <c r="E7" s="132">
        <v>-4.6459999999999999</v>
      </c>
      <c r="F7" s="75">
        <f t="shared" si="0"/>
        <v>9.0000000000003411E-3</v>
      </c>
      <c r="G7" s="127">
        <v>-9</v>
      </c>
      <c r="H7" s="128">
        <v>-9</v>
      </c>
      <c r="I7" s="128">
        <v>-8</v>
      </c>
      <c r="J7" s="128">
        <v>-9</v>
      </c>
      <c r="K7" s="128">
        <v>-9</v>
      </c>
      <c r="L7" s="128">
        <v>-9</v>
      </c>
      <c r="M7" s="364">
        <f>ABS(100*((F7-F6)*1000-(C7-C6))/5)</f>
        <v>39.999999999991047</v>
      </c>
      <c r="O7" s="367">
        <f>O6+5*1</f>
        <v>10</v>
      </c>
      <c r="R7">
        <v>2.5000000000000001E-2</v>
      </c>
      <c r="S7" s="61">
        <v>3.1E-2</v>
      </c>
      <c r="V7">
        <v>2</v>
      </c>
      <c r="W7">
        <f t="shared" ref="W7:W10" si="1">S7-0.02</f>
        <v>1.0999999999999999E-2</v>
      </c>
      <c r="X7" s="61">
        <f t="shared" ref="X7:X16" si="2">W7-C7/1000</f>
        <v>0</v>
      </c>
      <c r="Z7">
        <v>0</v>
      </c>
      <c r="AA7" s="135">
        <v>1.2E-2</v>
      </c>
      <c r="AB7" s="6">
        <v>-5.0000000000000001E-3</v>
      </c>
      <c r="AC7" s="39">
        <v>0.02</v>
      </c>
      <c r="AD7" s="79">
        <v>1.2E-2</v>
      </c>
      <c r="AE7" s="60">
        <f t="shared" ref="AE7:AE10" si="3">(AD7-AD6)*1000</f>
        <v>5</v>
      </c>
      <c r="AF7" s="844">
        <f t="shared" ref="AF7:AF16" si="4">100*(AE7-B7)/B7</f>
        <v>0</v>
      </c>
    </row>
    <row r="8" spans="1:32">
      <c r="A8" s="60">
        <v>3</v>
      </c>
      <c r="B8" s="719">
        <v>-5</v>
      </c>
      <c r="C8" s="189">
        <v>5</v>
      </c>
      <c r="D8" s="27"/>
      <c r="E8" s="132">
        <v>-4.6500000000000004</v>
      </c>
      <c r="F8" s="75">
        <f t="shared" si="0"/>
        <v>4.9999999999998934E-3</v>
      </c>
      <c r="G8" s="127">
        <v>-4</v>
      </c>
      <c r="H8" s="128">
        <v>-5</v>
      </c>
      <c r="I8" s="128">
        <v>-4</v>
      </c>
      <c r="J8" s="128"/>
      <c r="K8" s="128">
        <v>-4</v>
      </c>
      <c r="L8" s="128">
        <v>-5</v>
      </c>
      <c r="M8" s="364">
        <f>ABS(100*((F8-F7)*1000-(C8-C7))/5)</f>
        <v>39.999999999991047</v>
      </c>
      <c r="O8" s="367"/>
      <c r="R8">
        <v>1.9E-2</v>
      </c>
      <c r="S8" s="61">
        <v>2.5000000000000001E-2</v>
      </c>
      <c r="V8">
        <v>3</v>
      </c>
      <c r="W8">
        <f t="shared" si="1"/>
        <v>5.000000000000001E-3</v>
      </c>
      <c r="X8" s="61">
        <f t="shared" si="2"/>
        <v>0</v>
      </c>
      <c r="AB8" s="6">
        <v>-6.0000000000000001E-3</v>
      </c>
      <c r="AC8" s="39">
        <v>1.9E-2</v>
      </c>
      <c r="AD8" s="79">
        <v>7.0000000000000001E-3</v>
      </c>
      <c r="AE8" s="60">
        <f t="shared" si="3"/>
        <v>-5</v>
      </c>
      <c r="AF8" s="844">
        <f t="shared" si="4"/>
        <v>0</v>
      </c>
    </row>
    <row r="9" spans="1:32">
      <c r="A9" s="60">
        <v>4</v>
      </c>
      <c r="B9" s="719">
        <v>5</v>
      </c>
      <c r="C9" s="189">
        <v>11</v>
      </c>
      <c r="D9" s="27"/>
      <c r="E9" s="132">
        <v>-4.6459999999999999</v>
      </c>
      <c r="F9" s="75">
        <f t="shared" si="0"/>
        <v>9.0000000000003411E-3</v>
      </c>
      <c r="G9" s="127">
        <v>-9</v>
      </c>
      <c r="H9" s="128">
        <v>-9</v>
      </c>
      <c r="I9" s="128">
        <v>-8</v>
      </c>
      <c r="J9" s="128">
        <v>-9</v>
      </c>
      <c r="K9" s="128">
        <v>-9</v>
      </c>
      <c r="L9" s="128">
        <v>-9</v>
      </c>
      <c r="M9" s="364">
        <f>ABS(100*((F9-F8)*1000-(C9-C8))/5)</f>
        <v>39.999999999991047</v>
      </c>
      <c r="O9" s="367">
        <f>O8+5*1</f>
        <v>5</v>
      </c>
      <c r="R9">
        <v>2.5000000000000001E-2</v>
      </c>
      <c r="S9" s="61">
        <v>3.2000000000000001E-2</v>
      </c>
      <c r="V9">
        <v>4</v>
      </c>
      <c r="W9">
        <f t="shared" si="1"/>
        <v>1.2E-2</v>
      </c>
      <c r="X9" s="61">
        <f t="shared" si="2"/>
        <v>1.0000000000000009E-3</v>
      </c>
      <c r="AB9" s="6">
        <v>-6.0000000000000001E-3</v>
      </c>
      <c r="AC9" s="39">
        <v>2.1000000000000001E-2</v>
      </c>
      <c r="AD9" s="79">
        <v>1.0999999999999999E-2</v>
      </c>
      <c r="AE9" s="60">
        <f t="shared" si="3"/>
        <v>3.9999999999999991</v>
      </c>
      <c r="AF9" s="844">
        <f t="shared" si="4"/>
        <v>-20.000000000000018</v>
      </c>
    </row>
    <row r="10" spans="1:32">
      <c r="A10" s="60">
        <v>5</v>
      </c>
      <c r="B10" s="719">
        <v>-5</v>
      </c>
      <c r="C10" s="189">
        <v>5</v>
      </c>
      <c r="D10" s="27"/>
      <c r="E10" s="132">
        <v>-4.6500000000000004</v>
      </c>
      <c r="F10" s="75">
        <f t="shared" si="0"/>
        <v>4.9999999999998934E-3</v>
      </c>
      <c r="G10" s="127">
        <v>-4</v>
      </c>
      <c r="H10" s="128">
        <v>-5</v>
      </c>
      <c r="I10" s="128">
        <v>-4</v>
      </c>
      <c r="J10" s="128">
        <v>-5</v>
      </c>
      <c r="K10" s="128">
        <v>-4</v>
      </c>
      <c r="L10" s="128">
        <v>-5</v>
      </c>
      <c r="M10" s="364">
        <f>ABS(100*((F10-F9)*1000-(C10-C9))/5)</f>
        <v>39.999999999991047</v>
      </c>
      <c r="O10" s="367">
        <f>O9-5*1</f>
        <v>0</v>
      </c>
      <c r="R10">
        <v>1.9E-2</v>
      </c>
      <c r="S10" s="61">
        <v>2.5999999999999999E-2</v>
      </c>
      <c r="V10">
        <v>5</v>
      </c>
      <c r="W10">
        <f t="shared" si="1"/>
        <v>5.9999999999999984E-3</v>
      </c>
      <c r="X10" s="61">
        <f t="shared" si="2"/>
        <v>9.9999999999999829E-4</v>
      </c>
      <c r="AB10" s="6">
        <v>-6.0000000000000001E-3</v>
      </c>
      <c r="AC10" s="39">
        <v>1.9E-2</v>
      </c>
      <c r="AD10" s="79">
        <v>6.0000000000000001E-3</v>
      </c>
      <c r="AE10" s="60">
        <f t="shared" si="3"/>
        <v>-4.9999999999999991</v>
      </c>
      <c r="AF10" s="844">
        <f t="shared" si="4"/>
        <v>-1.7763568394002505E-14</v>
      </c>
    </row>
    <row r="11" spans="1:32">
      <c r="A11" s="330"/>
      <c r="B11" s="836"/>
      <c r="C11" s="4">
        <v>5</v>
      </c>
      <c r="D11" s="136">
        <v>-4.6500000000000004</v>
      </c>
      <c r="E11" s="136">
        <v>-4.6500000000000004</v>
      </c>
      <c r="F11" s="216">
        <f t="shared" ref="F11:F16" si="5">E11-offset3</f>
        <v>0</v>
      </c>
      <c r="G11" s="130"/>
      <c r="H11" s="118"/>
      <c r="I11" s="118"/>
      <c r="J11" s="118"/>
      <c r="K11" s="118"/>
      <c r="L11" s="118"/>
      <c r="M11" s="736"/>
      <c r="N11" s="737"/>
      <c r="O11" s="738"/>
      <c r="P11" s="3"/>
      <c r="Q11" s="3"/>
      <c r="R11" s="3"/>
      <c r="S11" s="83">
        <v>2.5999999999999999E-2</v>
      </c>
      <c r="T11" s="3"/>
      <c r="U11" s="3"/>
      <c r="V11" s="3"/>
      <c r="W11" s="3">
        <f>S11-0.02</f>
        <v>5.9999999999999984E-3</v>
      </c>
      <c r="X11" s="83">
        <f t="shared" si="2"/>
        <v>9.9999999999999829E-4</v>
      </c>
      <c r="Y11" s="5"/>
      <c r="Z11" s="3"/>
      <c r="AA11" s="4"/>
      <c r="AB11" s="2">
        <v>-6.0000000000000001E-3</v>
      </c>
      <c r="AC11" s="3">
        <v>0.02</v>
      </c>
      <c r="AD11" s="83">
        <v>2E-3</v>
      </c>
      <c r="AE11" s="746"/>
      <c r="AF11" s="847"/>
    </row>
    <row r="12" spans="1:32">
      <c r="A12" s="60">
        <v>1</v>
      </c>
      <c r="B12" s="719">
        <v>2</v>
      </c>
      <c r="C12" s="189">
        <v>8</v>
      </c>
      <c r="D12" s="27"/>
      <c r="E12" s="132">
        <v>-4.6479999999999997</v>
      </c>
      <c r="F12" s="75">
        <f t="shared" si="5"/>
        <v>2.0000000000006679E-3</v>
      </c>
      <c r="G12" s="127">
        <v>-6</v>
      </c>
      <c r="H12" s="128">
        <v>-7</v>
      </c>
      <c r="I12" s="128">
        <v>-6</v>
      </c>
      <c r="J12" s="128">
        <v>-6</v>
      </c>
      <c r="K12" s="128">
        <v>-6</v>
      </c>
      <c r="L12" s="128">
        <v>-6</v>
      </c>
      <c r="M12" s="364">
        <f>ABS(100*((F12-F11)*1000-(C12-C11))/2)</f>
        <v>49.999999999966604</v>
      </c>
      <c r="O12" s="367">
        <f>O11+2*1</f>
        <v>2</v>
      </c>
      <c r="S12" s="61">
        <v>2.8000000000000001E-2</v>
      </c>
      <c r="V12" s="39">
        <v>1</v>
      </c>
      <c r="W12">
        <f t="shared" ref="W12:W16" si="6">S12-0.02</f>
        <v>8.0000000000000002E-3</v>
      </c>
      <c r="X12" s="61">
        <f t="shared" si="2"/>
        <v>0</v>
      </c>
      <c r="Y12" s="192">
        <f>(W12-W11)*1000</f>
        <v>2.0000000000000018</v>
      </c>
      <c r="AB12" s="6">
        <v>-5.0000000000000001E-3</v>
      </c>
      <c r="AC12" s="39">
        <v>2.1000000000000001E-2</v>
      </c>
      <c r="AD12" s="79">
        <v>4.0000000000000001E-3</v>
      </c>
      <c r="AE12" s="60">
        <f>(AD12-AD11)*1000</f>
        <v>2</v>
      </c>
      <c r="AF12" s="844">
        <f t="shared" si="4"/>
        <v>0</v>
      </c>
    </row>
    <row r="13" spans="1:32">
      <c r="A13" s="60">
        <v>2</v>
      </c>
      <c r="B13" s="719">
        <v>2</v>
      </c>
      <c r="C13" s="189">
        <v>10</v>
      </c>
      <c r="D13" s="27"/>
      <c r="E13" s="132">
        <v>-4.6459999999999999</v>
      </c>
      <c r="F13" s="75">
        <f t="shared" si="5"/>
        <v>4.0000000000004476E-3</v>
      </c>
      <c r="G13" s="127">
        <v>-8</v>
      </c>
      <c r="H13" s="128">
        <v>-9</v>
      </c>
      <c r="I13" s="128">
        <v>-8</v>
      </c>
      <c r="J13" s="128">
        <v>-8</v>
      </c>
      <c r="K13" s="128">
        <v>-8</v>
      </c>
      <c r="L13" s="128">
        <v>-9</v>
      </c>
      <c r="M13" s="364">
        <f>ABS(100*((F13-F12)*1000-(C13-C12))/2)</f>
        <v>1.1013412404281553E-11</v>
      </c>
      <c r="O13" s="367">
        <f>O12+2*1</f>
        <v>4</v>
      </c>
      <c r="S13" s="61">
        <v>0.03</v>
      </c>
      <c r="V13" s="39">
        <v>2</v>
      </c>
      <c r="W13">
        <f t="shared" si="6"/>
        <v>9.9999999999999985E-3</v>
      </c>
      <c r="X13" s="61">
        <f t="shared" si="2"/>
        <v>0</v>
      </c>
      <c r="Y13" s="192">
        <f>(W13-W12)*1000</f>
        <v>1.9999999999999982</v>
      </c>
      <c r="AB13" s="6">
        <v>-5.0000000000000001E-3</v>
      </c>
      <c r="AC13" s="39">
        <v>2.1999999999999999E-2</v>
      </c>
      <c r="AD13" s="79">
        <v>6.0000000000000001E-3</v>
      </c>
      <c r="AE13" s="60">
        <f t="shared" ref="AE13:AE16" si="7">(AD13-AD12)*1000</f>
        <v>2</v>
      </c>
      <c r="AF13" s="844">
        <f t="shared" si="4"/>
        <v>0</v>
      </c>
    </row>
    <row r="14" spans="1:32">
      <c r="A14" s="60">
        <v>3</v>
      </c>
      <c r="B14" s="719">
        <v>-2</v>
      </c>
      <c r="C14" s="189">
        <v>8</v>
      </c>
      <c r="D14" s="27"/>
      <c r="E14" s="132">
        <v>-4.6479999999999997</v>
      </c>
      <c r="F14" s="75">
        <f t="shared" si="5"/>
        <v>2.0000000000006679E-3</v>
      </c>
      <c r="G14" s="127">
        <v>-6</v>
      </c>
      <c r="H14" s="128">
        <v>-7</v>
      </c>
      <c r="I14" s="128">
        <v>-6</v>
      </c>
      <c r="J14" s="128">
        <v>-6</v>
      </c>
      <c r="K14" s="128">
        <v>-6</v>
      </c>
      <c r="L14" s="128">
        <v>-7</v>
      </c>
      <c r="M14" s="364">
        <f>ABS(100*((F14-F13)*1000-(C14-C13))/2)</f>
        <v>1.1013412404281553E-11</v>
      </c>
      <c r="O14" s="367">
        <f>O13-2*1</f>
        <v>2</v>
      </c>
      <c r="S14" s="61">
        <v>2.9000000000000001E-2</v>
      </c>
      <c r="V14" s="39">
        <v>3</v>
      </c>
      <c r="W14">
        <f t="shared" si="6"/>
        <v>9.0000000000000011E-3</v>
      </c>
      <c r="X14" s="61">
        <f t="shared" si="2"/>
        <v>1.0000000000000009E-3</v>
      </c>
      <c r="Y14" s="192">
        <f t="shared" ref="Y14:Y22" si="8">(W14-W13)*1000</f>
        <v>-0.99999999999999745</v>
      </c>
      <c r="AB14" s="6">
        <v>-5.0000000000000001E-3</v>
      </c>
      <c r="AC14" s="39">
        <v>2.1000000000000001E-2</v>
      </c>
      <c r="AD14" s="79">
        <v>5.0000000000000001E-3</v>
      </c>
      <c r="AE14" s="60">
        <f t="shared" si="7"/>
        <v>-1</v>
      </c>
      <c r="AF14" s="844">
        <f t="shared" si="4"/>
        <v>-50</v>
      </c>
    </row>
    <row r="15" spans="1:32">
      <c r="A15" s="60">
        <v>4</v>
      </c>
      <c r="B15" s="719">
        <v>2</v>
      </c>
      <c r="C15" s="189">
        <v>10</v>
      </c>
      <c r="D15" s="27"/>
      <c r="E15" s="132">
        <v>-4.6459999999999999</v>
      </c>
      <c r="F15" s="75">
        <f t="shared" si="5"/>
        <v>4.0000000000004476E-3</v>
      </c>
      <c r="G15" s="127">
        <v>-8</v>
      </c>
      <c r="H15" s="128">
        <v>-9</v>
      </c>
      <c r="I15" s="128">
        <v>-8</v>
      </c>
      <c r="J15" s="128">
        <v>-8</v>
      </c>
      <c r="K15" s="128">
        <v>-8</v>
      </c>
      <c r="L15" s="128">
        <v>-9</v>
      </c>
      <c r="M15" s="364">
        <f>ABS(100*((F15-F14)*1000-(C15-C14))/2)</f>
        <v>1.1013412404281553E-11</v>
      </c>
      <c r="O15" s="367">
        <f>O14+2*1</f>
        <v>4</v>
      </c>
      <c r="S15" s="61">
        <v>0.03</v>
      </c>
      <c r="V15" s="39">
        <v>4</v>
      </c>
      <c r="W15">
        <f t="shared" si="6"/>
        <v>9.9999999999999985E-3</v>
      </c>
      <c r="X15" s="61">
        <f t="shared" si="2"/>
        <v>0</v>
      </c>
      <c r="Y15" s="192">
        <f t="shared" si="8"/>
        <v>0.99999999999999745</v>
      </c>
      <c r="AB15" s="6">
        <v>-5.0000000000000001E-3</v>
      </c>
      <c r="AC15" s="39">
        <v>2.1000000000000001E-2</v>
      </c>
      <c r="AD15" s="79">
        <v>6.0000000000000001E-3</v>
      </c>
      <c r="AE15" s="60">
        <f t="shared" si="7"/>
        <v>1</v>
      </c>
      <c r="AF15" s="844">
        <f t="shared" si="4"/>
        <v>-50</v>
      </c>
    </row>
    <row r="16" spans="1:32">
      <c r="A16" s="60">
        <v>5</v>
      </c>
      <c r="B16" s="719">
        <v>-2</v>
      </c>
      <c r="C16" s="189">
        <v>8</v>
      </c>
      <c r="D16" s="27"/>
      <c r="E16" s="132">
        <v>-4.6479999999999997</v>
      </c>
      <c r="F16" s="75">
        <f t="shared" si="5"/>
        <v>2.0000000000006679E-3</v>
      </c>
      <c r="G16" s="127">
        <v>-6</v>
      </c>
      <c r="H16" s="128">
        <v>-7</v>
      </c>
      <c r="I16" s="128">
        <v>-6</v>
      </c>
      <c r="J16" s="128">
        <v>-7</v>
      </c>
      <c r="K16" s="128">
        <v>-7</v>
      </c>
      <c r="L16" s="128">
        <v>-7</v>
      </c>
      <c r="M16" s="364">
        <f>ABS(100*((F16-F15)*1000-(C16-C15))/2)</f>
        <v>1.1013412404281553E-11</v>
      </c>
      <c r="O16" s="367">
        <f>O15-2*1</f>
        <v>2</v>
      </c>
      <c r="S16" s="61">
        <v>2.9000000000000001E-2</v>
      </c>
      <c r="V16" s="39">
        <v>5</v>
      </c>
      <c r="W16">
        <f t="shared" si="6"/>
        <v>9.0000000000000011E-3</v>
      </c>
      <c r="X16" s="61">
        <f t="shared" si="2"/>
        <v>1.0000000000000009E-3</v>
      </c>
      <c r="Y16" s="192">
        <f t="shared" si="8"/>
        <v>-0.99999999999999745</v>
      </c>
      <c r="AB16" s="6">
        <v>-5.0000000000000001E-3</v>
      </c>
      <c r="AC16" s="39">
        <v>0.02</v>
      </c>
      <c r="AD16" s="79">
        <v>5.0000000000000001E-3</v>
      </c>
      <c r="AE16" s="60">
        <f t="shared" si="7"/>
        <v>-1</v>
      </c>
      <c r="AF16" s="844">
        <f t="shared" si="4"/>
        <v>-50</v>
      </c>
    </row>
    <row r="17" spans="1:32">
      <c r="A17" s="330"/>
      <c r="B17" s="836"/>
      <c r="C17" s="4">
        <v>8</v>
      </c>
      <c r="D17" s="136">
        <v>-4.6479999999999997</v>
      </c>
      <c r="E17" s="136">
        <v>-4.6479999999999997</v>
      </c>
      <c r="F17" s="216">
        <f t="shared" ref="F17:F22" si="9">E17-offset4</f>
        <v>0</v>
      </c>
      <c r="G17" s="130"/>
      <c r="H17" s="118"/>
      <c r="I17" s="118"/>
      <c r="J17" s="118"/>
      <c r="K17" s="118"/>
      <c r="L17" s="118"/>
      <c r="M17" s="736"/>
      <c r="N17" s="737"/>
      <c r="O17" s="738"/>
      <c r="P17" s="3"/>
      <c r="Q17" s="3"/>
      <c r="R17" s="3"/>
      <c r="S17" s="83">
        <v>2.9000000000000001E-2</v>
      </c>
      <c r="T17" s="83">
        <v>3.1E-2</v>
      </c>
      <c r="U17" s="83">
        <v>3.5999999999999997E-2</v>
      </c>
      <c r="V17" s="5"/>
      <c r="W17" s="3">
        <f>T17-0.031</f>
        <v>0</v>
      </c>
      <c r="X17" s="83"/>
      <c r="Y17" s="5"/>
      <c r="Z17" s="3"/>
      <c r="AA17" s="4"/>
      <c r="AB17" s="2"/>
      <c r="AC17" s="3"/>
      <c r="AD17" s="3"/>
      <c r="AE17" s="2"/>
      <c r="AF17" s="119">
        <f>AVERAGE(AF12:AF13,-AF14,-AF15,-AF16)</f>
        <v>30</v>
      </c>
    </row>
    <row r="18" spans="1:32">
      <c r="A18" s="60">
        <v>1</v>
      </c>
      <c r="B18" s="719">
        <v>1</v>
      </c>
      <c r="C18" s="189">
        <v>9</v>
      </c>
      <c r="D18" s="27"/>
      <c r="E18" s="132">
        <v>-4.6470000000000002</v>
      </c>
      <c r="F18" s="75">
        <f t="shared" si="9"/>
        <v>9.9999999999944578E-4</v>
      </c>
      <c r="G18" s="127">
        <v>-7</v>
      </c>
      <c r="H18" s="128">
        <v>-7</v>
      </c>
      <c r="I18" s="128">
        <v>-7</v>
      </c>
      <c r="J18" s="128">
        <v>-8</v>
      </c>
      <c r="K18" s="128">
        <v>-7</v>
      </c>
      <c r="L18" s="128">
        <v>-8</v>
      </c>
      <c r="M18" s="364">
        <f>ABS(100*((F18-F17)*1000-(C18-C17))/1)</f>
        <v>5.5422333389287814E-11</v>
      </c>
      <c r="O18" s="367">
        <f>O17+1*1</f>
        <v>1</v>
      </c>
      <c r="S18">
        <v>2.9000000000000001E-2</v>
      </c>
      <c r="T18" s="61">
        <v>3.2000000000000001E-2</v>
      </c>
      <c r="U18" s="61">
        <v>3.5999999999999997E-2</v>
      </c>
      <c r="V18" s="39">
        <v>1</v>
      </c>
      <c r="W18">
        <f t="shared" ref="W18:W22" si="10">T18-0.031</f>
        <v>1.0000000000000009E-3</v>
      </c>
      <c r="X18" s="79">
        <f>W18-B18/1000</f>
        <v>0</v>
      </c>
      <c r="Y18" s="39">
        <f>(W18-W17)*1000</f>
        <v>1.0000000000000009</v>
      </c>
      <c r="AB18" s="6">
        <v>-5.0000000000000001E-3</v>
      </c>
      <c r="AC18" s="39">
        <v>0.02</v>
      </c>
      <c r="AD18" s="39">
        <v>5.0000000000000001E-3</v>
      </c>
      <c r="AE18" s="27"/>
    </row>
    <row r="19" spans="1:32">
      <c r="A19" s="60">
        <v>2</v>
      </c>
      <c r="B19" s="719">
        <v>1</v>
      </c>
      <c r="C19" s="189">
        <v>10</v>
      </c>
      <c r="D19" s="27"/>
      <c r="E19" s="132">
        <v>-4.6459999999999999</v>
      </c>
      <c r="F19" s="75">
        <f t="shared" si="9"/>
        <v>1.9999999999997797E-3</v>
      </c>
      <c r="G19" s="127">
        <v>-8</v>
      </c>
      <c r="H19" s="128">
        <v>-8</v>
      </c>
      <c r="I19" s="128">
        <v>-8</v>
      </c>
      <c r="J19" s="128">
        <v>-9</v>
      </c>
      <c r="K19" s="128">
        <v>-8</v>
      </c>
      <c r="L19" s="128">
        <v>-8</v>
      </c>
      <c r="M19" s="364">
        <f>ABS(100*((F19-F18)*1000-(C19-C18))/1)</f>
        <v>3.3395508580724709E-11</v>
      </c>
      <c r="O19" s="367">
        <f>O18+1*1</f>
        <v>2</v>
      </c>
      <c r="S19">
        <v>2.9000000000000001E-2</v>
      </c>
      <c r="T19" s="61">
        <v>3.3000000000000002E-2</v>
      </c>
      <c r="U19" s="61">
        <v>3.6999999999999998E-2</v>
      </c>
      <c r="V19" s="39">
        <v>2</v>
      </c>
      <c r="W19">
        <f t="shared" si="10"/>
        <v>2.0000000000000018E-3</v>
      </c>
      <c r="X19" s="61">
        <f>W19-B19/1000</f>
        <v>1.0000000000000018E-3</v>
      </c>
      <c r="Y19" s="192">
        <f t="shared" si="8"/>
        <v>1.0000000000000009</v>
      </c>
      <c r="AB19" s="6">
        <v>-5.0000000000000001E-3</v>
      </c>
      <c r="AC19" s="39">
        <v>0.02</v>
      </c>
      <c r="AD19" s="39">
        <v>5.0000000000000001E-3</v>
      </c>
      <c r="AE19" s="27" t="s">
        <v>583</v>
      </c>
    </row>
    <row r="20" spans="1:32">
      <c r="A20" s="60">
        <v>3</v>
      </c>
      <c r="B20" s="719">
        <v>-1</v>
      </c>
      <c r="C20" s="189">
        <v>9</v>
      </c>
      <c r="D20" s="27"/>
      <c r="E20" s="132">
        <v>-4.6470000000000002</v>
      </c>
      <c r="F20" s="75">
        <f t="shared" si="9"/>
        <v>9.9999999999944578E-4</v>
      </c>
      <c r="G20" s="127">
        <v>-7</v>
      </c>
      <c r="H20" s="128">
        <v>-7</v>
      </c>
      <c r="I20" s="128">
        <v>-7</v>
      </c>
      <c r="J20" s="128">
        <v>-8</v>
      </c>
      <c r="K20" s="128">
        <v>-8</v>
      </c>
      <c r="L20" s="128">
        <v>-8</v>
      </c>
      <c r="M20" s="364">
        <f>ABS(100*((F20-F19)*1000-(C20-C19))/1)</f>
        <v>3.3395508580724709E-11</v>
      </c>
      <c r="O20" s="367">
        <f>O19-1*1</f>
        <v>1</v>
      </c>
      <c r="S20">
        <v>2.9000000000000001E-2</v>
      </c>
      <c r="T20" s="61">
        <v>3.3000000000000002E-2</v>
      </c>
      <c r="U20" s="61">
        <v>3.6999999999999998E-2</v>
      </c>
      <c r="V20" s="39">
        <v>3</v>
      </c>
      <c r="W20">
        <f t="shared" si="10"/>
        <v>2.0000000000000018E-3</v>
      </c>
      <c r="X20" s="61">
        <f>W20--B20/1000</f>
        <v>1.0000000000000018E-3</v>
      </c>
      <c r="Y20" s="192">
        <f t="shared" si="8"/>
        <v>0</v>
      </c>
      <c r="AB20" s="6">
        <v>-5.0000000000000001E-3</v>
      </c>
      <c r="AC20" s="39">
        <v>0.02</v>
      </c>
      <c r="AD20" s="39">
        <v>5.0000000000000001E-3</v>
      </c>
      <c r="AE20" s="27"/>
    </row>
    <row r="21" spans="1:32">
      <c r="A21" s="60">
        <v>4</v>
      </c>
      <c r="B21" s="719">
        <v>1</v>
      </c>
      <c r="C21" s="189">
        <v>10</v>
      </c>
      <c r="D21" s="27"/>
      <c r="E21" s="132">
        <v>-4.6459999999999999</v>
      </c>
      <c r="F21" s="75">
        <f t="shared" si="9"/>
        <v>1.9999999999997797E-3</v>
      </c>
      <c r="G21" s="127">
        <v>-8</v>
      </c>
      <c r="H21" s="128">
        <v>-8</v>
      </c>
      <c r="I21" s="128">
        <v>-8</v>
      </c>
      <c r="J21" s="128">
        <v>-9</v>
      </c>
      <c r="K21" s="128">
        <v>-9</v>
      </c>
      <c r="L21" s="128">
        <v>-8</v>
      </c>
      <c r="M21" s="364">
        <f>ABS(100*((F21-F20)*1000-(C21-C20))/1)</f>
        <v>3.3395508580724709E-11</v>
      </c>
      <c r="O21" s="367">
        <f>O20+1*1</f>
        <v>2</v>
      </c>
      <c r="S21">
        <v>2.9000000000000001E-2</v>
      </c>
      <c r="T21" s="61">
        <v>3.3000000000000002E-2</v>
      </c>
      <c r="U21" s="61">
        <v>3.6999999999999998E-2</v>
      </c>
      <c r="V21" s="39">
        <v>4</v>
      </c>
      <c r="W21">
        <f t="shared" si="10"/>
        <v>2.0000000000000018E-3</v>
      </c>
      <c r="X21" s="61">
        <f>W21-B21/1000</f>
        <v>1.0000000000000018E-3</v>
      </c>
      <c r="Y21" s="192">
        <f t="shared" si="8"/>
        <v>0</v>
      </c>
      <c r="AB21" s="6">
        <v>-5.0000000000000001E-3</v>
      </c>
      <c r="AC21" s="39">
        <v>0.02</v>
      </c>
      <c r="AD21" s="39">
        <v>5.0000000000000001E-3</v>
      </c>
      <c r="AE21" s="27"/>
    </row>
    <row r="22" spans="1:32">
      <c r="A22" s="60">
        <v>5</v>
      </c>
      <c r="B22" s="382">
        <v>-1</v>
      </c>
      <c r="C22" s="195">
        <v>9</v>
      </c>
      <c r="D22" s="38"/>
      <c r="E22" s="134">
        <v>-4.6470000000000002</v>
      </c>
      <c r="F22" s="81">
        <f t="shared" si="9"/>
        <v>9.9999999999944578E-4</v>
      </c>
      <c r="G22" s="126">
        <v>-7</v>
      </c>
      <c r="H22" s="123">
        <v>-7</v>
      </c>
      <c r="I22" s="123">
        <v>-7</v>
      </c>
      <c r="J22" s="123">
        <v>-8</v>
      </c>
      <c r="K22" s="123">
        <v>-8</v>
      </c>
      <c r="L22" s="123">
        <v>-8</v>
      </c>
      <c r="M22" s="364">
        <f>ABS(100*((F22-F21)*1000-(C22-C21))/1)</f>
        <v>3.3395508580724709E-11</v>
      </c>
      <c r="O22" s="367">
        <f>O21-1*1</f>
        <v>1</v>
      </c>
      <c r="S22">
        <v>0.28999999999999998</v>
      </c>
      <c r="T22" s="61">
        <v>3.3000000000000002E-2</v>
      </c>
      <c r="U22" s="61">
        <v>3.6999999999999998E-2</v>
      </c>
      <c r="V22" s="39">
        <v>5</v>
      </c>
      <c r="W22">
        <f t="shared" si="10"/>
        <v>2.0000000000000018E-3</v>
      </c>
      <c r="X22" s="61">
        <f>W22--B22/1000</f>
        <v>1.0000000000000018E-3</v>
      </c>
      <c r="Y22" s="192">
        <f t="shared" si="8"/>
        <v>0</v>
      </c>
      <c r="AB22" s="6">
        <v>-6.0000000000000001E-3</v>
      </c>
      <c r="AC22" s="39">
        <v>1.9E-2</v>
      </c>
      <c r="AD22" s="39">
        <v>5.0000000000000001E-3</v>
      </c>
      <c r="AE22" s="27"/>
    </row>
    <row r="23" spans="1:32">
      <c r="A23" s="108"/>
      <c r="B23" s="11"/>
      <c r="C23" s="11"/>
      <c r="D23" s="11"/>
      <c r="E23" s="66"/>
      <c r="F23" s="11"/>
      <c r="G23" s="121"/>
      <c r="H23" s="121"/>
      <c r="I23" s="121"/>
      <c r="J23" s="121"/>
      <c r="K23" s="121"/>
      <c r="L23" s="634" t="s">
        <v>143</v>
      </c>
      <c r="M23" s="635">
        <f>AVERAGE(M6:M10,M12:M16,M18:M22)</f>
        <v>14.000000000011068</v>
      </c>
      <c r="N23" s="739"/>
      <c r="O23" s="3"/>
      <c r="P23" s="3"/>
      <c r="Q23" s="3"/>
      <c r="R23" s="3"/>
      <c r="S23" s="3">
        <v>3.1E-2</v>
      </c>
      <c r="T23" s="3"/>
      <c r="U23" s="3"/>
      <c r="V23" s="3"/>
      <c r="W23" s="3"/>
      <c r="X23" s="3"/>
      <c r="Y23" s="5"/>
      <c r="Z23" s="3"/>
      <c r="AA23" s="4"/>
      <c r="AB23" s="2">
        <v>-6.0000000000000001E-3</v>
      </c>
      <c r="AC23" s="3">
        <v>1.7000000000000001E-2</v>
      </c>
      <c r="AD23" s="4">
        <v>5.0000000000000001E-3</v>
      </c>
      <c r="AE23" t="s">
        <v>455</v>
      </c>
    </row>
    <row r="24" spans="1:32">
      <c r="A24" s="105"/>
      <c r="B24" s="3"/>
      <c r="C24" s="3"/>
      <c r="D24" s="3"/>
      <c r="E24" s="120"/>
      <c r="F24" s="3"/>
      <c r="G24" s="118"/>
      <c r="H24" s="118"/>
      <c r="I24" s="118"/>
      <c r="J24" s="118"/>
      <c r="K24" s="118"/>
      <c r="L24" s="631" t="s">
        <v>145</v>
      </c>
      <c r="M24" s="632">
        <f>STDEV(M6:M10,M12:M16,M18:M22)</f>
        <v>20.632844828416424</v>
      </c>
      <c r="AB24" s="179">
        <v>-6.0000000000000001E-3</v>
      </c>
      <c r="AC24" s="39">
        <v>1.6E-2</v>
      </c>
      <c r="AD24" s="39">
        <v>5.0000000000000001E-3</v>
      </c>
      <c r="AE24" s="39">
        <v>-1</v>
      </c>
    </row>
    <row r="25" spans="1:32">
      <c r="A25" s="105"/>
      <c r="B25" s="848" t="s">
        <v>579</v>
      </c>
      <c r="C25" s="333"/>
      <c r="AB25" s="179">
        <v>-6.0000000000000001E-3</v>
      </c>
      <c r="AC25" s="39">
        <v>1.4999999999999999E-2</v>
      </c>
      <c r="AD25" s="39">
        <v>5.0000000000000001E-3</v>
      </c>
      <c r="AE25" s="39">
        <v>-1</v>
      </c>
    </row>
    <row r="26" spans="1:32">
      <c r="A26" s="105"/>
      <c r="B26" s="765" t="s">
        <v>577</v>
      </c>
      <c r="C26" s="333"/>
      <c r="AB26" s="179">
        <v>-6.0000000000000001E-3</v>
      </c>
      <c r="AC26" s="39">
        <v>1.4E-2</v>
      </c>
      <c r="AD26" s="39">
        <v>4.0000000000000001E-3</v>
      </c>
      <c r="AE26">
        <v>-1</v>
      </c>
    </row>
    <row r="27" spans="1:32">
      <c r="A27" s="746" t="s">
        <v>584</v>
      </c>
      <c r="B27" s="329" t="s">
        <v>578</v>
      </c>
      <c r="C27" s="329"/>
      <c r="D27" s="3"/>
      <c r="E27" s="120"/>
      <c r="F27" s="3"/>
      <c r="G27" s="118"/>
      <c r="H27" s="118"/>
      <c r="I27" s="118"/>
      <c r="J27" s="118"/>
      <c r="K27" s="118"/>
      <c r="L27" s="118"/>
      <c r="M27" s="835"/>
      <c r="N27" s="737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3"/>
      <c r="AA27" s="4"/>
      <c r="AB27" s="2">
        <v>-6.0000000000000001E-3</v>
      </c>
      <c r="AC27" s="3">
        <v>2.1999999999999999E-2</v>
      </c>
      <c r="AD27" s="4">
        <v>2E-3</v>
      </c>
      <c r="AE27" s="746" t="s">
        <v>456</v>
      </c>
      <c r="AF27" s="841"/>
    </row>
    <row r="28" spans="1:32">
      <c r="A28" s="60">
        <v>1</v>
      </c>
      <c r="B28" s="381">
        <v>1</v>
      </c>
      <c r="AB28" s="213">
        <v>-6.0000000000000001E-3</v>
      </c>
      <c r="AC28" s="208">
        <v>2.1999999999999999E-2</v>
      </c>
      <c r="AD28" s="350">
        <v>3.0000000000000001E-3</v>
      </c>
      <c r="AE28" s="60">
        <f t="shared" ref="AE28:AE32" si="11">(AD28-AD27)*1000</f>
        <v>1</v>
      </c>
      <c r="AF28" s="843">
        <f t="shared" ref="AF28:AF32" si="12">100*(AE28-B28)/B28</f>
        <v>0</v>
      </c>
    </row>
    <row r="29" spans="1:32">
      <c r="A29" s="60">
        <v>2</v>
      </c>
      <c r="B29" s="381">
        <v>1</v>
      </c>
      <c r="AB29" s="179">
        <v>-6.0000000000000001E-3</v>
      </c>
      <c r="AC29" s="39">
        <v>2.1999999999999999E-2</v>
      </c>
      <c r="AD29" s="323">
        <v>4.0000000000000001E-3</v>
      </c>
      <c r="AE29" s="60">
        <f t="shared" si="11"/>
        <v>1</v>
      </c>
      <c r="AF29" s="844">
        <f t="shared" si="12"/>
        <v>0</v>
      </c>
    </row>
    <row r="30" spans="1:32">
      <c r="A30" s="60">
        <v>3</v>
      </c>
      <c r="B30" s="381">
        <v>-1</v>
      </c>
      <c r="AB30" s="6">
        <v>-6.0000000000000001E-3</v>
      </c>
      <c r="AC30" s="1">
        <v>2.1999999999999999E-2</v>
      </c>
      <c r="AD30" s="323">
        <v>4.0000000000000001E-3</v>
      </c>
      <c r="AE30" s="60">
        <f t="shared" si="11"/>
        <v>0</v>
      </c>
      <c r="AF30" s="844">
        <f t="shared" si="12"/>
        <v>-100</v>
      </c>
    </row>
    <row r="31" spans="1:32">
      <c r="A31" s="60">
        <v>4</v>
      </c>
      <c r="B31" s="381">
        <v>1</v>
      </c>
      <c r="AB31" s="6">
        <v>-6.0000000000000001E-3</v>
      </c>
      <c r="AC31" s="1">
        <v>2.1999999999999999E-2</v>
      </c>
      <c r="AD31" s="323">
        <v>5.0000000000000001E-3</v>
      </c>
      <c r="AE31" s="60">
        <f t="shared" si="11"/>
        <v>1</v>
      </c>
      <c r="AF31" s="844">
        <f t="shared" si="12"/>
        <v>0</v>
      </c>
    </row>
    <row r="32" spans="1:32">
      <c r="A32" s="102">
        <v>5</v>
      </c>
      <c r="B32" s="837">
        <v>-1</v>
      </c>
      <c r="AB32" s="12">
        <v>-6.0000000000000001E-3</v>
      </c>
      <c r="AC32" s="13">
        <v>2.1000000000000001E-2</v>
      </c>
      <c r="AD32" s="351">
        <v>5.0000000000000001E-3</v>
      </c>
      <c r="AE32" s="102">
        <f t="shared" si="11"/>
        <v>0</v>
      </c>
      <c r="AF32" s="846">
        <f t="shared" si="12"/>
        <v>-100</v>
      </c>
    </row>
    <row r="33" spans="32:32">
      <c r="AF33" s="117">
        <f>AVERAGE(AF28:AF29,-AF30,AF31,-AF32)</f>
        <v>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"/>
  <sheetViews>
    <sheetView topLeftCell="J16" workbookViewId="0">
      <selection activeCell="U42" sqref="U42"/>
    </sheetView>
  </sheetViews>
  <sheetFormatPr defaultRowHeight="14.4"/>
  <cols>
    <col min="2" max="2" width="12" bestFit="1" customWidth="1"/>
    <col min="3" max="4" width="6.88671875" customWidth="1"/>
    <col min="5" max="5" width="6.5546875" customWidth="1"/>
    <col min="6" max="6" width="7" customWidth="1"/>
    <col min="7" max="7" width="8" customWidth="1"/>
    <col min="8" max="13" width="6.6640625" customWidth="1"/>
    <col min="14" max="14" width="8.6640625" customWidth="1"/>
    <col min="15" max="15" width="5.44140625" customWidth="1"/>
    <col min="17" max="19" width="8.88671875" style="9"/>
    <col min="22" max="22" width="10.5546875" customWidth="1"/>
    <col min="24" max="24" width="9.109375" style="117"/>
  </cols>
  <sheetData>
    <row r="1" spans="1:24">
      <c r="A1" s="839" t="s">
        <v>406</v>
      </c>
      <c r="B1" s="10" t="s">
        <v>156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86"/>
      <c r="P1" s="746"/>
      <c r="Q1" s="331"/>
      <c r="R1" s="331" t="s">
        <v>461</v>
      </c>
      <c r="S1" s="331"/>
      <c r="T1" s="329"/>
      <c r="U1" s="329"/>
      <c r="V1" s="332"/>
      <c r="W1" s="851" t="s">
        <v>162</v>
      </c>
      <c r="X1" s="853" t="s">
        <v>96</v>
      </c>
    </row>
    <row r="2" spans="1:24">
      <c r="A2" s="849" t="s">
        <v>586</v>
      </c>
      <c r="B2" s="10"/>
      <c r="C2" s="86"/>
      <c r="D2" s="11" t="s">
        <v>442</v>
      </c>
      <c r="E2" s="10" t="s">
        <v>161</v>
      </c>
      <c r="F2" s="11"/>
      <c r="G2" s="86"/>
      <c r="H2" s="10"/>
      <c r="I2" s="11"/>
      <c r="J2" s="11"/>
      <c r="K2" s="11"/>
      <c r="L2" s="11"/>
      <c r="M2" s="86"/>
      <c r="N2" s="353" t="s">
        <v>134</v>
      </c>
      <c r="O2" s="361"/>
      <c r="P2" s="6" t="s">
        <v>40</v>
      </c>
      <c r="Q2" s="8"/>
      <c r="R2" s="8"/>
      <c r="S2" s="8"/>
      <c r="T2" s="1"/>
      <c r="U2" s="1"/>
      <c r="V2" s="135"/>
      <c r="W2" s="852" t="s">
        <v>419</v>
      </c>
      <c r="X2" s="854" t="s">
        <v>141</v>
      </c>
    </row>
    <row r="3" spans="1:24">
      <c r="A3" s="839" t="s">
        <v>441</v>
      </c>
      <c r="B3" s="342" t="s">
        <v>39</v>
      </c>
      <c r="C3" s="135" t="s">
        <v>36</v>
      </c>
      <c r="D3" s="135" t="s">
        <v>36</v>
      </c>
      <c r="E3" s="378" t="s">
        <v>162</v>
      </c>
      <c r="F3" s="378" t="s">
        <v>157</v>
      </c>
      <c r="G3" s="381" t="s">
        <v>132</v>
      </c>
      <c r="H3" s="127" t="s">
        <v>158</v>
      </c>
      <c r="I3" s="128"/>
      <c r="J3" s="128"/>
      <c r="K3" s="128"/>
      <c r="L3" s="128"/>
      <c r="M3" s="129"/>
      <c r="N3" s="354" t="s">
        <v>154</v>
      </c>
      <c r="O3" s="362" t="s">
        <v>96</v>
      </c>
      <c r="P3" s="6" t="s">
        <v>36</v>
      </c>
      <c r="Q3" s="8"/>
      <c r="R3" s="8"/>
      <c r="S3" s="8"/>
      <c r="T3" s="1"/>
      <c r="U3" s="1"/>
      <c r="V3" s="135"/>
      <c r="W3" s="852"/>
      <c r="X3" s="854" t="s">
        <v>582</v>
      </c>
    </row>
    <row r="4" spans="1:24">
      <c r="A4" s="839"/>
      <c r="B4" s="343" t="s">
        <v>159</v>
      </c>
      <c r="C4" s="87" t="s">
        <v>160</v>
      </c>
      <c r="D4" s="87" t="s">
        <v>301</v>
      </c>
      <c r="E4" s="375" t="s">
        <v>7</v>
      </c>
      <c r="F4" s="375" t="s">
        <v>7</v>
      </c>
      <c r="G4" s="382" t="s">
        <v>7</v>
      </c>
      <c r="H4" s="126">
        <v>1</v>
      </c>
      <c r="I4" s="123">
        <v>2</v>
      </c>
      <c r="J4" s="123">
        <v>3</v>
      </c>
      <c r="K4" s="123">
        <v>4</v>
      </c>
      <c r="L4" s="123">
        <v>5</v>
      </c>
      <c r="M4" s="124">
        <v>6</v>
      </c>
      <c r="N4" s="355" t="s">
        <v>136</v>
      </c>
      <c r="O4" s="363" t="s">
        <v>141</v>
      </c>
      <c r="P4" s="6"/>
      <c r="Q4" s="8" t="s">
        <v>443</v>
      </c>
      <c r="R4" s="8" t="s">
        <v>1</v>
      </c>
      <c r="S4" s="8" t="s">
        <v>2</v>
      </c>
      <c r="T4" s="1"/>
      <c r="U4" s="1"/>
      <c r="V4" s="135"/>
      <c r="W4" s="852" t="s">
        <v>573</v>
      </c>
      <c r="X4" s="854"/>
    </row>
    <row r="5" spans="1:24">
      <c r="A5" s="839"/>
      <c r="B5" s="138">
        <v>0</v>
      </c>
      <c r="C5" s="4">
        <v>-200</v>
      </c>
      <c r="D5" s="4"/>
      <c r="E5" s="136">
        <v>-0.20399999999999999</v>
      </c>
      <c r="F5" s="133"/>
      <c r="G5" s="120"/>
      <c r="H5" s="130">
        <v>-58</v>
      </c>
      <c r="I5" s="118">
        <v>-57</v>
      </c>
      <c r="J5" s="118">
        <v>114</v>
      </c>
      <c r="K5" s="118">
        <v>-57</v>
      </c>
      <c r="L5" s="118">
        <v>-58</v>
      </c>
      <c r="M5" s="119">
        <v>115</v>
      </c>
      <c r="N5" s="366"/>
      <c r="O5" s="361"/>
      <c r="P5" s="2"/>
      <c r="Q5" s="120">
        <v>-5.0000000000000001E-3</v>
      </c>
      <c r="R5" s="120">
        <v>1.4E-2</v>
      </c>
      <c r="S5" s="120">
        <v>-6.0000000000000001E-3</v>
      </c>
      <c r="T5" s="3"/>
      <c r="U5" s="3"/>
      <c r="V5" s="4"/>
      <c r="W5" s="92"/>
      <c r="X5" s="855"/>
    </row>
    <row r="6" spans="1:24">
      <c r="A6" s="839">
        <v>1</v>
      </c>
      <c r="B6" s="371">
        <v>5</v>
      </c>
      <c r="C6" s="135">
        <v>-195</v>
      </c>
      <c r="D6" s="135">
        <f>C6--200</f>
        <v>5</v>
      </c>
      <c r="E6" s="27"/>
      <c r="F6" s="27">
        <v>-0.19700000000000001</v>
      </c>
      <c r="G6" s="75">
        <f>F6-Offsety4</f>
        <v>6.9999999999999785E-3</v>
      </c>
      <c r="H6" s="127">
        <v>-56</v>
      </c>
      <c r="I6" s="128">
        <v>-56</v>
      </c>
      <c r="J6" s="128">
        <v>111</v>
      </c>
      <c r="K6" s="128">
        <v>-56</v>
      </c>
      <c r="L6" s="128">
        <v>-56</v>
      </c>
      <c r="M6" s="129">
        <v>111</v>
      </c>
      <c r="N6" s="367">
        <f>N5+5*1</f>
        <v>5</v>
      </c>
      <c r="O6" s="364">
        <f>100*ABS(N6-ABS(G6*1000))/5</f>
        <v>39.999999999999574</v>
      </c>
      <c r="P6" s="157">
        <v>4</v>
      </c>
      <c r="Q6" s="8">
        <v>3.0000000000000001E-3</v>
      </c>
      <c r="R6" s="8">
        <v>0.02</v>
      </c>
      <c r="S6" s="8">
        <v>-4.0000000000000001E-3</v>
      </c>
      <c r="T6" s="1"/>
      <c r="U6" s="1"/>
      <c r="V6" s="135"/>
      <c r="W6" s="852">
        <f>1000*(R6-R5)</f>
        <v>6</v>
      </c>
      <c r="X6" s="854">
        <f>100*(W6-B6)/B6</f>
        <v>20</v>
      </c>
    </row>
    <row r="7" spans="1:24">
      <c r="A7" s="839">
        <v>2</v>
      </c>
      <c r="B7" s="371">
        <v>5</v>
      </c>
      <c r="C7" s="135">
        <v>-190</v>
      </c>
      <c r="D7" s="135">
        <f t="shared" ref="D7:D10" si="0">C7--200</f>
        <v>10</v>
      </c>
      <c r="E7" s="27"/>
      <c r="F7" s="27">
        <v>-0.191</v>
      </c>
      <c r="G7" s="75">
        <f>F7-Offsety4</f>
        <v>1.2999999999999984E-2</v>
      </c>
      <c r="H7" s="127">
        <v>-54</v>
      </c>
      <c r="I7" s="128">
        <v>-54</v>
      </c>
      <c r="J7" s="128">
        <v>108</v>
      </c>
      <c r="K7" s="128">
        <v>-54</v>
      </c>
      <c r="L7" s="128">
        <v>-55</v>
      </c>
      <c r="M7" s="129">
        <v>108</v>
      </c>
      <c r="N7" s="367">
        <f>N6+5*1</f>
        <v>10</v>
      </c>
      <c r="O7" s="364">
        <f t="shared" ref="O7:O10" si="1">100*ABS(N7-ABS(G7*1000))/5</f>
        <v>59.99999999999968</v>
      </c>
      <c r="P7" s="157">
        <v>10</v>
      </c>
      <c r="Q7" s="8">
        <v>-3.0000000000000001E-3</v>
      </c>
      <c r="R7" s="8">
        <v>2.5000000000000001E-2</v>
      </c>
      <c r="S7" s="8">
        <v>-5.0000000000000001E-3</v>
      </c>
      <c r="T7" s="1"/>
      <c r="U7" s="1"/>
      <c r="V7" s="135"/>
      <c r="W7" s="852">
        <f t="shared" ref="W7:W16" si="2">1000*(R7-R6)</f>
        <v>5.0000000000000009</v>
      </c>
      <c r="X7" s="854">
        <f t="shared" ref="X7:X16" si="3">100*(W7-B7)/B7</f>
        <v>1.7763568394002505E-14</v>
      </c>
    </row>
    <row r="8" spans="1:24">
      <c r="A8" s="839">
        <v>3</v>
      </c>
      <c r="B8" s="371">
        <v>-5</v>
      </c>
      <c r="C8" s="135">
        <v>-195</v>
      </c>
      <c r="D8" s="135">
        <f t="shared" si="0"/>
        <v>5</v>
      </c>
      <c r="E8" s="27"/>
      <c r="F8" s="27">
        <v>-0.19800000000000001</v>
      </c>
      <c r="G8" s="75">
        <f>F8-Offsety4</f>
        <v>5.9999999999999776E-3</v>
      </c>
      <c r="H8" s="127">
        <v>-56</v>
      </c>
      <c r="I8" s="128">
        <v>-55</v>
      </c>
      <c r="J8" s="128">
        <v>111</v>
      </c>
      <c r="K8" s="128">
        <v>-56</v>
      </c>
      <c r="L8" s="128">
        <v>-56</v>
      </c>
      <c r="M8" s="129">
        <v>111</v>
      </c>
      <c r="N8" s="367">
        <f>N7-5*1</f>
        <v>5</v>
      </c>
      <c r="O8" s="364">
        <f t="shared" si="1"/>
        <v>19.999999999999556</v>
      </c>
      <c r="P8" s="157">
        <v>4</v>
      </c>
      <c r="Q8" s="8">
        <v>-5.0000000000000001E-3</v>
      </c>
      <c r="R8" s="8">
        <v>1.9E-2</v>
      </c>
      <c r="S8" s="8">
        <v>-5.0000000000000001E-3</v>
      </c>
      <c r="T8" s="1"/>
      <c r="U8" s="1"/>
      <c r="V8" s="135"/>
      <c r="W8" s="852">
        <f t="shared" si="2"/>
        <v>-6.0000000000000018</v>
      </c>
      <c r="X8" s="854">
        <f t="shared" si="3"/>
        <v>20.000000000000036</v>
      </c>
    </row>
    <row r="9" spans="1:24">
      <c r="A9" s="839">
        <v>4</v>
      </c>
      <c r="B9" s="371">
        <v>5</v>
      </c>
      <c r="C9" s="135">
        <v>-190</v>
      </c>
      <c r="D9" s="135">
        <f t="shared" si="0"/>
        <v>10</v>
      </c>
      <c r="E9" s="27"/>
      <c r="F9" s="27">
        <v>-0.191</v>
      </c>
      <c r="G9" s="75">
        <f>F9-Offsety4</f>
        <v>1.2999999999999984E-2</v>
      </c>
      <c r="H9" s="127">
        <v>-54</v>
      </c>
      <c r="I9" s="128">
        <v>-54</v>
      </c>
      <c r="J9" s="128">
        <v>108</v>
      </c>
      <c r="K9" s="128">
        <v>-54</v>
      </c>
      <c r="L9" s="128">
        <v>-55</v>
      </c>
      <c r="M9" s="129">
        <v>108</v>
      </c>
      <c r="N9" s="367">
        <f>N8+5*1</f>
        <v>10</v>
      </c>
      <c r="O9" s="364">
        <f t="shared" si="1"/>
        <v>59.99999999999968</v>
      </c>
      <c r="P9" s="157">
        <v>9</v>
      </c>
      <c r="Q9" s="8">
        <v>-5.0000000000000001E-3</v>
      </c>
      <c r="R9" s="8">
        <v>2.4E-2</v>
      </c>
      <c r="S9" s="8">
        <v>-3.0000000000000001E-3</v>
      </c>
      <c r="T9" s="1"/>
      <c r="U9" s="1"/>
      <c r="V9" s="135"/>
      <c r="W9" s="852">
        <f t="shared" si="2"/>
        <v>5.0000000000000009</v>
      </c>
      <c r="X9" s="854">
        <f t="shared" si="3"/>
        <v>1.7763568394002505E-14</v>
      </c>
    </row>
    <row r="10" spans="1:24">
      <c r="A10" s="839">
        <v>5</v>
      </c>
      <c r="B10" s="371">
        <v>-5</v>
      </c>
      <c r="C10" s="135">
        <v>-195</v>
      </c>
      <c r="D10" s="135">
        <f t="shared" si="0"/>
        <v>5</v>
      </c>
      <c r="E10" s="27"/>
      <c r="F10" s="27">
        <v>-0.19800000000000001</v>
      </c>
      <c r="G10" s="75">
        <f>F10-Offsety4</f>
        <v>5.9999999999999776E-3</v>
      </c>
      <c r="H10" s="127">
        <v>-56</v>
      </c>
      <c r="I10" s="128">
        <v>-55</v>
      </c>
      <c r="J10" s="128">
        <v>111</v>
      </c>
      <c r="K10" s="128">
        <v>-56</v>
      </c>
      <c r="L10" s="128">
        <v>-56</v>
      </c>
      <c r="M10" s="129">
        <v>111</v>
      </c>
      <c r="N10" s="367">
        <f>N9-5*1</f>
        <v>5</v>
      </c>
      <c r="O10" s="364">
        <f t="shared" si="1"/>
        <v>19.999999999999556</v>
      </c>
      <c r="P10" s="157">
        <v>3</v>
      </c>
      <c r="Q10" s="8">
        <v>-5.0000000000000001E-3</v>
      </c>
      <c r="R10" s="8">
        <v>1.7000000000000001E-2</v>
      </c>
      <c r="S10" s="8">
        <v>-4.0000000000000001E-3</v>
      </c>
      <c r="T10" s="1"/>
      <c r="U10" s="1"/>
      <c r="V10" s="135"/>
      <c r="W10" s="852">
        <f t="shared" si="2"/>
        <v>-6.9999999999999991</v>
      </c>
      <c r="X10" s="854">
        <f t="shared" si="3"/>
        <v>39.999999999999986</v>
      </c>
    </row>
    <row r="11" spans="1:24">
      <c r="A11" s="839"/>
      <c r="B11" s="138"/>
      <c r="C11" s="4"/>
      <c r="D11" s="4"/>
      <c r="E11" s="136">
        <v>-0.19800000000000001</v>
      </c>
      <c r="F11" s="133"/>
      <c r="G11" s="156"/>
      <c r="H11" s="130"/>
      <c r="I11" s="118"/>
      <c r="J11" s="118"/>
      <c r="K11" s="118"/>
      <c r="L11" s="118"/>
      <c r="M11" s="119"/>
      <c r="N11" s="367"/>
      <c r="O11" s="362"/>
      <c r="P11" s="173">
        <v>3</v>
      </c>
      <c r="Q11" s="120"/>
      <c r="R11" s="120"/>
      <c r="S11" s="120"/>
      <c r="T11" s="3"/>
      <c r="U11" s="3"/>
      <c r="V11" s="4"/>
      <c r="W11" s="92"/>
      <c r="X11" s="855">
        <f>AVERAGE(X6:X10)</f>
        <v>16.000000000000011</v>
      </c>
    </row>
    <row r="12" spans="1:24">
      <c r="A12" s="839">
        <v>1</v>
      </c>
      <c r="B12" s="371">
        <v>2</v>
      </c>
      <c r="C12" s="135">
        <v>-193</v>
      </c>
      <c r="D12" s="135">
        <f>C12--200-5</f>
        <v>2</v>
      </c>
      <c r="E12" s="27"/>
      <c r="F12" s="132">
        <v>-0.19600000000000001</v>
      </c>
      <c r="G12" s="75">
        <f>F12-Offsety5</f>
        <v>2.0000000000000018E-3</v>
      </c>
      <c r="H12" s="127">
        <v>-55</v>
      </c>
      <c r="I12" s="128">
        <v>-55</v>
      </c>
      <c r="J12" s="128">
        <v>109</v>
      </c>
      <c r="K12" s="128">
        <v>-55</v>
      </c>
      <c r="L12" s="128">
        <v>-56</v>
      </c>
      <c r="M12" s="129">
        <v>110</v>
      </c>
      <c r="N12" s="367">
        <f>N11+2*1</f>
        <v>2</v>
      </c>
      <c r="O12" s="364">
        <f>100*ABS(N12-ABS(G12*1000))/2</f>
        <v>8.8817841970012523E-14</v>
      </c>
      <c r="P12" s="157">
        <v>4</v>
      </c>
      <c r="Q12" s="8">
        <v>-5.0000000000000001E-3</v>
      </c>
      <c r="R12" s="8">
        <v>1.9E-2</v>
      </c>
      <c r="S12" s="8">
        <v>-4.0000000000000001E-3</v>
      </c>
      <c r="T12" s="1"/>
      <c r="U12" s="1"/>
      <c r="V12" s="135"/>
      <c r="W12" s="852">
        <f>1000*(R12-R10)</f>
        <v>1.9999999999999982</v>
      </c>
      <c r="X12" s="854">
        <f t="shared" si="3"/>
        <v>-8.8817841970012523E-14</v>
      </c>
    </row>
    <row r="13" spans="1:24">
      <c r="A13" s="839">
        <v>2</v>
      </c>
      <c r="B13" s="371">
        <v>2</v>
      </c>
      <c r="C13" s="135">
        <v>-190</v>
      </c>
      <c r="D13" s="135">
        <f t="shared" ref="D13:D16" si="4">C13--200-5</f>
        <v>5</v>
      </c>
      <c r="E13" s="27"/>
      <c r="F13" s="132">
        <v>-0.193</v>
      </c>
      <c r="G13" s="75">
        <f>F13-Offsety5</f>
        <v>5.0000000000000044E-3</v>
      </c>
      <c r="H13" s="127">
        <v>-55</v>
      </c>
      <c r="I13" s="128">
        <v>-54</v>
      </c>
      <c r="J13" s="128">
        <v>108</v>
      </c>
      <c r="K13" s="128">
        <v>-55</v>
      </c>
      <c r="L13" s="128">
        <v>-55</v>
      </c>
      <c r="M13" s="129">
        <v>109</v>
      </c>
      <c r="N13" s="367">
        <f>N12+2*1</f>
        <v>4</v>
      </c>
      <c r="O13" s="364">
        <f t="shared" ref="O13:O16" si="5">100*ABS(N13-ABS(G13*1000))/2</f>
        <v>50.00000000000022</v>
      </c>
      <c r="P13" s="157">
        <v>5</v>
      </c>
      <c r="Q13" s="8">
        <v>-5.0000000000000001E-3</v>
      </c>
      <c r="R13" s="8">
        <v>2.1000000000000001E-2</v>
      </c>
      <c r="S13" s="8">
        <v>-4.0000000000000001E-3</v>
      </c>
      <c r="T13" s="1"/>
      <c r="U13" s="1"/>
      <c r="V13" s="135"/>
      <c r="W13" s="852">
        <f t="shared" si="2"/>
        <v>2.0000000000000018</v>
      </c>
      <c r="X13" s="854">
        <f t="shared" si="3"/>
        <v>8.8817841970012523E-14</v>
      </c>
    </row>
    <row r="14" spans="1:24">
      <c r="A14" s="839">
        <v>3</v>
      </c>
      <c r="B14" s="371">
        <v>-2</v>
      </c>
      <c r="C14" s="135">
        <v>-193</v>
      </c>
      <c r="D14" s="135">
        <f t="shared" si="4"/>
        <v>2</v>
      </c>
      <c r="E14" s="27"/>
      <c r="F14" s="132">
        <v>-0.19500000000000001</v>
      </c>
      <c r="G14" s="75">
        <f>F14-Offsety5</f>
        <v>3.0000000000000027E-3</v>
      </c>
      <c r="H14" s="127">
        <v>-56</v>
      </c>
      <c r="I14" s="128">
        <v>-55</v>
      </c>
      <c r="J14" s="128">
        <v>109</v>
      </c>
      <c r="K14" s="128">
        <v>-55</v>
      </c>
      <c r="L14" s="128">
        <v>-56</v>
      </c>
      <c r="M14" s="129">
        <v>110</v>
      </c>
      <c r="N14" s="367">
        <f>N13-2*1</f>
        <v>2</v>
      </c>
      <c r="O14" s="364">
        <f t="shared" si="5"/>
        <v>50.000000000000135</v>
      </c>
      <c r="P14" s="157">
        <v>2</v>
      </c>
      <c r="Q14" s="8">
        <v>-6.0000000000000001E-3</v>
      </c>
      <c r="R14" s="8">
        <v>1.9E-2</v>
      </c>
      <c r="S14" s="8">
        <v>-4.0000000000000001E-3</v>
      </c>
      <c r="T14" s="1" t="s">
        <v>444</v>
      </c>
      <c r="U14" s="1"/>
      <c r="V14" s="135"/>
      <c r="W14" s="852">
        <f t="shared" si="2"/>
        <v>-2.0000000000000018</v>
      </c>
      <c r="X14" s="854">
        <f t="shared" si="3"/>
        <v>8.8817841970012523E-14</v>
      </c>
    </row>
    <row r="15" spans="1:24">
      <c r="A15" s="839">
        <v>4</v>
      </c>
      <c r="B15" s="371">
        <v>2</v>
      </c>
      <c r="C15" s="135">
        <v>-191</v>
      </c>
      <c r="D15" s="135">
        <f t="shared" si="4"/>
        <v>4</v>
      </c>
      <c r="E15" s="27"/>
      <c r="F15" s="132">
        <v>-0.19400000000000001</v>
      </c>
      <c r="G15" s="75">
        <f>F15-Offsety5</f>
        <v>4.0000000000000036E-3</v>
      </c>
      <c r="H15" s="127">
        <v>-55</v>
      </c>
      <c r="I15" s="128">
        <v>-54</v>
      </c>
      <c r="J15" s="128">
        <v>108</v>
      </c>
      <c r="K15" s="128">
        <v>-55</v>
      </c>
      <c r="L15" s="128">
        <v>-55</v>
      </c>
      <c r="M15" s="129">
        <v>109</v>
      </c>
      <c r="N15" s="367">
        <f>N14+2*1</f>
        <v>4</v>
      </c>
      <c r="O15" s="364">
        <f t="shared" si="5"/>
        <v>1.7763568394002505E-13</v>
      </c>
      <c r="P15" s="157">
        <v>4</v>
      </c>
      <c r="Q15" s="8">
        <v>-6.0000000000000001E-3</v>
      </c>
      <c r="R15" s="8">
        <v>0.02</v>
      </c>
      <c r="S15" s="8">
        <v>-3.0000000000000001E-3</v>
      </c>
      <c r="T15" s="1"/>
      <c r="U15" s="1" t="s">
        <v>445</v>
      </c>
      <c r="V15" s="135"/>
      <c r="W15" s="852">
        <f t="shared" si="2"/>
        <v>1.0000000000000009</v>
      </c>
      <c r="X15" s="854">
        <f t="shared" si="3"/>
        <v>-49.999999999999957</v>
      </c>
    </row>
    <row r="16" spans="1:24">
      <c r="A16" s="839">
        <v>5</v>
      </c>
      <c r="B16" s="372">
        <v>-2</v>
      </c>
      <c r="C16" s="87">
        <v>-193</v>
      </c>
      <c r="D16" s="87">
        <f t="shared" si="4"/>
        <v>2</v>
      </c>
      <c r="E16" s="38"/>
      <c r="F16" s="134">
        <v>-0.19500000000000001</v>
      </c>
      <c r="G16" s="81">
        <f>F16-Offsety5</f>
        <v>3.0000000000000027E-3</v>
      </c>
      <c r="H16" s="126">
        <v>-55</v>
      </c>
      <c r="I16" s="123">
        <v>-55</v>
      </c>
      <c r="J16" s="123">
        <v>109</v>
      </c>
      <c r="K16" s="123">
        <v>-55</v>
      </c>
      <c r="L16" s="123">
        <v>-56</v>
      </c>
      <c r="M16" s="124">
        <v>110</v>
      </c>
      <c r="N16" s="367">
        <f>N15-2*1</f>
        <v>2</v>
      </c>
      <c r="O16" s="364">
        <f t="shared" si="5"/>
        <v>50.000000000000135</v>
      </c>
      <c r="P16" s="157">
        <v>1</v>
      </c>
      <c r="Q16" s="8">
        <v>-7.0000000000000001E-3</v>
      </c>
      <c r="R16" s="8">
        <v>1.7999999999999999E-2</v>
      </c>
      <c r="S16" s="8">
        <v>-3.0000000000000001E-3</v>
      </c>
      <c r="T16" s="1"/>
      <c r="U16" s="1" t="s">
        <v>446</v>
      </c>
      <c r="V16" s="135"/>
      <c r="W16" s="442">
        <f t="shared" si="2"/>
        <v>-2.0000000000000018</v>
      </c>
      <c r="X16" s="856">
        <f t="shared" si="3"/>
        <v>8.8817841970012523E-14</v>
      </c>
    </row>
    <row r="17" spans="1:24" ht="15.6">
      <c r="A17" s="857"/>
      <c r="B17" s="12">
        <v>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59" t="s">
        <v>143</v>
      </c>
      <c r="O17" s="369">
        <f>AVERAGE(O6:O16)</f>
        <v>34.999999999999872</v>
      </c>
      <c r="P17" s="168">
        <v>-2</v>
      </c>
      <c r="Q17" s="69"/>
      <c r="R17" s="69">
        <v>1.4999999999999999E-2</v>
      </c>
      <c r="S17" s="69"/>
      <c r="T17" s="13"/>
      <c r="U17" s="13" t="s">
        <v>446</v>
      </c>
      <c r="V17" s="13" t="s">
        <v>447</v>
      </c>
      <c r="W17" s="5"/>
      <c r="X17" s="406"/>
    </row>
    <row r="18" spans="1:24">
      <c r="A18" s="857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391" t="s">
        <v>145</v>
      </c>
      <c r="O18" s="357">
        <f>STDEV(O6:O16)</f>
        <v>23.213980461973506</v>
      </c>
    </row>
    <row r="25" spans="1:24">
      <c r="B25" s="138"/>
      <c r="C25" s="4"/>
      <c r="D25" s="4"/>
      <c r="E25" s="136">
        <v>-0.19500000000000001</v>
      </c>
      <c r="F25" s="133"/>
      <c r="G25" s="156"/>
      <c r="H25" s="130"/>
      <c r="I25" s="118"/>
      <c r="J25" s="118"/>
      <c r="K25" s="118"/>
      <c r="L25" s="118"/>
      <c r="M25" s="119"/>
    </row>
    <row r="26" spans="1:24">
      <c r="B26" s="137">
        <v>1</v>
      </c>
      <c r="C26" s="135">
        <v>-192</v>
      </c>
      <c r="D26" s="135"/>
      <c r="E26" s="27"/>
      <c r="F26" s="132">
        <v>-0.19500000000000001</v>
      </c>
      <c r="G26" s="75">
        <f>F26-Offsety6</f>
        <v>0</v>
      </c>
      <c r="H26" s="127">
        <v>-55</v>
      </c>
      <c r="I26" s="128">
        <v>-55</v>
      </c>
      <c r="J26" s="128">
        <v>108</v>
      </c>
      <c r="K26" s="128">
        <v>-55</v>
      </c>
      <c r="L26" s="128">
        <v>-56</v>
      </c>
      <c r="M26" s="129">
        <v>110</v>
      </c>
    </row>
    <row r="27" spans="1:24">
      <c r="B27" s="137">
        <v>1</v>
      </c>
      <c r="C27" s="135">
        <v>-191</v>
      </c>
      <c r="D27" s="135"/>
      <c r="E27" s="27"/>
      <c r="F27" s="132">
        <v>-0.19400000000000001</v>
      </c>
      <c r="G27" s="75">
        <f>F27-Offsety6</f>
        <v>1.0000000000000009E-3</v>
      </c>
      <c r="H27" s="127">
        <v>-55</v>
      </c>
      <c r="I27" s="128">
        <v>-55</v>
      </c>
      <c r="J27" s="128">
        <v>107</v>
      </c>
      <c r="K27" s="128">
        <v>-55</v>
      </c>
      <c r="L27" s="128">
        <v>-56</v>
      </c>
      <c r="M27" s="129">
        <v>109</v>
      </c>
    </row>
    <row r="28" spans="1:24">
      <c r="B28" s="137">
        <v>-1</v>
      </c>
      <c r="C28" s="135">
        <v>-192</v>
      </c>
      <c r="D28" s="135"/>
      <c r="E28" s="27"/>
      <c r="F28" s="132">
        <v>-0.19400000000000001</v>
      </c>
      <c r="G28" s="75">
        <f>F28-Offsety6</f>
        <v>1.0000000000000009E-3</v>
      </c>
      <c r="H28" s="127">
        <v>-55</v>
      </c>
      <c r="I28" s="128">
        <v>-55</v>
      </c>
      <c r="J28" s="128">
        <v>108</v>
      </c>
      <c r="K28" s="128">
        <v>-55</v>
      </c>
      <c r="L28" s="128">
        <v>-56</v>
      </c>
      <c r="M28" s="129">
        <v>110</v>
      </c>
    </row>
    <row r="29" spans="1:24">
      <c r="B29" s="137">
        <v>1</v>
      </c>
      <c r="C29" s="135">
        <v>-191</v>
      </c>
      <c r="D29" s="135"/>
      <c r="E29" s="27"/>
      <c r="F29" s="132">
        <v>-0.19400000000000001</v>
      </c>
      <c r="G29" s="75">
        <f>F29-Offsety6</f>
        <v>1.0000000000000009E-3</v>
      </c>
      <c r="H29" s="127">
        <v>-55</v>
      </c>
      <c r="I29" s="128">
        <v>-55</v>
      </c>
      <c r="J29" s="128">
        <v>107</v>
      </c>
      <c r="K29" s="128">
        <v>-55</v>
      </c>
      <c r="L29" s="128">
        <v>-56</v>
      </c>
      <c r="M29" s="129">
        <v>109</v>
      </c>
    </row>
    <row r="30" spans="1:24">
      <c r="B30" s="139">
        <v>-1</v>
      </c>
      <c r="C30" s="87">
        <v>-192</v>
      </c>
      <c r="D30" s="87"/>
      <c r="E30" s="38"/>
      <c r="F30" s="134">
        <v>-0.19400000000000001</v>
      </c>
      <c r="G30" s="81">
        <f>F30-Offsety6</f>
        <v>1.0000000000000009E-3</v>
      </c>
      <c r="H30" s="126">
        <v>-56</v>
      </c>
      <c r="I30" s="123">
        <v>-55</v>
      </c>
      <c r="J30" s="123">
        <v>108</v>
      </c>
      <c r="K30" s="123">
        <v>-55</v>
      </c>
      <c r="L30" s="123">
        <v>-56</v>
      </c>
      <c r="M30" s="124">
        <v>110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29"/>
  <sheetViews>
    <sheetView topLeftCell="A24" zoomScaleNormal="100" workbookViewId="0">
      <selection activeCell="E44" sqref="E44"/>
    </sheetView>
  </sheetViews>
  <sheetFormatPr defaultRowHeight="14.4"/>
  <cols>
    <col min="2" max="2" width="12.33203125" customWidth="1"/>
    <col min="3" max="3" width="7.6640625" customWidth="1"/>
    <col min="4" max="4" width="7" customWidth="1"/>
    <col min="5" max="5" width="8" customWidth="1"/>
    <col min="6" max="8" width="6.44140625" customWidth="1"/>
    <col min="9" max="14" width="5.6640625" customWidth="1"/>
    <col min="15" max="17" width="6.6640625" customWidth="1"/>
    <col min="18" max="20" width="7.5546875" customWidth="1"/>
    <col min="21" max="21" width="8.88671875" customWidth="1"/>
    <col min="22" max="22" width="5.88671875" bestFit="1" customWidth="1"/>
    <col min="29" max="29" width="9.109375" customWidth="1"/>
    <col min="33" max="33" width="7.109375" customWidth="1"/>
    <col min="34" max="34" width="8.109375" customWidth="1"/>
  </cols>
  <sheetData>
    <row r="1" spans="1:34">
      <c r="A1" s="333"/>
      <c r="D1" t="s">
        <v>67</v>
      </c>
      <c r="I1" s="11"/>
      <c r="J1" s="11"/>
      <c r="K1" s="11"/>
      <c r="L1" s="11"/>
      <c r="M1" s="11"/>
      <c r="N1" s="86"/>
      <c r="O1" s="11"/>
      <c r="P1" s="11"/>
      <c r="Q1" s="11"/>
      <c r="R1" s="11"/>
      <c r="S1" s="11"/>
      <c r="T1" s="86"/>
      <c r="W1" s="746"/>
      <c r="X1" s="329"/>
      <c r="Y1" s="329" t="s">
        <v>459</v>
      </c>
      <c r="Z1" s="329"/>
      <c r="AA1" s="329"/>
      <c r="AB1" s="332"/>
      <c r="AC1" s="11"/>
    </row>
    <row r="2" spans="1:34">
      <c r="A2" s="48"/>
      <c r="I2" s="11"/>
      <c r="J2" s="11"/>
      <c r="K2" s="11"/>
      <c r="L2" s="11"/>
      <c r="M2" s="11"/>
      <c r="N2" s="86"/>
      <c r="O2" s="1"/>
      <c r="P2" s="1"/>
      <c r="Q2" s="1"/>
      <c r="R2" s="1"/>
      <c r="S2" s="1"/>
      <c r="T2" s="135"/>
      <c r="W2" s="6"/>
      <c r="X2" s="1"/>
      <c r="Y2" s="1"/>
      <c r="Z2" s="1"/>
      <c r="AA2" s="1"/>
      <c r="AB2" s="1"/>
      <c r="AC2" s="1"/>
      <c r="AD2" s="758" t="s">
        <v>571</v>
      </c>
      <c r="AE2" s="758"/>
      <c r="AF2" s="758"/>
      <c r="AG2" s="861"/>
      <c r="AH2" s="859" t="s">
        <v>96</v>
      </c>
    </row>
    <row r="3" spans="1:34">
      <c r="A3" s="48" t="s">
        <v>586</v>
      </c>
      <c r="B3" s="2" t="s">
        <v>66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353" t="s">
        <v>134</v>
      </c>
      <c r="V3" s="353"/>
      <c r="W3" s="6" t="s">
        <v>448</v>
      </c>
      <c r="X3" s="1"/>
      <c r="Y3" s="1"/>
      <c r="Z3" s="1"/>
      <c r="AA3" s="1"/>
      <c r="AB3" s="1"/>
      <c r="AC3" s="1"/>
      <c r="AD3" s="834">
        <v>44593</v>
      </c>
      <c r="AE3" s="48"/>
      <c r="AF3" s="48"/>
      <c r="AG3" s="840" t="s">
        <v>96</v>
      </c>
      <c r="AH3" s="860" t="s">
        <v>141</v>
      </c>
    </row>
    <row r="4" spans="1:34">
      <c r="A4" s="333" t="s">
        <v>301</v>
      </c>
      <c r="B4" s="342" t="s">
        <v>39</v>
      </c>
      <c r="C4" s="135" t="s">
        <v>36</v>
      </c>
      <c r="D4" s="6"/>
      <c r="E4" s="1" t="s">
        <v>165</v>
      </c>
      <c r="F4" s="1"/>
      <c r="G4" s="1"/>
      <c r="H4" s="135"/>
      <c r="I4" s="127" t="s">
        <v>169</v>
      </c>
      <c r="J4" s="128"/>
      <c r="K4" s="128"/>
      <c r="L4" s="128"/>
      <c r="M4" s="128"/>
      <c r="N4" s="129"/>
      <c r="O4" s="1"/>
      <c r="P4" s="1" t="s">
        <v>170</v>
      </c>
      <c r="Q4" s="1"/>
      <c r="R4" s="1"/>
      <c r="S4" s="1"/>
      <c r="T4" s="135"/>
      <c r="U4" s="354" t="s">
        <v>154</v>
      </c>
      <c r="V4" s="354" t="s">
        <v>96</v>
      </c>
      <c r="W4" s="6" t="s">
        <v>36</v>
      </c>
      <c r="X4" s="1"/>
      <c r="Y4" s="1"/>
      <c r="Z4" s="1"/>
      <c r="AA4" s="1"/>
      <c r="AB4" s="1"/>
      <c r="AC4" s="1"/>
      <c r="AD4" s="13"/>
      <c r="AE4" s="13"/>
      <c r="AF4" s="13"/>
      <c r="AG4" s="840" t="s">
        <v>136</v>
      </c>
      <c r="AH4" s="860" t="s">
        <v>582</v>
      </c>
    </row>
    <row r="5" spans="1:34">
      <c r="A5" s="333" t="s">
        <v>570</v>
      </c>
      <c r="B5" s="343" t="s">
        <v>56</v>
      </c>
      <c r="C5" s="87" t="s">
        <v>57</v>
      </c>
      <c r="D5" s="375" t="s">
        <v>163</v>
      </c>
      <c r="E5" s="376" t="s">
        <v>164</v>
      </c>
      <c r="F5" s="137" t="s">
        <v>166</v>
      </c>
      <c r="G5" s="145" t="s">
        <v>167</v>
      </c>
      <c r="H5" s="379" t="s">
        <v>168</v>
      </c>
      <c r="I5" s="127">
        <v>1</v>
      </c>
      <c r="J5" s="128">
        <v>2</v>
      </c>
      <c r="K5" s="128">
        <v>3</v>
      </c>
      <c r="L5" s="128">
        <v>4</v>
      </c>
      <c r="M5" s="128">
        <v>5</v>
      </c>
      <c r="N5" s="129">
        <v>6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35" t="s">
        <v>5</v>
      </c>
      <c r="U5" s="355" t="s">
        <v>136</v>
      </c>
      <c r="V5" s="355" t="s">
        <v>141</v>
      </c>
      <c r="W5" s="6"/>
      <c r="X5" s="1" t="s">
        <v>443</v>
      </c>
      <c r="Y5" s="1" t="s">
        <v>1</v>
      </c>
      <c r="Z5" s="1" t="s">
        <v>2</v>
      </c>
      <c r="AA5" s="1" t="s">
        <v>449</v>
      </c>
      <c r="AB5" s="1" t="s">
        <v>450</v>
      </c>
      <c r="AC5" s="1"/>
      <c r="AD5" s="83" t="s">
        <v>572</v>
      </c>
      <c r="AE5" s="3" t="s">
        <v>573</v>
      </c>
      <c r="AF5" s="3" t="s">
        <v>574</v>
      </c>
      <c r="AG5" s="864" t="s">
        <v>0</v>
      </c>
      <c r="AH5" s="865" t="s">
        <v>0</v>
      </c>
    </row>
    <row r="6" spans="1:34">
      <c r="A6" s="333"/>
      <c r="B6" s="138"/>
      <c r="C6" s="4">
        <v>-50</v>
      </c>
      <c r="D6" s="136">
        <v>0.20200000000000001</v>
      </c>
      <c r="E6" s="385"/>
      <c r="F6" s="149">
        <v>7.2999999999999995E-2</v>
      </c>
      <c r="G6" s="120">
        <v>3.1219999999999999</v>
      </c>
      <c r="H6" s="150">
        <v>5.1999999999999998E-2</v>
      </c>
      <c r="I6" s="130">
        <v>-1</v>
      </c>
      <c r="J6" s="118">
        <v>0</v>
      </c>
      <c r="K6" s="118">
        <v>0</v>
      </c>
      <c r="L6" s="118">
        <v>0</v>
      </c>
      <c r="M6" s="118">
        <v>0</v>
      </c>
      <c r="N6" s="119">
        <v>0</v>
      </c>
      <c r="O6" s="173">
        <v>0</v>
      </c>
      <c r="P6" s="171">
        <v>0</v>
      </c>
      <c r="Q6" s="171">
        <v>0</v>
      </c>
      <c r="R6" s="152">
        <v>0</v>
      </c>
      <c r="S6" s="152">
        <v>0</v>
      </c>
      <c r="T6" s="29">
        <v>0</v>
      </c>
      <c r="U6" s="366"/>
      <c r="V6" s="353"/>
      <c r="W6" s="6">
        <v>0</v>
      </c>
      <c r="X6" s="1">
        <v>-8.9999999999999993E-3</v>
      </c>
      <c r="Y6" s="1">
        <v>1.2999999999999999E-2</v>
      </c>
      <c r="Z6" s="1">
        <v>-5.0000000000000001E-3</v>
      </c>
      <c r="AA6" s="1"/>
      <c r="AB6" s="1"/>
      <c r="AC6" s="1"/>
      <c r="AD6" s="61"/>
      <c r="AG6" s="840"/>
      <c r="AH6" s="860"/>
    </row>
    <row r="7" spans="1:34">
      <c r="A7" s="333">
        <v>1</v>
      </c>
      <c r="B7" s="371">
        <v>5</v>
      </c>
      <c r="C7" s="135">
        <v>-45</v>
      </c>
      <c r="D7" s="27">
        <v>0.20899999999999999</v>
      </c>
      <c r="E7" s="75">
        <f t="shared" ref="E7:E11" si="0">D7-ResX100</f>
        <v>6.9999999999999785E-3</v>
      </c>
      <c r="F7" s="165">
        <v>7.2999999999999995E-2</v>
      </c>
      <c r="G7" s="66">
        <v>3.1219999999999999</v>
      </c>
      <c r="H7" s="166">
        <v>5.1999999999999998E-2</v>
      </c>
      <c r="I7" s="127">
        <v>-3</v>
      </c>
      <c r="J7" s="128">
        <v>3</v>
      </c>
      <c r="K7" s="128">
        <v>0</v>
      </c>
      <c r="L7" s="128">
        <v>-3</v>
      </c>
      <c r="M7" s="128">
        <v>3</v>
      </c>
      <c r="N7" s="129">
        <v>0</v>
      </c>
      <c r="O7" s="6">
        <v>5</v>
      </c>
      <c r="P7" s="151">
        <v>0</v>
      </c>
      <c r="Q7" s="151">
        <v>0</v>
      </c>
      <c r="R7" s="147">
        <v>0</v>
      </c>
      <c r="S7" s="147">
        <v>0</v>
      </c>
      <c r="T7" s="18">
        <v>0</v>
      </c>
      <c r="U7" s="367">
        <f>U6+5*1</f>
        <v>5</v>
      </c>
      <c r="V7" s="832">
        <f>100*ABS(U7-ABS(E7*1000))/5</f>
        <v>39.999999999999574</v>
      </c>
      <c r="W7" s="6">
        <v>6</v>
      </c>
      <c r="X7" s="1">
        <v>-4.0000000000000001E-3</v>
      </c>
      <c r="Y7" s="1">
        <v>1.2999999999999999E-2</v>
      </c>
      <c r="Z7" s="1">
        <v>-4.0000000000000001E-3</v>
      </c>
      <c r="AA7" s="1"/>
      <c r="AB7" s="1"/>
      <c r="AC7" s="1"/>
      <c r="AD7" s="77">
        <f>(X7-X6)*1000</f>
        <v>4.9999999999999991</v>
      </c>
      <c r="AE7" s="11">
        <f t="shared" ref="AE7:AF7" si="1">(Y7-Y6)*1000</f>
        <v>0</v>
      </c>
      <c r="AF7" s="11">
        <f t="shared" si="1"/>
        <v>1</v>
      </c>
      <c r="AG7" s="861">
        <f>AD7-B7</f>
        <v>0</v>
      </c>
      <c r="AH7" s="859">
        <f>100*(AG7/B7)</f>
        <v>0</v>
      </c>
    </row>
    <row r="8" spans="1:34">
      <c r="A8" s="333">
        <v>2</v>
      </c>
      <c r="B8" s="371">
        <v>5</v>
      </c>
      <c r="C8" s="135">
        <v>-39</v>
      </c>
      <c r="D8" s="27">
        <v>0.214</v>
      </c>
      <c r="E8" s="75">
        <f t="shared" si="0"/>
        <v>1.1999999999999983E-2</v>
      </c>
      <c r="F8" s="7">
        <v>7.2999999999999995E-2</v>
      </c>
      <c r="G8" s="8">
        <v>3.1219999999999999</v>
      </c>
      <c r="H8" s="148">
        <v>5.1999999999999998E-2</v>
      </c>
      <c r="I8" s="127">
        <v>-6</v>
      </c>
      <c r="J8" s="128">
        <v>6</v>
      </c>
      <c r="K8" s="128">
        <v>0</v>
      </c>
      <c r="L8" s="128">
        <v>-6</v>
      </c>
      <c r="M8" s="128">
        <v>5</v>
      </c>
      <c r="N8" s="129">
        <v>0</v>
      </c>
      <c r="O8" s="6">
        <v>11</v>
      </c>
      <c r="P8" s="151">
        <v>0</v>
      </c>
      <c r="Q8" s="151">
        <v>0</v>
      </c>
      <c r="R8" s="17">
        <v>0</v>
      </c>
      <c r="S8" s="17">
        <v>0</v>
      </c>
      <c r="T8" s="18">
        <v>0</v>
      </c>
      <c r="U8" s="367">
        <f>U7+5*1</f>
        <v>10</v>
      </c>
      <c r="V8" s="832">
        <f t="shared" ref="V8:V11" si="2">100*ABS(U8-ABS(E8*1000))/5</f>
        <v>39.999999999999645</v>
      </c>
      <c r="W8" s="6">
        <v>11</v>
      </c>
      <c r="X8" s="1">
        <v>1E-3</v>
      </c>
      <c r="Y8" s="1">
        <v>1.2999999999999999E-2</v>
      </c>
      <c r="Z8" s="1">
        <v>-4.0000000000000001E-3</v>
      </c>
      <c r="AA8" s="1"/>
      <c r="AB8" s="1"/>
      <c r="AC8" s="1"/>
      <c r="AD8" s="79">
        <f t="shared" ref="AD8:AD11" si="3">(X8-X7)*1000</f>
        <v>5</v>
      </c>
      <c r="AE8" s="1">
        <f t="shared" ref="AE8:AE11" si="4">(Y8-Y7)*1000</f>
        <v>0</v>
      </c>
      <c r="AF8" s="1">
        <f t="shared" ref="AF8:AF11" si="5">(Z8-Z7)*1000</f>
        <v>0</v>
      </c>
      <c r="AG8" s="840">
        <f>AD8-B8</f>
        <v>0</v>
      </c>
      <c r="AH8" s="860">
        <f>100*(AG8/B8)</f>
        <v>0</v>
      </c>
    </row>
    <row r="9" spans="1:34">
      <c r="A9" s="333">
        <v>3</v>
      </c>
      <c r="B9" s="371">
        <v>-5</v>
      </c>
      <c r="C9" s="135">
        <v>-45</v>
      </c>
      <c r="D9" s="27">
        <v>0.21</v>
      </c>
      <c r="E9" s="75">
        <f t="shared" si="0"/>
        <v>7.9999999999999793E-3</v>
      </c>
      <c r="F9" s="7">
        <v>7.2999999999999995E-2</v>
      </c>
      <c r="G9" s="8">
        <v>3.1219999999999999</v>
      </c>
      <c r="H9" s="148">
        <v>5.1999999999999998E-2</v>
      </c>
      <c r="I9" s="127">
        <v>-3</v>
      </c>
      <c r="J9" s="128">
        <v>3</v>
      </c>
      <c r="K9" s="128">
        <v>0</v>
      </c>
      <c r="L9" s="128">
        <v>-3</v>
      </c>
      <c r="M9" s="128">
        <v>3</v>
      </c>
      <c r="N9" s="129">
        <v>0</v>
      </c>
      <c r="O9" s="6">
        <v>5</v>
      </c>
      <c r="P9" s="151">
        <v>0</v>
      </c>
      <c r="Q9" s="151">
        <v>0</v>
      </c>
      <c r="R9" s="17">
        <v>0</v>
      </c>
      <c r="S9" s="17">
        <v>0</v>
      </c>
      <c r="T9" s="18">
        <v>0</v>
      </c>
      <c r="U9" s="367">
        <f>U8-5*1</f>
        <v>5</v>
      </c>
      <c r="V9" s="832">
        <f t="shared" si="2"/>
        <v>59.999999999999588</v>
      </c>
      <c r="W9" s="6">
        <v>6</v>
      </c>
      <c r="X9" s="1">
        <v>-3.0000000000000001E-3</v>
      </c>
      <c r="Y9" s="1">
        <v>1.2999999999999999E-2</v>
      </c>
      <c r="Z9" s="1">
        <v>-4.0000000000000001E-3</v>
      </c>
      <c r="AA9" s="1"/>
      <c r="AB9" s="1"/>
      <c r="AC9" s="1"/>
      <c r="AD9" s="79">
        <f t="shared" si="3"/>
        <v>-4</v>
      </c>
      <c r="AE9" s="1">
        <f t="shared" si="4"/>
        <v>0</v>
      </c>
      <c r="AF9" s="1">
        <f t="shared" si="5"/>
        <v>0</v>
      </c>
      <c r="AG9" s="840">
        <f>AD9-B9</f>
        <v>1</v>
      </c>
      <c r="AH9" s="860">
        <f>100*(AG9/B9)</f>
        <v>-20</v>
      </c>
    </row>
    <row r="10" spans="1:34">
      <c r="A10" s="333">
        <v>4</v>
      </c>
      <c r="B10" s="371">
        <v>5</v>
      </c>
      <c r="C10" s="135">
        <v>-39</v>
      </c>
      <c r="D10" s="27">
        <v>0.214</v>
      </c>
      <c r="E10" s="75">
        <f t="shared" si="0"/>
        <v>1.1999999999999983E-2</v>
      </c>
      <c r="F10" s="7">
        <v>7.2999999999999995E-2</v>
      </c>
      <c r="G10" s="8">
        <v>3.1219999999999999</v>
      </c>
      <c r="H10" s="148">
        <v>5.1999999999999998E-2</v>
      </c>
      <c r="I10" s="127">
        <v>-6</v>
      </c>
      <c r="J10" s="128">
        <v>6</v>
      </c>
      <c r="K10" s="128">
        <v>0</v>
      </c>
      <c r="L10" s="128">
        <v>-6</v>
      </c>
      <c r="M10" s="128">
        <v>5</v>
      </c>
      <c r="N10" s="129">
        <v>0</v>
      </c>
      <c r="O10" s="6">
        <v>11</v>
      </c>
      <c r="P10" s="151">
        <v>0</v>
      </c>
      <c r="Q10" s="151">
        <v>0</v>
      </c>
      <c r="R10" s="17">
        <v>0</v>
      </c>
      <c r="S10" s="17">
        <v>0</v>
      </c>
      <c r="T10" s="18">
        <v>0</v>
      </c>
      <c r="U10" s="367">
        <f>U9+5*1</f>
        <v>10</v>
      </c>
      <c r="V10" s="832">
        <f t="shared" si="2"/>
        <v>39.999999999999645</v>
      </c>
      <c r="W10" s="6">
        <v>11</v>
      </c>
      <c r="X10" s="1">
        <v>1E-3</v>
      </c>
      <c r="Y10" s="1">
        <v>1.2999999999999999E-2</v>
      </c>
      <c r="Z10" s="1">
        <v>-4.0000000000000001E-3</v>
      </c>
      <c r="AA10" s="1"/>
      <c r="AB10" s="1"/>
      <c r="AC10" s="1"/>
      <c r="AD10" s="79">
        <f t="shared" si="3"/>
        <v>4</v>
      </c>
      <c r="AE10" s="1">
        <f t="shared" si="4"/>
        <v>0</v>
      </c>
      <c r="AF10" s="1">
        <f t="shared" si="5"/>
        <v>0</v>
      </c>
      <c r="AG10" s="840">
        <f>AD10-B10</f>
        <v>-1</v>
      </c>
      <c r="AH10" s="860">
        <f>100*(AG10/B10)</f>
        <v>-20</v>
      </c>
    </row>
    <row r="11" spans="1:34">
      <c r="A11" s="333">
        <v>5</v>
      </c>
      <c r="B11" s="371">
        <v>-5</v>
      </c>
      <c r="C11" s="135">
        <v>-45</v>
      </c>
      <c r="D11" s="27">
        <v>0.21</v>
      </c>
      <c r="E11" s="75">
        <f t="shared" si="0"/>
        <v>7.9999999999999793E-3</v>
      </c>
      <c r="F11" s="7">
        <v>7.2999999999999995E-2</v>
      </c>
      <c r="G11" s="8">
        <v>3.1219999999999999</v>
      </c>
      <c r="H11" s="148">
        <v>5.1999999999999998E-2</v>
      </c>
      <c r="I11" s="127">
        <v>-4</v>
      </c>
      <c r="J11" s="128">
        <v>3</v>
      </c>
      <c r="K11" s="128">
        <v>0</v>
      </c>
      <c r="L11" s="128">
        <v>-3</v>
      </c>
      <c r="M11" s="128">
        <v>2</v>
      </c>
      <c r="N11" s="129">
        <v>0</v>
      </c>
      <c r="O11" s="12">
        <v>5</v>
      </c>
      <c r="P11" s="13">
        <v>0</v>
      </c>
      <c r="Q11" s="13">
        <v>0</v>
      </c>
      <c r="R11" s="19">
        <v>0</v>
      </c>
      <c r="S11" s="19">
        <v>0</v>
      </c>
      <c r="T11" s="20">
        <v>0</v>
      </c>
      <c r="U11" s="367">
        <f>U10-5*1</f>
        <v>5</v>
      </c>
      <c r="V11" s="832">
        <f t="shared" si="2"/>
        <v>59.999999999999588</v>
      </c>
      <c r="W11" s="6">
        <v>6</v>
      </c>
      <c r="X11" s="1">
        <v>-3.0000000000000001E-3</v>
      </c>
      <c r="Y11" s="1">
        <v>1.2999999999999999E-2</v>
      </c>
      <c r="Z11" s="1">
        <v>-4.0000000000000001E-3</v>
      </c>
      <c r="AA11" s="1"/>
      <c r="AB11" s="1"/>
      <c r="AC11" s="1"/>
      <c r="AD11" s="82">
        <f t="shared" si="3"/>
        <v>-4</v>
      </c>
      <c r="AE11" s="13">
        <f t="shared" si="4"/>
        <v>0</v>
      </c>
      <c r="AF11" s="13">
        <f t="shared" si="5"/>
        <v>0</v>
      </c>
      <c r="AG11" s="862">
        <f>AD11-B11</f>
        <v>1</v>
      </c>
      <c r="AH11" s="863">
        <f>100*(AG11/B11)</f>
        <v>-20</v>
      </c>
    </row>
    <row r="12" spans="1:34">
      <c r="A12" s="333"/>
      <c r="B12" s="138"/>
      <c r="C12" s="4">
        <v>-40</v>
      </c>
      <c r="D12" s="136">
        <v>0.21299999999999999</v>
      </c>
      <c r="E12" s="156"/>
      <c r="F12" s="149">
        <v>8.5000000000000006E-2</v>
      </c>
      <c r="G12" s="120">
        <v>3.1160000000000001</v>
      </c>
      <c r="H12" s="150">
        <v>5.6000000000000001E-2</v>
      </c>
      <c r="I12" s="130">
        <v>34</v>
      </c>
      <c r="J12" s="118">
        <v>-33</v>
      </c>
      <c r="K12" s="118">
        <v>0</v>
      </c>
      <c r="L12" s="118">
        <v>33</v>
      </c>
      <c r="M12" s="118">
        <v>-33</v>
      </c>
      <c r="N12" s="119">
        <v>0</v>
      </c>
      <c r="O12" s="2">
        <v>-67</v>
      </c>
      <c r="P12" s="3">
        <v>0</v>
      </c>
      <c r="Q12" s="3">
        <v>0</v>
      </c>
      <c r="R12" s="28">
        <v>0</v>
      </c>
      <c r="S12" s="28">
        <v>0</v>
      </c>
      <c r="T12" s="29">
        <v>0</v>
      </c>
      <c r="U12" s="367"/>
      <c r="V12" s="354"/>
      <c r="W12" s="6">
        <v>6</v>
      </c>
      <c r="X12" s="1"/>
      <c r="Y12" s="1"/>
      <c r="Z12" s="1"/>
      <c r="AA12" s="1"/>
      <c r="AB12" s="1"/>
      <c r="AC12" s="1"/>
      <c r="AD12" s="61"/>
      <c r="AG12" s="109"/>
      <c r="AH12" s="109">
        <f>AVERAGE(AH7:AH11)</f>
        <v>-12</v>
      </c>
    </row>
    <row r="13" spans="1:34">
      <c r="A13" s="192">
        <v>1</v>
      </c>
      <c r="B13" s="371">
        <v>2</v>
      </c>
      <c r="C13" s="135">
        <v>-37</v>
      </c>
      <c r="D13" s="132">
        <v>0.216</v>
      </c>
      <c r="E13" s="75">
        <f t="shared" ref="E13:E14" si="6">D13-ResX101</f>
        <v>3.0000000000000027E-3</v>
      </c>
      <c r="F13" s="7">
        <v>8.5000000000000006E-2</v>
      </c>
      <c r="G13" s="8">
        <v>3.1160000000000001</v>
      </c>
      <c r="H13" s="148">
        <v>5.6000000000000001E-2</v>
      </c>
      <c r="I13" s="127">
        <v>32</v>
      </c>
      <c r="J13" s="128">
        <v>-32</v>
      </c>
      <c r="K13" s="128">
        <v>0</v>
      </c>
      <c r="L13" s="128">
        <v>32</v>
      </c>
      <c r="M13" s="128">
        <v>-32</v>
      </c>
      <c r="N13" s="129">
        <v>0</v>
      </c>
      <c r="O13" s="6">
        <v>-65</v>
      </c>
      <c r="P13" s="151">
        <v>0</v>
      </c>
      <c r="Q13" s="151">
        <v>0</v>
      </c>
      <c r="R13" s="17">
        <v>0</v>
      </c>
      <c r="S13" s="17">
        <v>0</v>
      </c>
      <c r="T13" s="18">
        <v>0</v>
      </c>
      <c r="U13" s="367">
        <f>U12+2*1</f>
        <v>2</v>
      </c>
      <c r="V13" s="832">
        <f t="shared" ref="V13:V14" si="7">100*ABS(U13-ABS(E13*1000))/5</f>
        <v>20.000000000000053</v>
      </c>
      <c r="W13" s="6">
        <v>8</v>
      </c>
      <c r="X13" s="1">
        <v>-3.0000000000000001E-3</v>
      </c>
      <c r="Y13" s="1">
        <v>1.2999999999999999E-2</v>
      </c>
      <c r="Z13" s="1">
        <v>-4.0000000000000001E-3</v>
      </c>
      <c r="AA13" s="1"/>
      <c r="AB13" s="1"/>
      <c r="AC13" s="1"/>
      <c r="AD13" s="77">
        <f>(X13-X11)*1000</f>
        <v>0</v>
      </c>
      <c r="AE13" s="11">
        <f t="shared" ref="AE13:AF13" si="8">(Y13-Y11)*1000</f>
        <v>0</v>
      </c>
      <c r="AF13" s="11">
        <f t="shared" si="8"/>
        <v>0</v>
      </c>
      <c r="AG13" s="476">
        <f>AD13-B13</f>
        <v>-2</v>
      </c>
      <c r="AH13" s="377">
        <f>100*(AG13/B13)</f>
        <v>-100</v>
      </c>
    </row>
    <row r="14" spans="1:34">
      <c r="A14" s="192">
        <v>2</v>
      </c>
      <c r="B14" s="372">
        <v>2</v>
      </c>
      <c r="C14" s="87">
        <v>-35</v>
      </c>
      <c r="D14" s="134">
        <v>0.218</v>
      </c>
      <c r="E14" s="81">
        <f t="shared" si="6"/>
        <v>5.0000000000000044E-3</v>
      </c>
      <c r="F14" s="68">
        <v>8.5000000000000006E-2</v>
      </c>
      <c r="G14" s="69">
        <v>3.1160000000000001</v>
      </c>
      <c r="H14" s="70">
        <v>5.6000000000000001E-2</v>
      </c>
      <c r="I14" s="126">
        <v>31</v>
      </c>
      <c r="J14" s="123">
        <v>-30</v>
      </c>
      <c r="K14" s="123">
        <v>0</v>
      </c>
      <c r="L14" s="123">
        <v>31</v>
      </c>
      <c r="M14" s="123">
        <v>-31</v>
      </c>
      <c r="N14" s="124">
        <v>0</v>
      </c>
      <c r="O14" s="12">
        <v>-62</v>
      </c>
      <c r="P14" s="169">
        <v>0</v>
      </c>
      <c r="Q14" s="169">
        <v>0</v>
      </c>
      <c r="R14" s="19">
        <v>0</v>
      </c>
      <c r="S14" s="19">
        <v>0</v>
      </c>
      <c r="T14" s="20">
        <v>0</v>
      </c>
      <c r="U14" s="367">
        <f>U13+2*1</f>
        <v>4</v>
      </c>
      <c r="V14" s="832">
        <f t="shared" si="7"/>
        <v>20.000000000000089</v>
      </c>
      <c r="W14" s="6">
        <v>11</v>
      </c>
      <c r="X14" s="1">
        <v>-1E-3</v>
      </c>
      <c r="Y14" s="1">
        <v>1.2999999999999999E-2</v>
      </c>
      <c r="Z14" s="1">
        <v>-4.0000000000000001E-3</v>
      </c>
      <c r="AA14" s="1"/>
      <c r="AB14" s="1"/>
      <c r="AC14" s="1"/>
      <c r="AD14" s="79">
        <f>(X14-X13)*1000</f>
        <v>2</v>
      </c>
      <c r="AE14" s="1">
        <f t="shared" ref="AE14:AF14" si="9">(Y14-Y13)*1000</f>
        <v>0</v>
      </c>
      <c r="AF14" s="1">
        <f t="shared" si="9"/>
        <v>0</v>
      </c>
      <c r="AG14" s="109">
        <f>AD14-B14</f>
        <v>0</v>
      </c>
      <c r="AH14" s="378">
        <f>100*(AG14/B14)</f>
        <v>0</v>
      </c>
    </row>
    <row r="15" spans="1:34">
      <c r="A15" s="192"/>
      <c r="B15" s="386"/>
      <c r="C15" s="212"/>
      <c r="D15" s="211"/>
      <c r="E15" s="211"/>
      <c r="F15" s="211"/>
      <c r="G15" s="211"/>
      <c r="H15" s="211"/>
      <c r="I15" s="169"/>
      <c r="J15" s="169"/>
      <c r="K15" s="169"/>
      <c r="L15" s="169"/>
      <c r="M15" s="169"/>
      <c r="N15" s="169"/>
      <c r="O15" s="212"/>
      <c r="P15" s="169"/>
      <c r="Q15" s="169"/>
      <c r="R15" s="164"/>
      <c r="S15" s="164"/>
      <c r="T15" s="164"/>
      <c r="W15" s="6"/>
      <c r="X15" s="1"/>
      <c r="Y15" s="1"/>
      <c r="Z15" s="1"/>
      <c r="AA15" s="1"/>
      <c r="AB15" s="1"/>
      <c r="AC15" s="1"/>
      <c r="AD15" s="79"/>
      <c r="AE15" s="1"/>
      <c r="AF15" s="1"/>
      <c r="AG15" s="109"/>
      <c r="AH15" s="378"/>
    </row>
    <row r="16" spans="1:34" ht="15.6">
      <c r="A16" s="192">
        <v>3</v>
      </c>
      <c r="B16" s="137">
        <v>-2</v>
      </c>
      <c r="C16" s="135">
        <v>-37</v>
      </c>
      <c r="D16" s="132">
        <v>0.218</v>
      </c>
      <c r="E16" s="75">
        <f>D16-ResX101</f>
        <v>5.0000000000000044E-3</v>
      </c>
      <c r="F16" s="7">
        <v>8.5000000000000006E-2</v>
      </c>
      <c r="G16" s="8">
        <v>3.1160000000000001</v>
      </c>
      <c r="H16" s="148">
        <v>5.6000000000000001E-2</v>
      </c>
      <c r="I16" s="127">
        <v>32</v>
      </c>
      <c r="J16" s="128">
        <v>-31</v>
      </c>
      <c r="K16" s="128">
        <v>0</v>
      </c>
      <c r="L16" s="128">
        <v>32</v>
      </c>
      <c r="M16" s="128">
        <v>-32</v>
      </c>
      <c r="N16" s="129">
        <v>0</v>
      </c>
      <c r="O16" s="6">
        <v>-64</v>
      </c>
      <c r="P16" s="151">
        <v>-1</v>
      </c>
      <c r="Q16" s="151">
        <v>0</v>
      </c>
      <c r="R16" s="17">
        <v>0</v>
      </c>
      <c r="S16" s="17">
        <v>0</v>
      </c>
      <c r="T16" s="18">
        <v>0</v>
      </c>
      <c r="U16" s="359" t="s">
        <v>143</v>
      </c>
      <c r="V16" s="833">
        <f>AVERAGE(V7:V14)</f>
        <v>39.999999999999751</v>
      </c>
      <c r="W16" s="6">
        <v>9</v>
      </c>
      <c r="X16" s="1">
        <v>-1E-3</v>
      </c>
      <c r="Y16" s="1">
        <v>1.2E-2</v>
      </c>
      <c r="Z16" s="1">
        <v>-4.0000000000000001E-3</v>
      </c>
      <c r="AA16" s="1"/>
      <c r="AB16" s="1"/>
      <c r="AC16" s="1"/>
      <c r="AD16" s="79">
        <f>(X16-X14)*1000</f>
        <v>0</v>
      </c>
      <c r="AE16" s="1">
        <f>(Y16-Y14)*1000</f>
        <v>-0.99999999999999911</v>
      </c>
      <c r="AF16" s="1">
        <f>(Z16-Z14)*1000</f>
        <v>0</v>
      </c>
      <c r="AG16" s="109">
        <f>AD16-B16</f>
        <v>2</v>
      </c>
      <c r="AH16" s="378">
        <f>100*(AG16/B16)</f>
        <v>-100</v>
      </c>
    </row>
    <row r="17" spans="1:34">
      <c r="A17" s="192">
        <v>4</v>
      </c>
      <c r="B17" s="137">
        <v>2</v>
      </c>
      <c r="C17" s="135">
        <v>-35</v>
      </c>
      <c r="D17" s="132">
        <v>0.28399999999999997</v>
      </c>
      <c r="E17" s="75">
        <f>D17-ResX101</f>
        <v>7.099999999999998E-2</v>
      </c>
      <c r="F17" s="7">
        <v>8.5000000000000006E-2</v>
      </c>
      <c r="G17" s="8">
        <v>3.1160000000000001</v>
      </c>
      <c r="H17" s="148">
        <v>5.6000000000000001E-2</v>
      </c>
      <c r="I17" s="127"/>
      <c r="J17" s="128"/>
      <c r="K17" s="128"/>
      <c r="L17" s="128"/>
      <c r="M17" s="128"/>
      <c r="N17" s="129"/>
      <c r="O17" s="6"/>
      <c r="P17" s="151"/>
      <c r="Q17" s="151"/>
      <c r="R17" s="17"/>
      <c r="S17" s="17"/>
      <c r="T17" s="18"/>
      <c r="U17" s="352" t="s">
        <v>145</v>
      </c>
      <c r="V17" s="352">
        <f>STDEV(V7:V14)</f>
        <v>16.329931618554298</v>
      </c>
      <c r="W17" s="6">
        <v>11</v>
      </c>
      <c r="X17" s="1">
        <v>-1E-3</v>
      </c>
      <c r="Y17" s="1">
        <v>1.2E-2</v>
      </c>
      <c r="Z17" s="1">
        <v>-4.0000000000000001E-3</v>
      </c>
      <c r="AA17" s="1"/>
      <c r="AB17" s="1"/>
      <c r="AC17" s="1"/>
      <c r="AD17" s="79">
        <f>(X17-X16)*1000</f>
        <v>0</v>
      </c>
      <c r="AE17" s="1">
        <f t="shared" ref="AE17:AF17" si="10">(Y17-Y16)*1000</f>
        <v>0</v>
      </c>
      <c r="AF17" s="1">
        <f t="shared" si="10"/>
        <v>0</v>
      </c>
      <c r="AG17" s="109">
        <f>AD17-B17</f>
        <v>-2</v>
      </c>
      <c r="AH17" s="378">
        <f>100*(AG17/B17)</f>
        <v>-100</v>
      </c>
    </row>
    <row r="18" spans="1:34">
      <c r="A18" s="192">
        <v>5</v>
      </c>
      <c r="B18" s="137">
        <v>-2</v>
      </c>
      <c r="C18" s="135">
        <v>-37</v>
      </c>
      <c r="D18" s="132">
        <v>0.11700000000000001</v>
      </c>
      <c r="E18" s="75">
        <f>D18-ResX101</f>
        <v>-9.5999999999999988E-2</v>
      </c>
      <c r="F18" s="7"/>
      <c r="G18" s="8"/>
      <c r="H18" s="148"/>
      <c r="I18" s="127"/>
      <c r="J18" s="128"/>
      <c r="K18" s="128"/>
      <c r="L18" s="128"/>
      <c r="M18" s="128"/>
      <c r="N18" s="129"/>
      <c r="O18" s="6"/>
      <c r="P18" s="1"/>
      <c r="Q18" s="1"/>
      <c r="R18" s="17"/>
      <c r="S18" s="17"/>
      <c r="T18" s="18"/>
      <c r="W18" s="12">
        <v>9</v>
      </c>
      <c r="X18" s="13">
        <v>-1E-3</v>
      </c>
      <c r="Y18" s="13">
        <v>1.2E-2</v>
      </c>
      <c r="Z18" s="13">
        <v>-4.0000000000000001E-3</v>
      </c>
      <c r="AA18" s="13" t="s">
        <v>589</v>
      </c>
      <c r="AB18" s="13"/>
      <c r="AC18" s="13"/>
      <c r="AD18" s="82">
        <f>(X18-X17)*1000</f>
        <v>0</v>
      </c>
      <c r="AE18" s="13">
        <f t="shared" ref="AE18" si="11">(Y18-Y17)*1000</f>
        <v>0</v>
      </c>
      <c r="AF18" s="13">
        <f t="shared" ref="AF18" si="12">(Z18-Z17)*1000</f>
        <v>0</v>
      </c>
      <c r="AG18" s="478">
        <f>AD18-B18</f>
        <v>2</v>
      </c>
      <c r="AH18" s="375">
        <f>100*(AG18/B18)</f>
        <v>-100</v>
      </c>
    </row>
    <row r="19" spans="1:34">
      <c r="A19" s="192"/>
      <c r="B19" s="138"/>
      <c r="C19" s="4">
        <v>-47</v>
      </c>
      <c r="D19" s="136">
        <v>0.107</v>
      </c>
      <c r="E19" s="156"/>
      <c r="F19" s="149"/>
      <c r="G19" s="120"/>
      <c r="H19" s="150"/>
      <c r="I19" s="130"/>
      <c r="J19" s="118"/>
      <c r="K19" s="118"/>
      <c r="L19" s="118"/>
      <c r="M19" s="118"/>
      <c r="N19" s="119"/>
      <c r="O19" s="2"/>
      <c r="P19" s="3"/>
      <c r="Q19" s="3"/>
      <c r="R19" s="28"/>
      <c r="S19" s="28"/>
      <c r="T19" s="29"/>
      <c r="AA19" t="s">
        <v>590</v>
      </c>
    </row>
    <row r="20" spans="1:34">
      <c r="A20" s="192"/>
      <c r="B20" s="137">
        <v>1</v>
      </c>
      <c r="C20" s="135">
        <v>-46</v>
      </c>
      <c r="D20" s="132">
        <v>0.109</v>
      </c>
      <c r="E20" s="75">
        <v>2.0000000000000018E-3</v>
      </c>
      <c r="F20" s="7"/>
      <c r="G20" s="8"/>
      <c r="H20" s="148"/>
      <c r="I20" s="127"/>
      <c r="J20" s="128"/>
      <c r="K20" s="128"/>
      <c r="L20" s="128"/>
      <c r="M20" s="128"/>
      <c r="N20" s="129"/>
      <c r="O20" s="6"/>
      <c r="P20" s="1"/>
      <c r="Q20" s="1"/>
      <c r="R20" s="17"/>
      <c r="S20" s="17"/>
      <c r="T20" s="18"/>
    </row>
    <row r="21" spans="1:34">
      <c r="A21" s="192"/>
      <c r="B21" s="137">
        <v>1</v>
      </c>
      <c r="C21" s="135">
        <v>-45</v>
      </c>
      <c r="D21" s="132">
        <v>0.109</v>
      </c>
      <c r="E21" s="75">
        <v>2.0000000000000018E-3</v>
      </c>
      <c r="F21" s="7"/>
      <c r="G21" s="8"/>
      <c r="H21" s="148"/>
      <c r="I21" s="127"/>
      <c r="J21" s="128"/>
      <c r="K21" s="128"/>
      <c r="L21" s="128"/>
      <c r="M21" s="128"/>
      <c r="N21" s="129"/>
      <c r="O21" s="6"/>
      <c r="P21" s="1"/>
      <c r="Q21" s="1"/>
      <c r="R21" s="17"/>
      <c r="S21" s="17"/>
      <c r="T21" s="18"/>
    </row>
    <row r="22" spans="1:34">
      <c r="A22" s="192"/>
      <c r="B22" s="137">
        <v>-1</v>
      </c>
      <c r="C22" s="135">
        <v>-46</v>
      </c>
      <c r="D22" s="132">
        <v>0.109</v>
      </c>
      <c r="E22" s="75">
        <v>2.0000000000000018E-3</v>
      </c>
      <c r="F22" s="7"/>
      <c r="G22" s="8"/>
      <c r="H22" s="148"/>
      <c r="I22" s="127"/>
      <c r="J22" s="128"/>
      <c r="K22" s="128"/>
      <c r="L22" s="128"/>
      <c r="M22" s="128"/>
      <c r="N22" s="129"/>
      <c r="O22" s="6"/>
      <c r="P22" s="1"/>
      <c r="Q22" s="1"/>
      <c r="R22" s="17"/>
      <c r="S22" s="17"/>
      <c r="T22" s="18"/>
    </row>
    <row r="23" spans="1:34">
      <c r="A23" s="192"/>
      <c r="B23" s="137">
        <v>1</v>
      </c>
      <c r="C23" s="135">
        <v>-45</v>
      </c>
      <c r="D23" s="132">
        <v>0.11</v>
      </c>
      <c r="E23" s="75">
        <v>3.0000000000000027E-3</v>
      </c>
      <c r="F23" s="7"/>
      <c r="G23" s="8"/>
      <c r="H23" s="148"/>
      <c r="I23" s="127"/>
      <c r="J23" s="128"/>
      <c r="K23" s="128"/>
      <c r="L23" s="128"/>
      <c r="M23" s="128"/>
      <c r="N23" s="129"/>
      <c r="O23" s="6"/>
      <c r="P23" s="1"/>
      <c r="Q23" s="1"/>
      <c r="R23" s="17"/>
      <c r="S23" s="17"/>
      <c r="T23" s="18"/>
    </row>
    <row r="24" spans="1:34">
      <c r="A24" s="192"/>
      <c r="B24" s="139">
        <v>-1</v>
      </c>
      <c r="C24" s="87">
        <v>-46</v>
      </c>
      <c r="D24" s="132">
        <v>0.109</v>
      </c>
      <c r="E24" s="75">
        <v>2.0000000000000018E-3</v>
      </c>
      <c r="F24" s="68"/>
      <c r="G24" s="69"/>
      <c r="H24" s="70"/>
      <c r="I24" s="126"/>
      <c r="J24" s="123"/>
      <c r="K24" s="123"/>
      <c r="L24" s="123"/>
      <c r="M24" s="123"/>
      <c r="N24" s="124"/>
      <c r="O24" s="12"/>
      <c r="P24" s="13"/>
      <c r="Q24" s="13"/>
      <c r="R24" s="19"/>
      <c r="S24" s="19"/>
      <c r="T24" s="20"/>
    </row>
    <row r="25" spans="1:34">
      <c r="A25" s="192"/>
      <c r="B25" s="178"/>
      <c r="C25" s="39"/>
      <c r="D25" s="71"/>
      <c r="E25" s="71"/>
      <c r="F25" s="71"/>
      <c r="G25" s="71"/>
      <c r="H25" s="71"/>
      <c r="I25" s="151"/>
      <c r="J25" s="151"/>
      <c r="K25" s="151"/>
      <c r="L25" s="151"/>
      <c r="M25" s="151"/>
      <c r="N25" s="151"/>
      <c r="O25" s="39"/>
      <c r="P25" s="151"/>
      <c r="Q25" s="151"/>
      <c r="R25" s="147"/>
      <c r="S25" s="147"/>
      <c r="T25" s="147"/>
    </row>
    <row r="26" spans="1:34">
      <c r="B26" s="178"/>
      <c r="C26" s="39"/>
      <c r="D26" s="71"/>
      <c r="E26" s="71"/>
      <c r="F26" s="71"/>
      <c r="G26" s="71"/>
      <c r="H26" s="71"/>
      <c r="I26" s="151"/>
      <c r="J26" s="151"/>
      <c r="K26" s="151"/>
      <c r="L26" s="151"/>
      <c r="M26" s="151"/>
      <c r="N26" s="151"/>
      <c r="O26" s="39"/>
      <c r="P26" s="151"/>
      <c r="Q26" s="151"/>
      <c r="R26" s="147"/>
      <c r="S26" s="147"/>
      <c r="T26" s="147"/>
    </row>
    <row r="27" spans="1:34">
      <c r="B27" s="178"/>
      <c r="C27" s="39"/>
      <c r="D27" s="71"/>
      <c r="E27" s="71"/>
      <c r="F27" s="71"/>
      <c r="G27" s="71"/>
      <c r="H27" s="71"/>
      <c r="I27" s="151"/>
      <c r="J27" s="151"/>
      <c r="K27" s="151"/>
      <c r="L27" s="151"/>
      <c r="M27" s="151"/>
      <c r="N27" s="151"/>
      <c r="O27" s="39"/>
      <c r="P27" s="151"/>
      <c r="Q27" s="151"/>
      <c r="R27" s="147"/>
      <c r="S27" s="147"/>
      <c r="T27" s="147"/>
    </row>
    <row r="28" spans="1:34">
      <c r="B28" s="178"/>
      <c r="C28" s="39"/>
      <c r="D28" s="71"/>
      <c r="E28" s="71"/>
      <c r="F28" s="71"/>
      <c r="G28" s="71"/>
      <c r="H28" s="71"/>
      <c r="I28" s="151"/>
      <c r="J28" s="151"/>
      <c r="K28" s="151"/>
      <c r="L28" s="151"/>
      <c r="M28" s="151"/>
      <c r="N28" s="151"/>
      <c r="O28" s="39"/>
      <c r="P28" s="151"/>
      <c r="Q28" s="151"/>
      <c r="R28" s="147"/>
      <c r="S28" s="147"/>
      <c r="T28" s="147"/>
    </row>
    <row r="29" spans="1:34">
      <c r="B29" s="178"/>
      <c r="C29" s="39"/>
      <c r="D29" s="71"/>
      <c r="E29" s="71"/>
      <c r="F29" s="71"/>
      <c r="G29" s="71"/>
      <c r="H29" s="71"/>
      <c r="I29" s="151"/>
      <c r="J29" s="151"/>
      <c r="K29" s="151"/>
      <c r="L29" s="151"/>
      <c r="M29" s="151"/>
      <c r="N29" s="151"/>
      <c r="O29" s="39"/>
      <c r="P29" s="151"/>
      <c r="Q29" s="151"/>
      <c r="R29" s="147"/>
      <c r="S29" s="147"/>
      <c r="T29" s="14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45"/>
  <sheetViews>
    <sheetView topLeftCell="A16" zoomScaleNormal="100" workbookViewId="0">
      <selection activeCell="R41" sqref="R41"/>
    </sheetView>
  </sheetViews>
  <sheetFormatPr defaultRowHeight="14.4"/>
  <cols>
    <col min="1" max="1" width="6.6640625" customWidth="1"/>
    <col min="2" max="2" width="9.109375" customWidth="1"/>
    <col min="3" max="3" width="12" bestFit="1" customWidth="1"/>
    <col min="4" max="4" width="7.6640625" customWidth="1"/>
    <col min="5" max="6" width="7.88671875" customWidth="1"/>
    <col min="7" max="7" width="7.5546875" customWidth="1"/>
    <col min="8" max="9" width="8.109375" customWidth="1"/>
    <col min="10" max="15" width="5.6640625" customWidth="1"/>
    <col min="22" max="22" width="9.109375" customWidth="1"/>
    <col min="23" max="23" width="5.88671875" bestFit="1" customWidth="1"/>
    <col min="27" max="27" width="10" style="740" customWidth="1"/>
    <col min="28" max="28" width="8.88671875" style="9"/>
    <col min="29" max="29" width="10.33203125" style="9" bestFit="1" customWidth="1"/>
    <col min="30" max="30" width="10.5546875" style="9" customWidth="1"/>
    <col min="31" max="31" width="11.109375" style="9" customWidth="1"/>
    <col min="33" max="33" width="11.44140625" customWidth="1"/>
  </cols>
  <sheetData>
    <row r="1" spans="1:34">
      <c r="A1" s="333" t="s">
        <v>586</v>
      </c>
      <c r="AA1" s="747"/>
      <c r="AB1" s="331" t="s">
        <v>458</v>
      </c>
      <c r="AC1" s="331"/>
      <c r="AD1" s="331"/>
      <c r="AE1" s="331"/>
      <c r="AF1" s="332"/>
    </row>
    <row r="2" spans="1:34">
      <c r="A2" s="333" t="s">
        <v>162</v>
      </c>
      <c r="B2" s="10" t="s">
        <v>66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86"/>
      <c r="P2" s="11"/>
      <c r="Q2" s="11"/>
      <c r="R2" s="11"/>
      <c r="S2" s="11"/>
      <c r="T2" s="11"/>
      <c r="U2" s="86"/>
      <c r="V2" s="353" t="s">
        <v>134</v>
      </c>
      <c r="W2" s="361"/>
      <c r="AA2" s="740" t="s">
        <v>3</v>
      </c>
      <c r="AC2" s="748"/>
      <c r="AD2" s="331" t="s">
        <v>594</v>
      </c>
      <c r="AE2" s="867">
        <f>0.0000819</f>
        <v>8.1899999999999999E-5</v>
      </c>
      <c r="AF2" s="332" t="s">
        <v>198</v>
      </c>
    </row>
    <row r="3" spans="1:34">
      <c r="A3" s="333" t="s">
        <v>406</v>
      </c>
      <c r="B3" s="6"/>
      <c r="C3" s="10" t="s">
        <v>39</v>
      </c>
      <c r="D3" s="350" t="s">
        <v>36</v>
      </c>
      <c r="E3" s="131" t="s">
        <v>152</v>
      </c>
      <c r="F3" s="11"/>
      <c r="G3" s="11"/>
      <c r="H3" s="11"/>
      <c r="I3" s="11"/>
      <c r="J3" s="125" t="s">
        <v>38</v>
      </c>
      <c r="K3" s="121"/>
      <c r="L3" s="121"/>
      <c r="M3" s="121"/>
      <c r="N3" s="121" t="s">
        <v>130</v>
      </c>
      <c r="O3" s="122"/>
      <c r="P3" s="1"/>
      <c r="Q3" s="1"/>
      <c r="R3" s="1" t="s">
        <v>61</v>
      </c>
      <c r="S3" s="1"/>
      <c r="T3" s="1"/>
      <c r="U3" s="135"/>
      <c r="V3" s="354" t="s">
        <v>154</v>
      </c>
      <c r="W3" s="362" t="s">
        <v>96</v>
      </c>
      <c r="AA3" s="740" t="s">
        <v>138</v>
      </c>
      <c r="AC3" s="805" t="s">
        <v>593</v>
      </c>
      <c r="AD3" s="764" t="s">
        <v>591</v>
      </c>
      <c r="AE3" s="868">
        <f>1938*-AE2*3.1416/180</f>
        <v>-2.770231464E-3</v>
      </c>
      <c r="AF3" s="765" t="s">
        <v>7</v>
      </c>
    </row>
    <row r="4" spans="1:34">
      <c r="A4" s="333" t="s">
        <v>581</v>
      </c>
      <c r="B4" s="6"/>
      <c r="C4" s="6" t="s">
        <v>42</v>
      </c>
      <c r="D4" s="323" t="s">
        <v>41</v>
      </c>
      <c r="E4" s="6" t="s">
        <v>150</v>
      </c>
      <c r="F4" s="79" t="s">
        <v>40</v>
      </c>
      <c r="G4" s="1" t="s">
        <v>131</v>
      </c>
      <c r="H4" s="1" t="s">
        <v>149</v>
      </c>
      <c r="I4" s="1" t="s">
        <v>151</v>
      </c>
      <c r="J4" s="127">
        <v>1</v>
      </c>
      <c r="K4" s="128">
        <v>2</v>
      </c>
      <c r="L4" s="128">
        <v>3</v>
      </c>
      <c r="M4" s="128">
        <v>4</v>
      </c>
      <c r="N4" s="128">
        <v>5</v>
      </c>
      <c r="O4" s="129">
        <v>6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35" t="s">
        <v>5</v>
      </c>
      <c r="V4" s="355" t="s">
        <v>136</v>
      </c>
      <c r="W4" s="363" t="s">
        <v>141</v>
      </c>
      <c r="AA4" s="741" t="s">
        <v>36</v>
      </c>
      <c r="AC4" s="819" t="s">
        <v>593</v>
      </c>
      <c r="AD4" s="772" t="s">
        <v>592</v>
      </c>
      <c r="AE4" s="869">
        <f>870*-AE2*3.1416/180</f>
        <v>-1.2436023599999998E-3</v>
      </c>
      <c r="AF4" s="773" t="s">
        <v>7</v>
      </c>
    </row>
    <row r="5" spans="1:34">
      <c r="A5" s="333"/>
      <c r="B5" s="2" t="s">
        <v>55</v>
      </c>
      <c r="C5" s="138" t="s">
        <v>43</v>
      </c>
      <c r="D5" s="4">
        <v>0</v>
      </c>
      <c r="E5" s="149">
        <v>6.9000000000000006E-2</v>
      </c>
      <c r="F5" s="120"/>
      <c r="G5" s="120">
        <v>0.16700000000000001</v>
      </c>
      <c r="H5" s="120">
        <v>3.121</v>
      </c>
      <c r="I5" s="120">
        <v>5.1999999999999998E-2</v>
      </c>
      <c r="J5" s="130">
        <v>0</v>
      </c>
      <c r="K5" s="118">
        <v>0</v>
      </c>
      <c r="L5" s="118">
        <v>0</v>
      </c>
      <c r="M5" s="118">
        <v>0</v>
      </c>
      <c r="N5" s="118">
        <v>0</v>
      </c>
      <c r="O5" s="119">
        <v>0</v>
      </c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29">
        <v>0</v>
      </c>
      <c r="V5" s="366"/>
      <c r="W5" s="361"/>
      <c r="X5" t="s">
        <v>64</v>
      </c>
      <c r="AE5" s="742"/>
    </row>
    <row r="6" spans="1:34">
      <c r="A6" s="333"/>
      <c r="B6" s="6"/>
      <c r="C6" s="140">
        <v>4.0949999999999998E-4</v>
      </c>
      <c r="D6" s="323">
        <v>5.0000000000000001E-4</v>
      </c>
      <c r="E6" s="7">
        <v>5.5E-2</v>
      </c>
      <c r="F6" s="75">
        <f>E6-ResRx20</f>
        <v>-1.4000000000000005E-2</v>
      </c>
      <c r="G6" s="8">
        <v>0.16200000000000001</v>
      </c>
      <c r="H6" s="8">
        <v>3.1179999999999999</v>
      </c>
      <c r="I6" s="8">
        <v>4.5999999999999999E-2</v>
      </c>
      <c r="J6" s="127">
        <v>-9</v>
      </c>
      <c r="K6" s="128">
        <v>-9</v>
      </c>
      <c r="L6" s="128">
        <v>10</v>
      </c>
      <c r="M6" s="128">
        <v>-2</v>
      </c>
      <c r="N6" s="128">
        <v>-1</v>
      </c>
      <c r="O6" s="129">
        <v>10</v>
      </c>
      <c r="P6" s="17">
        <v>0</v>
      </c>
      <c r="Q6" s="17">
        <v>1</v>
      </c>
      <c r="R6" s="17">
        <v>0</v>
      </c>
      <c r="S6" s="17">
        <v>4.0000000000000002E-4</v>
      </c>
      <c r="T6" s="17">
        <v>0</v>
      </c>
      <c r="U6" s="18">
        <v>0</v>
      </c>
      <c r="V6" s="367">
        <f>V5+5*2.7702</f>
        <v>13.850999999999999</v>
      </c>
      <c r="W6" s="364">
        <f>100*ABS(V6-ABS(F6*1000))/5</f>
        <v>2.9800000000001248</v>
      </c>
      <c r="AE6" s="742"/>
    </row>
    <row r="7" spans="1:34">
      <c r="A7" s="333"/>
      <c r="B7" s="6"/>
      <c r="C7" s="140">
        <v>4.0949999999999998E-4</v>
      </c>
      <c r="D7" s="323">
        <v>8.9999999999999998E-4</v>
      </c>
      <c r="E7" s="7">
        <v>4.2000000000000003E-2</v>
      </c>
      <c r="F7" s="75">
        <f>E7-ResRx20</f>
        <v>-2.7000000000000003E-2</v>
      </c>
      <c r="G7" s="8">
        <v>0.16200000000000001</v>
      </c>
      <c r="H7" s="8">
        <v>3.1179999999999999</v>
      </c>
      <c r="I7" s="8">
        <v>0.04</v>
      </c>
      <c r="J7" s="127">
        <v>-18</v>
      </c>
      <c r="K7" s="128">
        <v>-18</v>
      </c>
      <c r="L7" s="128">
        <v>20</v>
      </c>
      <c r="M7" s="128">
        <v>-3</v>
      </c>
      <c r="N7" s="128">
        <v>-2</v>
      </c>
      <c r="O7" s="129">
        <v>20</v>
      </c>
      <c r="P7" s="17">
        <v>-1</v>
      </c>
      <c r="Q7" s="17">
        <v>2</v>
      </c>
      <c r="R7" s="17">
        <v>0</v>
      </c>
      <c r="S7" s="17">
        <v>8.9999999999999998E-4</v>
      </c>
      <c r="T7" s="17">
        <v>0</v>
      </c>
      <c r="U7" s="18">
        <v>0</v>
      </c>
      <c r="V7" s="367">
        <f>V6+5*2.7702</f>
        <v>27.701999999999998</v>
      </c>
      <c r="W7" s="364">
        <f>100*ABS(V7-ABS(F7*1000))/5</f>
        <v>14.039999999999893</v>
      </c>
      <c r="AE7" s="742"/>
    </row>
    <row r="8" spans="1:34">
      <c r="A8" s="333"/>
      <c r="B8" s="6"/>
      <c r="C8" s="140">
        <v>-4.0949999999999998E-4</v>
      </c>
      <c r="D8" s="323">
        <v>5.0000000000000001E-4</v>
      </c>
      <c r="E8" s="7">
        <v>5.6000000000000001E-2</v>
      </c>
      <c r="F8" s="75">
        <f>E8-ResRx20</f>
        <v>-1.3000000000000005E-2</v>
      </c>
      <c r="G8" s="8">
        <v>0.16400000000000001</v>
      </c>
      <c r="H8" s="8">
        <v>3.1190000000000002</v>
      </c>
      <c r="I8" s="8">
        <v>4.5999999999999999E-2</v>
      </c>
      <c r="J8" s="127">
        <v>-9</v>
      </c>
      <c r="K8" s="128">
        <v>-9</v>
      </c>
      <c r="L8" s="128">
        <v>10</v>
      </c>
      <c r="M8" s="128">
        <v>-2</v>
      </c>
      <c r="N8" s="128">
        <v>-1</v>
      </c>
      <c r="O8" s="129">
        <v>10</v>
      </c>
      <c r="P8" s="17">
        <v>-1</v>
      </c>
      <c r="Q8" s="17">
        <v>1</v>
      </c>
      <c r="R8" s="17">
        <v>0</v>
      </c>
      <c r="S8" s="17">
        <v>4.0000000000000002E-4</v>
      </c>
      <c r="T8" s="17">
        <v>0</v>
      </c>
      <c r="U8" s="18">
        <v>0</v>
      </c>
      <c r="V8" s="367">
        <f>V7-5*2.7702</f>
        <v>13.850999999999999</v>
      </c>
      <c r="W8" s="364">
        <f t="shared" ref="W8:W28" si="0">100*ABS(V8-ABS(F8*1000))/5</f>
        <v>17.019999999999875</v>
      </c>
      <c r="AE8" s="742"/>
    </row>
    <row r="9" spans="1:34">
      <c r="A9" s="333"/>
      <c r="B9" s="6"/>
      <c r="C9" s="140">
        <v>4.0949999999999998E-4</v>
      </c>
      <c r="D9" s="323">
        <v>8.9999999999999998E-4</v>
      </c>
      <c r="E9" s="7">
        <v>4.2999999999999997E-2</v>
      </c>
      <c r="F9" s="75">
        <f>E9-ResRx20</f>
        <v>-2.6000000000000009E-2</v>
      </c>
      <c r="G9" s="8">
        <v>0.16300000000000001</v>
      </c>
      <c r="H9" s="8">
        <v>3.117</v>
      </c>
      <c r="I9" s="8">
        <v>0.04</v>
      </c>
      <c r="J9" s="127">
        <v>-18</v>
      </c>
      <c r="K9" s="128">
        <v>-17</v>
      </c>
      <c r="L9" s="128">
        <v>20</v>
      </c>
      <c r="M9" s="128">
        <v>-3</v>
      </c>
      <c r="N9" s="128">
        <v>-3</v>
      </c>
      <c r="O9" s="129">
        <v>20</v>
      </c>
      <c r="P9" s="17">
        <v>-1</v>
      </c>
      <c r="Q9" s="17">
        <v>2</v>
      </c>
      <c r="R9" s="17">
        <v>0</v>
      </c>
      <c r="S9" s="17">
        <v>8.9999999999999998E-4</v>
      </c>
      <c r="T9" s="17">
        <v>0</v>
      </c>
      <c r="U9" s="18">
        <v>0</v>
      </c>
      <c r="V9" s="367">
        <f>V8+5*2.7702</f>
        <v>27.701999999999998</v>
      </c>
      <c r="W9" s="364">
        <f t="shared" si="0"/>
        <v>34.03999999999975</v>
      </c>
      <c r="AE9" s="742"/>
    </row>
    <row r="10" spans="1:34">
      <c r="A10" s="333"/>
      <c r="B10" s="6"/>
      <c r="C10" s="140">
        <v>-4.0949999999999998E-4</v>
      </c>
      <c r="D10" s="323">
        <v>5.0000000000000001E-4</v>
      </c>
      <c r="E10" s="7">
        <v>5.6000000000000001E-2</v>
      </c>
      <c r="F10" s="75">
        <f>E10-ResRx20</f>
        <v>-1.3000000000000005E-2</v>
      </c>
      <c r="G10" s="8">
        <v>0.16400000000000001</v>
      </c>
      <c r="H10" s="8">
        <v>3.1179999999999999</v>
      </c>
      <c r="I10" s="8">
        <v>4.5999999999999999E-2</v>
      </c>
      <c r="J10" s="127">
        <v>-9</v>
      </c>
      <c r="K10" s="128">
        <v>-9</v>
      </c>
      <c r="L10" s="128">
        <v>9</v>
      </c>
      <c r="M10" s="128">
        <v>-2</v>
      </c>
      <c r="N10" s="128">
        <v>-1</v>
      </c>
      <c r="O10" s="129">
        <v>10</v>
      </c>
      <c r="P10" s="17">
        <v>-1</v>
      </c>
      <c r="Q10" s="17">
        <v>1</v>
      </c>
      <c r="R10" s="17">
        <v>0</v>
      </c>
      <c r="S10" s="17">
        <v>4.0000000000000002E-4</v>
      </c>
      <c r="T10" s="17">
        <v>0</v>
      </c>
      <c r="U10" s="18">
        <v>0</v>
      </c>
      <c r="V10" s="367">
        <f>V9-5*2.7702</f>
        <v>13.850999999999999</v>
      </c>
      <c r="W10" s="364">
        <f t="shared" si="0"/>
        <v>17.019999999999875</v>
      </c>
      <c r="AE10" s="742"/>
    </row>
    <row r="11" spans="1:34">
      <c r="A11" s="333"/>
      <c r="B11" s="133" t="s">
        <v>54</v>
      </c>
      <c r="C11" s="138" t="s">
        <v>44</v>
      </c>
      <c r="D11" s="4">
        <v>5.0000000000000001E-4</v>
      </c>
      <c r="E11" s="149">
        <v>5.6000000000000001E-2</v>
      </c>
      <c r="F11" s="120"/>
      <c r="G11" s="120">
        <v>0.16400000000000001</v>
      </c>
      <c r="H11" s="120">
        <v>3.1179999999999999</v>
      </c>
      <c r="I11" s="120">
        <v>4.5999999999999999E-2</v>
      </c>
      <c r="J11" s="130">
        <v>-9</v>
      </c>
      <c r="K11" s="118">
        <v>-9</v>
      </c>
      <c r="L11" s="118">
        <v>9</v>
      </c>
      <c r="M11" s="118">
        <v>-2</v>
      </c>
      <c r="N11" s="118">
        <v>-1</v>
      </c>
      <c r="O11" s="119">
        <v>10</v>
      </c>
      <c r="P11" s="28">
        <v>-1</v>
      </c>
      <c r="Q11" s="28">
        <v>1</v>
      </c>
      <c r="R11" s="28">
        <v>0</v>
      </c>
      <c r="S11" s="28">
        <v>4.0000000000000002E-4</v>
      </c>
      <c r="T11" s="28">
        <v>0</v>
      </c>
      <c r="U11" s="29">
        <v>0</v>
      </c>
      <c r="V11" s="367"/>
      <c r="W11" s="362"/>
      <c r="AE11" s="742"/>
    </row>
    <row r="12" spans="1:34">
      <c r="A12" s="333"/>
      <c r="B12" s="6"/>
      <c r="C12" s="137">
        <v>1.638E-4</v>
      </c>
      <c r="D12" s="323">
        <v>6.9999999999999999E-4</v>
      </c>
      <c r="E12" s="7">
        <v>0.05</v>
      </c>
      <c r="F12" s="75">
        <f>E12-resRx21</f>
        <v>-5.9999999999999984E-3</v>
      </c>
      <c r="G12" s="8">
        <v>0.16400000000000001</v>
      </c>
      <c r="H12" s="8">
        <v>3.117</v>
      </c>
      <c r="I12" s="8">
        <v>4.2999999999999997E-2</v>
      </c>
      <c r="J12" s="127">
        <v>-13</v>
      </c>
      <c r="K12" s="128">
        <v>-13</v>
      </c>
      <c r="L12" s="128">
        <v>13</v>
      </c>
      <c r="M12" s="128">
        <v>-2</v>
      </c>
      <c r="N12" s="128">
        <v>-2</v>
      </c>
      <c r="O12" s="129">
        <v>15</v>
      </c>
      <c r="P12" s="17">
        <v>-2</v>
      </c>
      <c r="Q12" s="17">
        <v>2</v>
      </c>
      <c r="R12" s="17">
        <v>0</v>
      </c>
      <c r="S12" s="17">
        <v>5.9999999999999995E-4</v>
      </c>
      <c r="T12" s="17">
        <v>0</v>
      </c>
      <c r="U12" s="18">
        <v>0</v>
      </c>
      <c r="V12" s="367">
        <f>V11+2*2.7702</f>
        <v>5.5404</v>
      </c>
      <c r="W12" s="364">
        <f t="shared" si="0"/>
        <v>9.1919999999999646</v>
      </c>
      <c r="AE12" s="742"/>
    </row>
    <row r="13" spans="1:34">
      <c r="A13" s="333"/>
      <c r="B13" s="6"/>
      <c r="C13" s="137">
        <v>1.638E-4</v>
      </c>
      <c r="D13" s="323">
        <v>8.9999999999999998E-4</v>
      </c>
      <c r="E13" s="7">
        <v>4.4999999999999998E-2</v>
      </c>
      <c r="F13" s="75">
        <f>E13-resRx21</f>
        <v>-1.1000000000000003E-2</v>
      </c>
      <c r="G13" s="8">
        <v>0.16300000000000001</v>
      </c>
      <c r="H13" s="8">
        <v>3.1160000000000001</v>
      </c>
      <c r="I13" s="8">
        <v>4.1000000000000002E-2</v>
      </c>
      <c r="J13" s="127">
        <v>-16</v>
      </c>
      <c r="K13" s="128">
        <v>-16</v>
      </c>
      <c r="L13" s="128">
        <v>17</v>
      </c>
      <c r="M13" s="128">
        <v>-3</v>
      </c>
      <c r="N13" s="128">
        <v>-2</v>
      </c>
      <c r="O13" s="129">
        <v>19</v>
      </c>
      <c r="P13" s="17">
        <v>-2</v>
      </c>
      <c r="Q13" s="17">
        <v>3</v>
      </c>
      <c r="R13" s="17">
        <v>0</v>
      </c>
      <c r="S13" s="17">
        <v>8.0000000000000004E-4</v>
      </c>
      <c r="T13" s="17">
        <v>1E-4</v>
      </c>
      <c r="U13" s="18">
        <v>0</v>
      </c>
      <c r="V13" s="367">
        <f>V12+2*2.7702</f>
        <v>11.0808</v>
      </c>
      <c r="W13" s="364">
        <f t="shared" si="0"/>
        <v>1.6159999999999286</v>
      </c>
      <c r="AE13" s="742"/>
      <c r="AF13" s="880" t="s">
        <v>96</v>
      </c>
      <c r="AG13" s="882"/>
      <c r="AH13" s="857" t="s">
        <v>96</v>
      </c>
    </row>
    <row r="14" spans="1:34">
      <c r="A14" s="333"/>
      <c r="B14" s="6"/>
      <c r="C14" s="137">
        <v>-1.638E-4</v>
      </c>
      <c r="D14" s="323">
        <v>6.9999999999999999E-4</v>
      </c>
      <c r="E14" s="7">
        <v>5.1999999999999998E-2</v>
      </c>
      <c r="F14" s="75">
        <f>E14-resRx21</f>
        <v>-4.0000000000000036E-3</v>
      </c>
      <c r="G14" s="8">
        <v>0.16300000000000001</v>
      </c>
      <c r="H14" s="8">
        <v>3.1190000000000002</v>
      </c>
      <c r="I14" s="8">
        <v>4.2999999999999997E-2</v>
      </c>
      <c r="J14" s="127">
        <v>-13</v>
      </c>
      <c r="K14" s="128">
        <v>-12</v>
      </c>
      <c r="L14" s="128">
        <v>13</v>
      </c>
      <c r="M14" s="128">
        <v>-2</v>
      </c>
      <c r="N14" s="128">
        <v>-2</v>
      </c>
      <c r="O14" s="129">
        <v>15</v>
      </c>
      <c r="P14" s="17">
        <v>-1</v>
      </c>
      <c r="Q14" s="17">
        <v>2</v>
      </c>
      <c r="R14" s="17">
        <v>0</v>
      </c>
      <c r="S14" s="17">
        <v>5.9999999999999995E-4</v>
      </c>
      <c r="T14" s="17">
        <v>0</v>
      </c>
      <c r="U14" s="18">
        <v>0</v>
      </c>
      <c r="V14" s="367">
        <f>V13-2*2.7702</f>
        <v>5.5404</v>
      </c>
      <c r="W14" s="364">
        <f t="shared" si="0"/>
        <v>30.807999999999929</v>
      </c>
      <c r="AE14" s="876" t="s">
        <v>595</v>
      </c>
      <c r="AF14" s="880" t="s">
        <v>597</v>
      </c>
      <c r="AG14" s="883" t="s">
        <v>595</v>
      </c>
      <c r="AH14" s="857" t="s">
        <v>597</v>
      </c>
    </row>
    <row r="15" spans="1:34">
      <c r="A15" s="333"/>
      <c r="B15" s="6"/>
      <c r="C15" s="137">
        <v>1.638E-4</v>
      </c>
      <c r="D15" s="323">
        <v>8.9999999999999998E-4</v>
      </c>
      <c r="E15" s="7">
        <v>4.5999999999999999E-2</v>
      </c>
      <c r="F15" s="75">
        <f>E15-resRx21</f>
        <v>-1.0000000000000002E-2</v>
      </c>
      <c r="G15" s="8">
        <v>0.16300000000000001</v>
      </c>
      <c r="H15" s="8">
        <v>3.1160000000000001</v>
      </c>
      <c r="I15" s="8">
        <v>4.1000000000000002E-2</v>
      </c>
      <c r="J15" s="127">
        <v>-17</v>
      </c>
      <c r="K15" s="128">
        <v>-16</v>
      </c>
      <c r="L15" s="128">
        <v>17</v>
      </c>
      <c r="M15" s="128">
        <v>-3</v>
      </c>
      <c r="N15" s="128">
        <v>-2</v>
      </c>
      <c r="O15" s="129">
        <v>19</v>
      </c>
      <c r="P15" s="17">
        <v>-2</v>
      </c>
      <c r="Q15" s="17">
        <v>3</v>
      </c>
      <c r="R15" s="17">
        <v>0</v>
      </c>
      <c r="S15" s="17">
        <v>8.0000000000000004E-4</v>
      </c>
      <c r="T15" s="17">
        <v>1E-4</v>
      </c>
      <c r="U15" s="18">
        <v>0</v>
      </c>
      <c r="V15" s="367">
        <f>V14+2*2.7702</f>
        <v>11.0808</v>
      </c>
      <c r="W15" s="364">
        <f t="shared" si="0"/>
        <v>21.615999999999964</v>
      </c>
      <c r="AE15" s="877" t="s">
        <v>596</v>
      </c>
      <c r="AF15" s="880" t="s">
        <v>600</v>
      </c>
      <c r="AG15" s="879" t="s">
        <v>598</v>
      </c>
      <c r="AH15" s="857" t="s">
        <v>599</v>
      </c>
    </row>
    <row r="16" spans="1:34">
      <c r="A16" s="333"/>
      <c r="B16" s="6"/>
      <c r="C16" s="137">
        <v>-1.638E-4</v>
      </c>
      <c r="D16" s="323">
        <v>6.9999999999999999E-4</v>
      </c>
      <c r="E16" s="7">
        <v>5.1999999999999998E-2</v>
      </c>
      <c r="F16" s="75">
        <f>E16-resRx21</f>
        <v>-4.0000000000000036E-3</v>
      </c>
      <c r="G16" s="8">
        <v>0.16300000000000001</v>
      </c>
      <c r="H16" s="8">
        <v>3.1190000000000002</v>
      </c>
      <c r="I16" s="8">
        <v>4.2999999999999997E-2</v>
      </c>
      <c r="J16" s="127">
        <v>-13</v>
      </c>
      <c r="K16" s="128">
        <v>-12</v>
      </c>
      <c r="L16" s="128">
        <v>13</v>
      </c>
      <c r="M16" s="128">
        <v>-2</v>
      </c>
      <c r="N16" s="128">
        <v>-2</v>
      </c>
      <c r="O16" s="129">
        <v>15</v>
      </c>
      <c r="P16" s="17">
        <v>-1</v>
      </c>
      <c r="Q16" s="17">
        <v>2</v>
      </c>
      <c r="R16" s="17">
        <v>0</v>
      </c>
      <c r="S16" s="17">
        <v>5.9999999999999995E-4</v>
      </c>
      <c r="T16" s="17">
        <v>0</v>
      </c>
      <c r="U16" s="18">
        <v>0</v>
      </c>
      <c r="V16" s="367">
        <f>V15-2*2.7702</f>
        <v>5.5404</v>
      </c>
      <c r="W16" s="364">
        <f t="shared" si="0"/>
        <v>30.807999999999929</v>
      </c>
      <c r="AB16" s="536" t="s">
        <v>0</v>
      </c>
      <c r="AC16" s="595" t="s">
        <v>1</v>
      </c>
      <c r="AD16" s="536" t="s">
        <v>2</v>
      </c>
      <c r="AE16" s="876" t="s">
        <v>256</v>
      </c>
      <c r="AF16" s="880" t="s">
        <v>141</v>
      </c>
      <c r="AG16" s="883" t="s">
        <v>256</v>
      </c>
      <c r="AH16" s="857" t="s">
        <v>141</v>
      </c>
    </row>
    <row r="17" spans="1:34">
      <c r="A17" s="333"/>
      <c r="B17" s="133" t="s">
        <v>53</v>
      </c>
      <c r="C17" s="138" t="s">
        <v>45</v>
      </c>
      <c r="D17" s="4">
        <v>4.0000000000000002E-4</v>
      </c>
      <c r="E17" s="149">
        <v>5.1999999999999998E-2</v>
      </c>
      <c r="F17" s="120"/>
      <c r="G17" s="120">
        <v>0.16300000000000001</v>
      </c>
      <c r="H17" s="120">
        <v>3.1190000000000002</v>
      </c>
      <c r="I17" s="120">
        <v>4.2999999999999997E-2</v>
      </c>
      <c r="J17" s="130">
        <v>-13</v>
      </c>
      <c r="K17" s="118">
        <v>-12</v>
      </c>
      <c r="L17" s="118">
        <v>13</v>
      </c>
      <c r="M17" s="118">
        <v>-2</v>
      </c>
      <c r="N17" s="118">
        <v>-2</v>
      </c>
      <c r="O17" s="119">
        <v>15</v>
      </c>
      <c r="P17" s="28">
        <v>-1</v>
      </c>
      <c r="Q17" s="28">
        <v>2</v>
      </c>
      <c r="R17" s="28">
        <v>0</v>
      </c>
      <c r="S17" s="28">
        <v>5.9999999999999995E-4</v>
      </c>
      <c r="T17" s="28">
        <v>0</v>
      </c>
      <c r="U17" s="29">
        <v>0</v>
      </c>
      <c r="V17" s="738"/>
      <c r="W17" s="736"/>
      <c r="X17" s="3"/>
      <c r="Y17" s="3"/>
      <c r="Z17" s="3"/>
      <c r="AA17" s="743">
        <v>1.12E-4</v>
      </c>
      <c r="AB17" s="120">
        <v>-8.0000000000000002E-3</v>
      </c>
      <c r="AC17" s="156">
        <v>0.01</v>
      </c>
      <c r="AD17" s="120">
        <v>-6.0000000000000001E-3</v>
      </c>
      <c r="AE17" s="867"/>
      <c r="AF17" s="881"/>
      <c r="AG17" s="884"/>
      <c r="AH17" s="885"/>
    </row>
    <row r="18" spans="1:34">
      <c r="A18" s="333">
        <v>1</v>
      </c>
      <c r="B18" s="934">
        <v>8.1899999999999999E-5</v>
      </c>
      <c r="C18" s="872">
        <v>8.1899999999999999E-5</v>
      </c>
      <c r="D18" s="350">
        <v>5.0000000000000001E-4</v>
      </c>
      <c r="E18" s="165">
        <v>4.9000000000000002E-2</v>
      </c>
      <c r="F18" s="415">
        <f>E18-resRx22</f>
        <v>-2.9999999999999957E-3</v>
      </c>
      <c r="G18" s="66">
        <v>0.16300000000000001</v>
      </c>
      <c r="H18" s="66">
        <v>3.117</v>
      </c>
      <c r="I18" s="66">
        <v>4.2000000000000003E-2</v>
      </c>
      <c r="J18" s="125">
        <v>-15</v>
      </c>
      <c r="K18" s="121">
        <v>-14</v>
      </c>
      <c r="L18" s="121">
        <v>16</v>
      </c>
      <c r="M18" s="121">
        <v>-2</v>
      </c>
      <c r="N18" s="121">
        <v>-2</v>
      </c>
      <c r="O18" s="122">
        <v>17</v>
      </c>
      <c r="P18" s="16">
        <v>-2</v>
      </c>
      <c r="Q18" s="16">
        <v>3</v>
      </c>
      <c r="R18" s="16">
        <v>0</v>
      </c>
      <c r="S18" s="16">
        <v>6.9999999999999999E-4</v>
      </c>
      <c r="T18" s="16">
        <v>1E-4</v>
      </c>
      <c r="U18" s="160">
        <v>0</v>
      </c>
      <c r="V18" s="366">
        <f>V17+1*2.7702</f>
        <v>2.7702</v>
      </c>
      <c r="W18" s="383">
        <f t="shared" si="0"/>
        <v>4.5959999999999113</v>
      </c>
      <c r="X18" s="11"/>
      <c r="Y18" s="11"/>
      <c r="Z18" s="11"/>
      <c r="AA18" s="873">
        <v>2.0000000000000001E-4</v>
      </c>
      <c r="AB18" s="66">
        <v>-8.0000000000000002E-3</v>
      </c>
      <c r="AC18" s="415">
        <v>6.0000000000000001E-3</v>
      </c>
      <c r="AD18" s="66">
        <v>-8.0000000000000002E-3</v>
      </c>
      <c r="AE18" s="878">
        <f>-180*(AC18-AC17)/1938/3.1416</f>
        <v>1.1825726631772889E-4</v>
      </c>
      <c r="AF18" s="853">
        <f>100*(ABS(AE18)-resAngle)/resAngle</f>
        <v>44.392266566213543</v>
      </c>
      <c r="AG18" s="886">
        <f>-180*(AD18-AD17)/875/3.1416</f>
        <v>1.3096147549929063E-4</v>
      </c>
      <c r="AH18" s="411">
        <f>100*(ABS(AG18)-resAngle)/resAngle</f>
        <v>59.904121488755344</v>
      </c>
    </row>
    <row r="19" spans="1:34">
      <c r="A19" s="333">
        <v>2</v>
      </c>
      <c r="B19" s="678">
        <v>8.1899999999999999E-5</v>
      </c>
      <c r="C19" s="141">
        <v>8.1899999999999999E-5</v>
      </c>
      <c r="D19" s="323">
        <v>5.9999999999999995E-4</v>
      </c>
      <c r="E19" s="7">
        <v>4.5999999999999999E-2</v>
      </c>
      <c r="F19" s="75">
        <f>E19-resRx22</f>
        <v>-5.9999999999999984E-3</v>
      </c>
      <c r="G19" s="8">
        <v>0.16300000000000001</v>
      </c>
      <c r="H19" s="8">
        <v>3.1160000000000001</v>
      </c>
      <c r="I19" s="8">
        <v>0.04</v>
      </c>
      <c r="J19" s="127">
        <v>-17</v>
      </c>
      <c r="K19" s="128">
        <v>-16</v>
      </c>
      <c r="L19" s="128">
        <v>18</v>
      </c>
      <c r="M19" s="128">
        <v>-2</v>
      </c>
      <c r="N19" s="128">
        <v>-2</v>
      </c>
      <c r="O19" s="129">
        <v>20</v>
      </c>
      <c r="P19" s="17">
        <v>-2</v>
      </c>
      <c r="Q19" s="17">
        <v>4</v>
      </c>
      <c r="R19" s="17">
        <v>0</v>
      </c>
      <c r="S19" s="17">
        <v>8.9999999999999998E-4</v>
      </c>
      <c r="T19" s="17">
        <v>1E-4</v>
      </c>
      <c r="U19" s="18">
        <v>0</v>
      </c>
      <c r="V19" s="367">
        <f>V18+1*2.7702</f>
        <v>5.5404</v>
      </c>
      <c r="W19" s="364">
        <f t="shared" si="0"/>
        <v>9.1919999999999646</v>
      </c>
      <c r="X19" s="1"/>
      <c r="Y19" s="1"/>
      <c r="Z19" s="1"/>
      <c r="AA19" s="874">
        <v>4.0000000000000002E-4</v>
      </c>
      <c r="AB19" s="8">
        <v>-8.9999999999999993E-3</v>
      </c>
      <c r="AC19" s="75">
        <v>3.0000000000000001E-3</v>
      </c>
      <c r="AD19" s="8">
        <v>-1.0999999999999999E-2</v>
      </c>
      <c r="AE19" s="868">
        <f t="shared" ref="AE19:AE22" si="1">-180*(AC19-AC18)/1938/3.1416</f>
        <v>8.8692949738296685E-5</v>
      </c>
      <c r="AF19" s="854">
        <f>100*(ABS(AE19)-resAngle)/resAngle</f>
        <v>8.2941999246601785</v>
      </c>
      <c r="AG19" s="887">
        <f>-180*(AD19-AD18)/875/3.1416</f>
        <v>1.9644221324893586E-4</v>
      </c>
      <c r="AH19" s="412">
        <f>100*(ABS(AG19)-resAngle)/resAngle</f>
        <v>139.85618223313293</v>
      </c>
    </row>
    <row r="20" spans="1:34">
      <c r="A20" s="333">
        <v>3</v>
      </c>
      <c r="B20" s="678">
        <v>-8.1899999999999999E-5</v>
      </c>
      <c r="C20" s="141">
        <v>-8.1899999999999999E-5</v>
      </c>
      <c r="D20" s="323">
        <v>5.0000000000000001E-4</v>
      </c>
      <c r="E20" s="7">
        <v>4.9000000000000002E-2</v>
      </c>
      <c r="F20" s="75">
        <f>E20-resRx22</f>
        <v>-2.9999999999999957E-3</v>
      </c>
      <c r="G20" s="8">
        <v>0.16300000000000001</v>
      </c>
      <c r="H20" s="8">
        <v>3.117</v>
      </c>
      <c r="I20" s="8">
        <v>4.1000000000000002E-2</v>
      </c>
      <c r="J20" s="127">
        <v>-15</v>
      </c>
      <c r="K20" s="128">
        <v>-14</v>
      </c>
      <c r="L20" s="128">
        <v>16</v>
      </c>
      <c r="M20" s="128">
        <v>-2</v>
      </c>
      <c r="N20" s="128">
        <v>-2</v>
      </c>
      <c r="O20" s="129">
        <v>18</v>
      </c>
      <c r="P20" s="17">
        <v>-3</v>
      </c>
      <c r="Q20" s="17">
        <v>3</v>
      </c>
      <c r="R20" s="17">
        <v>0</v>
      </c>
      <c r="S20" s="17">
        <v>8.0000000000000004E-4</v>
      </c>
      <c r="T20" s="17">
        <v>1E-4</v>
      </c>
      <c r="U20" s="18">
        <v>-1E-4</v>
      </c>
      <c r="V20" s="367">
        <f>V19-1*2.7702</f>
        <v>2.7702</v>
      </c>
      <c r="W20" s="364">
        <f t="shared" si="0"/>
        <v>4.5959999999999113</v>
      </c>
      <c r="X20" s="1"/>
      <c r="Y20" s="1"/>
      <c r="Z20" s="1"/>
      <c r="AA20" s="874">
        <v>2.0000000000000001E-4</v>
      </c>
      <c r="AB20" s="8">
        <v>-8.0000000000000002E-3</v>
      </c>
      <c r="AC20" s="75">
        <v>8.0000000000000002E-3</v>
      </c>
      <c r="AD20" s="8">
        <v>-8.0000000000000002E-3</v>
      </c>
      <c r="AE20" s="868">
        <f>-180*(AC20-AC19)/1938/3.1416</f>
        <v>-1.4782158289716111E-4</v>
      </c>
      <c r="AF20" s="854">
        <f>100*(ABS(AE20)-resAngle)/resAngle</f>
        <v>80.490333207766923</v>
      </c>
      <c r="AG20" s="887">
        <f t="shared" ref="AG20:AG22" si="2">-180*(AD20-AD19)/875/3.1416</f>
        <v>-1.9644221324893586E-4</v>
      </c>
      <c r="AH20" s="412">
        <f>100*(ABS(AG20)-resAngle)/resAngle</f>
        <v>139.85618223313293</v>
      </c>
    </row>
    <row r="21" spans="1:34">
      <c r="A21" s="333">
        <v>4</v>
      </c>
      <c r="B21" s="678">
        <v>8.1899999999999999E-5</v>
      </c>
      <c r="C21" s="141">
        <v>8.1899999999999999E-5</v>
      </c>
      <c r="D21" s="323">
        <v>5.9999999999999995E-4</v>
      </c>
      <c r="E21" s="7">
        <v>4.5999999999999999E-2</v>
      </c>
      <c r="F21" s="75">
        <f>E21-resRx22</f>
        <v>-5.9999999999999984E-3</v>
      </c>
      <c r="G21" s="8">
        <v>0.16300000000000001</v>
      </c>
      <c r="H21" s="8">
        <v>3.1160000000000001</v>
      </c>
      <c r="I21" s="8">
        <v>0.04</v>
      </c>
      <c r="J21" s="127">
        <v>-17</v>
      </c>
      <c r="K21" s="128">
        <v>-16</v>
      </c>
      <c r="L21" s="128">
        <v>18</v>
      </c>
      <c r="M21" s="128">
        <v>-2</v>
      </c>
      <c r="N21" s="128">
        <v>-2</v>
      </c>
      <c r="O21" s="129">
        <v>20</v>
      </c>
      <c r="P21" s="17">
        <v>-3</v>
      </c>
      <c r="Q21" s="17">
        <v>4</v>
      </c>
      <c r="R21" s="17">
        <v>0</v>
      </c>
      <c r="S21" s="17">
        <v>8.9999999999999998E-4</v>
      </c>
      <c r="T21" s="17">
        <v>1E-4</v>
      </c>
      <c r="U21" s="18">
        <v>-1E-4</v>
      </c>
      <c r="V21" s="367">
        <f>V20+1*2.7702</f>
        <v>5.5404</v>
      </c>
      <c r="W21" s="364">
        <f t="shared" si="0"/>
        <v>9.1919999999999646</v>
      </c>
      <c r="X21" s="1"/>
      <c r="Y21" s="1"/>
      <c r="Z21" s="1"/>
      <c r="AA21" s="874">
        <v>3.5399999999999999E-4</v>
      </c>
      <c r="AB21" s="8">
        <v>-8.0000000000000002E-3</v>
      </c>
      <c r="AC21" s="75">
        <v>4.0000000000000001E-3</v>
      </c>
      <c r="AD21" s="8">
        <v>-0.01</v>
      </c>
      <c r="AE21" s="868">
        <f t="shared" si="1"/>
        <v>1.1825726631772889E-4</v>
      </c>
      <c r="AF21" s="854">
        <f>100*(ABS(AE21)-resAngle)/resAngle</f>
        <v>44.392266566213543</v>
      </c>
      <c r="AG21" s="887">
        <f t="shared" si="2"/>
        <v>1.3096147549929063E-4</v>
      </c>
      <c r="AH21" s="412">
        <f>100*(ABS(AG21)-resAngle)/resAngle</f>
        <v>59.904121488755344</v>
      </c>
    </row>
    <row r="22" spans="1:34">
      <c r="A22" s="333">
        <v>5</v>
      </c>
      <c r="B22" s="935">
        <v>-8.1899999999999999E-5</v>
      </c>
      <c r="C22" s="143">
        <v>-8.1899999999999999E-5</v>
      </c>
      <c r="D22" s="351">
        <v>5.0000000000000001E-4</v>
      </c>
      <c r="E22" s="68">
        <v>4.8000000000000001E-2</v>
      </c>
      <c r="F22" s="81">
        <f>E22-resRx22</f>
        <v>-3.9999999999999966E-3</v>
      </c>
      <c r="G22" s="69">
        <v>0.16300000000000001</v>
      </c>
      <c r="H22" s="69">
        <v>3.117</v>
      </c>
      <c r="I22" s="69">
        <v>4.2000000000000003E-2</v>
      </c>
      <c r="J22" s="126">
        <v>-15</v>
      </c>
      <c r="K22" s="123">
        <v>-14</v>
      </c>
      <c r="L22" s="123">
        <v>16</v>
      </c>
      <c r="M22" s="123">
        <v>-2</v>
      </c>
      <c r="N22" s="123">
        <v>-2</v>
      </c>
      <c r="O22" s="124">
        <v>18</v>
      </c>
      <c r="P22" s="19">
        <v>-3</v>
      </c>
      <c r="Q22" s="19">
        <v>3</v>
      </c>
      <c r="R22" s="19">
        <v>0</v>
      </c>
      <c r="S22" s="19">
        <v>8.0000000000000004E-4</v>
      </c>
      <c r="T22" s="19">
        <v>1E-4</v>
      </c>
      <c r="U22" s="20">
        <v>-1E-4</v>
      </c>
      <c r="V22" s="368">
        <f>V21-1*2.7702</f>
        <v>2.7702</v>
      </c>
      <c r="W22" s="384">
        <f t="shared" si="0"/>
        <v>24.595999999999929</v>
      </c>
      <c r="X22" s="13"/>
      <c r="Y22" s="13"/>
      <c r="Z22" s="13"/>
      <c r="AA22" s="875">
        <v>2.5099999999999998E-4</v>
      </c>
      <c r="AB22" s="69">
        <v>-8.0000000000000002E-3</v>
      </c>
      <c r="AC22" s="81">
        <v>8.0000000000000002E-3</v>
      </c>
      <c r="AD22" s="69">
        <v>-7.0000000000000001E-3</v>
      </c>
      <c r="AE22" s="869">
        <f t="shared" si="1"/>
        <v>-1.1825726631772889E-4</v>
      </c>
      <c r="AF22" s="856">
        <f>100*(ABS(AE22)-resAngle)/resAngle</f>
        <v>44.392266566213543</v>
      </c>
      <c r="AG22" s="888">
        <f t="shared" si="2"/>
        <v>-1.9644221324893597E-4</v>
      </c>
      <c r="AH22" s="356">
        <f>100*(ABS(AG22)-resAngle)/resAngle</f>
        <v>139.85618223313304</v>
      </c>
    </row>
    <row r="23" spans="1:34">
      <c r="A23" s="333"/>
      <c r="B23" s="870" t="s">
        <v>128</v>
      </c>
      <c r="C23" s="871">
        <v>0</v>
      </c>
      <c r="D23" s="19"/>
      <c r="E23" s="19">
        <v>7.0000000000000007E-2</v>
      </c>
      <c r="F23" s="19"/>
      <c r="G23" s="19">
        <v>0.16400000000000001</v>
      </c>
      <c r="H23" s="19">
        <v>3.12</v>
      </c>
      <c r="I23" s="19">
        <v>5.1999999999999998E-2</v>
      </c>
      <c r="J23" s="13">
        <v>0</v>
      </c>
      <c r="K23" s="13">
        <v>0</v>
      </c>
      <c r="L23" s="13">
        <v>-1</v>
      </c>
      <c r="M23" s="13">
        <v>0</v>
      </c>
      <c r="N23" s="13">
        <v>0</v>
      </c>
      <c r="O23" s="13">
        <v>-1</v>
      </c>
      <c r="P23" s="13">
        <v>0</v>
      </c>
      <c r="Q23" s="13">
        <v>-1</v>
      </c>
      <c r="R23" s="13">
        <v>0</v>
      </c>
      <c r="S23" s="13">
        <v>0</v>
      </c>
      <c r="T23" s="13">
        <v>0</v>
      </c>
      <c r="U23" s="87">
        <v>0</v>
      </c>
      <c r="V23" s="367"/>
      <c r="W23" s="362"/>
      <c r="AF23" s="352">
        <f>AVERAGE(AF18:AF22)</f>
        <v>44.39226656621355</v>
      </c>
      <c r="AG23" s="9"/>
      <c r="AH23" s="117">
        <f>AVERAGE(AH18:AH22)</f>
        <v>107.87535793538191</v>
      </c>
    </row>
    <row r="24" spans="1:34">
      <c r="A24" s="333"/>
      <c r="B24" s="6"/>
      <c r="C24" s="141">
        <v>8.1899999999999999E-5</v>
      </c>
      <c r="D24" s="323">
        <v>1E-4</v>
      </c>
      <c r="E24" s="7">
        <v>6.7000000000000004E-2</v>
      </c>
      <c r="F24" s="75">
        <f>E24-resRX23</f>
        <v>-3.0000000000000027E-3</v>
      </c>
      <c r="G24" s="8">
        <v>0.16400000000000001</v>
      </c>
      <c r="H24" s="8">
        <v>3.1179999999999999</v>
      </c>
      <c r="I24" s="8">
        <v>0.05</v>
      </c>
      <c r="J24" s="127">
        <v>-2</v>
      </c>
      <c r="K24" s="128">
        <v>-2</v>
      </c>
      <c r="L24" s="128">
        <v>3</v>
      </c>
      <c r="M24" s="128">
        <v>0</v>
      </c>
      <c r="N24" s="128">
        <v>-1</v>
      </c>
      <c r="O24" s="129">
        <v>1</v>
      </c>
      <c r="P24" s="17">
        <v>0</v>
      </c>
      <c r="Q24" s="17">
        <v>0</v>
      </c>
      <c r="R24" s="17">
        <v>0</v>
      </c>
      <c r="S24" s="17">
        <v>1E-4</v>
      </c>
      <c r="T24" s="17">
        <v>0</v>
      </c>
      <c r="U24" s="18">
        <v>0</v>
      </c>
      <c r="V24" s="367">
        <f>V23+1*2.7702</f>
        <v>2.7702</v>
      </c>
      <c r="W24" s="364">
        <f t="shared" si="0"/>
        <v>4.5960000000000534</v>
      </c>
    </row>
    <row r="25" spans="1:34">
      <c r="A25" s="333"/>
      <c r="B25" s="6"/>
      <c r="C25" s="141">
        <v>8.1899999999999999E-5</v>
      </c>
      <c r="D25" s="323">
        <v>2.0000000000000001E-4</v>
      </c>
      <c r="E25" s="7">
        <v>6.4000000000000001E-2</v>
      </c>
      <c r="F25" s="75">
        <f>E25-resRX23</f>
        <v>-6.0000000000000053E-3</v>
      </c>
      <c r="G25" s="8">
        <v>0.16400000000000001</v>
      </c>
      <c r="H25" s="8">
        <v>3.1160000000000001</v>
      </c>
      <c r="I25" s="8">
        <v>4.8000000000000001E-2</v>
      </c>
      <c r="J25" s="127">
        <v>-4</v>
      </c>
      <c r="K25" s="128">
        <v>-4</v>
      </c>
      <c r="L25" s="128">
        <v>4</v>
      </c>
      <c r="M25" s="128">
        <v>0</v>
      </c>
      <c r="N25" s="128">
        <v>-1</v>
      </c>
      <c r="O25" s="129">
        <v>4</v>
      </c>
      <c r="P25" s="17">
        <v>-1</v>
      </c>
      <c r="Q25" s="17">
        <v>1</v>
      </c>
      <c r="R25" s="17">
        <v>0</v>
      </c>
      <c r="S25" s="17">
        <v>2.0000000000000001E-4</v>
      </c>
      <c r="T25" s="17">
        <v>0</v>
      </c>
      <c r="U25" s="18">
        <v>0</v>
      </c>
      <c r="V25" s="367">
        <f>V24+1*2.7702</f>
        <v>5.5404</v>
      </c>
      <c r="W25" s="364">
        <f t="shared" si="0"/>
        <v>9.1920000000001068</v>
      </c>
    </row>
    <row r="26" spans="1:34">
      <c r="A26" s="333"/>
      <c r="B26" s="6"/>
      <c r="C26" s="141">
        <v>-8.1899999999999999E-5</v>
      </c>
      <c r="D26" s="323">
        <v>1E-4</v>
      </c>
      <c r="E26" s="7">
        <v>6.7000000000000004E-2</v>
      </c>
      <c r="F26" s="75">
        <f>E26-resRX23</f>
        <v>-3.0000000000000027E-3</v>
      </c>
      <c r="G26" s="8">
        <v>0.16400000000000001</v>
      </c>
      <c r="H26" s="8">
        <v>3.117</v>
      </c>
      <c r="I26" s="8">
        <v>4.9000000000000002E-2</v>
      </c>
      <c r="J26" s="127">
        <v>-2</v>
      </c>
      <c r="K26" s="128">
        <v>-2</v>
      </c>
      <c r="L26" s="128">
        <v>2</v>
      </c>
      <c r="M26" s="128">
        <v>0</v>
      </c>
      <c r="N26" s="128">
        <v>-1</v>
      </c>
      <c r="O26" s="129">
        <v>2</v>
      </c>
      <c r="P26" s="17">
        <v>-1</v>
      </c>
      <c r="Q26" s="17">
        <v>0</v>
      </c>
      <c r="R26" s="17">
        <v>0</v>
      </c>
      <c r="S26" s="17">
        <v>1E-4</v>
      </c>
      <c r="T26" s="17">
        <v>0</v>
      </c>
      <c r="U26" s="18">
        <v>0</v>
      </c>
      <c r="V26" s="367">
        <f>V25-1*2.7702</f>
        <v>2.7702</v>
      </c>
      <c r="W26" s="364">
        <f t="shared" si="0"/>
        <v>4.5960000000000534</v>
      </c>
    </row>
    <row r="27" spans="1:34">
      <c r="A27" s="333"/>
      <c r="B27" s="6"/>
      <c r="C27" s="141">
        <v>8.1899999999999999E-5</v>
      </c>
      <c r="D27" s="323">
        <v>2.0000000000000001E-4</v>
      </c>
      <c r="E27" s="7">
        <v>6.4000000000000001E-2</v>
      </c>
      <c r="F27" s="75">
        <f>E27-resRX23</f>
        <v>-6.0000000000000053E-3</v>
      </c>
      <c r="G27" s="8">
        <v>0.16400000000000001</v>
      </c>
      <c r="H27" s="8">
        <v>3.1160000000000001</v>
      </c>
      <c r="I27" s="8">
        <v>4.8000000000000001E-2</v>
      </c>
      <c r="J27" s="127">
        <v>-4</v>
      </c>
      <c r="K27" s="128">
        <v>-4</v>
      </c>
      <c r="L27" s="128">
        <v>4</v>
      </c>
      <c r="M27" s="128">
        <v>0</v>
      </c>
      <c r="N27" s="128">
        <v>-1</v>
      </c>
      <c r="O27" s="129">
        <v>4</v>
      </c>
      <c r="P27" s="17">
        <v>-1</v>
      </c>
      <c r="Q27" s="17">
        <v>1</v>
      </c>
      <c r="R27" s="17">
        <v>0</v>
      </c>
      <c r="S27" s="17">
        <v>2.0000000000000001E-4</v>
      </c>
      <c r="T27" s="17">
        <v>0</v>
      </c>
      <c r="U27" s="18">
        <v>0</v>
      </c>
      <c r="V27" s="367">
        <f>V26+1*2.7702</f>
        <v>5.5404</v>
      </c>
      <c r="W27" s="364">
        <f t="shared" si="0"/>
        <v>9.1920000000001068</v>
      </c>
    </row>
    <row r="28" spans="1:34">
      <c r="A28" s="333"/>
      <c r="B28" s="6"/>
      <c r="C28" s="143">
        <v>-8.1899999999999999E-5</v>
      </c>
      <c r="D28" s="351">
        <v>1E-4</v>
      </c>
      <c r="E28" s="68">
        <v>6.7000000000000004E-2</v>
      </c>
      <c r="F28" s="81">
        <f>E28-resRX23</f>
        <v>-3.0000000000000027E-3</v>
      </c>
      <c r="G28" s="69">
        <v>0.16400000000000001</v>
      </c>
      <c r="H28" s="69">
        <v>3.117</v>
      </c>
      <c r="I28" s="69">
        <v>4.9000000000000002E-2</v>
      </c>
      <c r="J28" s="126">
        <v>-2</v>
      </c>
      <c r="K28" s="123">
        <v>-2</v>
      </c>
      <c r="L28" s="123">
        <v>2</v>
      </c>
      <c r="M28" s="123">
        <v>0</v>
      </c>
      <c r="N28" s="123">
        <v>-1</v>
      </c>
      <c r="O28" s="124">
        <v>2</v>
      </c>
      <c r="P28" s="19">
        <v>-1</v>
      </c>
      <c r="Q28" s="19">
        <v>0</v>
      </c>
      <c r="R28" s="19">
        <v>0</v>
      </c>
      <c r="S28" s="19">
        <v>1E-4</v>
      </c>
      <c r="T28" s="19">
        <v>0</v>
      </c>
      <c r="U28" s="20">
        <v>0</v>
      </c>
      <c r="V28" s="367">
        <f>V27-1*2.7702</f>
        <v>2.7702</v>
      </c>
      <c r="W28" s="364">
        <f t="shared" si="0"/>
        <v>4.5960000000000534</v>
      </c>
    </row>
    <row r="29" spans="1:34">
      <c r="A29" s="333"/>
      <c r="B29" s="344" t="s">
        <v>129</v>
      </c>
      <c r="C29" s="143">
        <v>-8.1899999999999999E-5</v>
      </c>
      <c r="D29" s="3">
        <v>0</v>
      </c>
      <c r="E29" s="3">
        <v>7.0000000000000007E-2</v>
      </c>
      <c r="F29" s="3"/>
      <c r="G29" s="3">
        <v>0.16400000000000001</v>
      </c>
      <c r="H29" s="3">
        <v>3.1190000000000002</v>
      </c>
      <c r="I29" s="3">
        <v>5.0999999999999997E-2</v>
      </c>
      <c r="J29" s="2">
        <v>0</v>
      </c>
      <c r="K29" s="3">
        <v>0</v>
      </c>
      <c r="L29" s="3">
        <v>-1</v>
      </c>
      <c r="M29" s="3">
        <v>0</v>
      </c>
      <c r="N29" s="3">
        <v>0</v>
      </c>
      <c r="O29" s="4">
        <v>0</v>
      </c>
      <c r="P29" s="19">
        <v>-1</v>
      </c>
      <c r="Q29" s="19">
        <v>-1</v>
      </c>
      <c r="R29" s="19">
        <v>0</v>
      </c>
      <c r="S29" s="19">
        <v>0</v>
      </c>
      <c r="T29" s="19">
        <v>0</v>
      </c>
      <c r="U29" s="20">
        <v>0</v>
      </c>
      <c r="V29" s="367"/>
      <c r="W29" s="362"/>
    </row>
    <row r="30" spans="1:34">
      <c r="A30" s="333"/>
      <c r="B30" s="12" t="s">
        <v>63</v>
      </c>
      <c r="C30" s="154" t="s">
        <v>62</v>
      </c>
      <c r="D30" s="3">
        <v>0</v>
      </c>
      <c r="E30" s="3">
        <v>7.0000000000000007E-2</v>
      </c>
      <c r="F30" s="3"/>
      <c r="G30" s="3">
        <v>0.16400000000000001</v>
      </c>
      <c r="H30" s="3">
        <v>3.1190000000000002</v>
      </c>
      <c r="I30" s="3">
        <v>5.0999999999999997E-2</v>
      </c>
      <c r="J30" s="2">
        <v>0</v>
      </c>
      <c r="K30" s="3">
        <v>0</v>
      </c>
      <c r="L30" s="3">
        <v>0</v>
      </c>
      <c r="M30" s="3">
        <v>0</v>
      </c>
      <c r="N30" s="3">
        <v>0</v>
      </c>
      <c r="O30" s="4">
        <v>0</v>
      </c>
      <c r="P30" s="19">
        <v>0</v>
      </c>
      <c r="Q30" s="19">
        <v>-1</v>
      </c>
      <c r="R30" s="19">
        <v>0</v>
      </c>
      <c r="S30" s="19">
        <v>0</v>
      </c>
      <c r="T30" s="19">
        <v>0</v>
      </c>
      <c r="U30" s="20">
        <v>0</v>
      </c>
      <c r="V30" s="368"/>
      <c r="W30" s="365"/>
    </row>
    <row r="31" spans="1:34" ht="15.6">
      <c r="A31" s="333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359" t="s">
        <v>143</v>
      </c>
      <c r="W31" s="369">
        <f>AVERAGE(W6:W28)</f>
        <v>13.174199999999965</v>
      </c>
    </row>
    <row r="32" spans="1:34">
      <c r="A32" s="333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391" t="s">
        <v>145</v>
      </c>
      <c r="W32" s="357">
        <f>STDEV(W6:W28)</f>
        <v>10.193046502911933</v>
      </c>
    </row>
    <row r="35" spans="3:8">
      <c r="F35">
        <f>5*H35</f>
        <v>1.3849999999999999E-2</v>
      </c>
      <c r="G35" s="9"/>
      <c r="H35">
        <v>2.7699999999999999E-3</v>
      </c>
    </row>
    <row r="45" spans="3:8">
      <c r="C45">
        <f>1938*(3.1416*0.0000819/180)</f>
        <v>2.770231464E-3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Y32"/>
  <sheetViews>
    <sheetView topLeftCell="B1" zoomScaleNormal="100" workbookViewId="0">
      <pane xSplit="1" ySplit="1" topLeftCell="L11" activePane="bottomRight" state="frozen"/>
      <selection activeCell="B1" sqref="B1"/>
      <selection pane="topRight" activeCell="C1" sqref="C1"/>
      <selection pane="bottomLeft" activeCell="B2" sqref="B2"/>
      <selection pane="bottomRight" activeCell="Z37" sqref="Z37"/>
    </sheetView>
  </sheetViews>
  <sheetFormatPr defaultRowHeight="14.4"/>
  <cols>
    <col min="2" max="2" width="11.6640625" customWidth="1"/>
    <col min="3" max="3" width="12" bestFit="1" customWidth="1"/>
    <col min="4" max="4" width="7.6640625" customWidth="1"/>
    <col min="5" max="5" width="7.5546875" customWidth="1"/>
    <col min="6" max="6" width="9.109375" customWidth="1"/>
    <col min="7" max="7" width="7.5546875" customWidth="1"/>
    <col min="8" max="8" width="8.44140625" customWidth="1"/>
    <col min="9" max="9" width="8" customWidth="1"/>
    <col min="10" max="15" width="5.6640625" customWidth="1"/>
    <col min="22" max="22" width="9.109375" style="352" customWidth="1"/>
    <col min="23" max="23" width="5.88671875" style="352" customWidth="1"/>
    <col min="24" max="24" width="3" customWidth="1"/>
    <col min="25" max="25" width="5.109375" customWidth="1"/>
    <col min="26" max="26" width="6.5546875" customWidth="1"/>
    <col min="28" max="28" width="11.33203125" customWidth="1"/>
    <col min="30" max="32" width="11.33203125" customWidth="1"/>
    <col min="33" max="33" width="9.109375" customWidth="1"/>
    <col min="34" max="34" width="14" customWidth="1"/>
    <col min="35" max="35" width="10" style="117" customWidth="1"/>
    <col min="36" max="37" width="14" customWidth="1"/>
    <col min="38" max="38" width="9.5546875" customWidth="1"/>
    <col min="39" max="39" width="14" customWidth="1"/>
    <col min="40" max="40" width="15" style="740" customWidth="1"/>
    <col min="41" max="41" width="10.33203125" customWidth="1"/>
    <col min="46" max="46" width="11.33203125" customWidth="1"/>
  </cols>
  <sheetData>
    <row r="1" spans="1:51">
      <c r="A1" s="839" t="s">
        <v>301</v>
      </c>
      <c r="X1" s="915"/>
      <c r="AA1" s="746"/>
      <c r="AB1" s="329"/>
      <c r="AC1" s="329"/>
      <c r="AD1" s="329"/>
      <c r="AE1" s="329"/>
      <c r="AF1" s="329"/>
      <c r="AG1" s="329"/>
      <c r="AH1" s="329" t="s">
        <v>459</v>
      </c>
      <c r="AI1" s="919"/>
      <c r="AJ1" s="329"/>
      <c r="AK1" s="924"/>
      <c r="AL1" s="924"/>
      <c r="AM1" s="329"/>
      <c r="AN1" s="747"/>
      <c r="AO1" s="329"/>
      <c r="AP1" s="329"/>
      <c r="AQ1" s="329"/>
      <c r="AR1" s="329"/>
      <c r="AS1" s="331" t="s">
        <v>451</v>
      </c>
      <c r="AT1" s="867">
        <f>0.0000819</f>
        <v>8.1899999999999999E-5</v>
      </c>
      <c r="AU1" s="329" t="s">
        <v>271</v>
      </c>
      <c r="AV1" s="329"/>
      <c r="AW1" s="329"/>
      <c r="AX1" s="332"/>
    </row>
    <row r="2" spans="1:51">
      <c r="A2" s="839" t="s">
        <v>612</v>
      </c>
      <c r="B2" s="10" t="s">
        <v>66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86"/>
      <c r="P2" s="11"/>
      <c r="Q2" s="11"/>
      <c r="R2" s="11"/>
      <c r="S2" s="11"/>
      <c r="T2" s="11"/>
      <c r="U2" s="86"/>
      <c r="V2" s="353" t="s">
        <v>134</v>
      </c>
      <c r="W2" s="353"/>
      <c r="X2" s="916"/>
      <c r="Y2" t="s">
        <v>452</v>
      </c>
      <c r="Z2" s="740" t="s">
        <v>4</v>
      </c>
      <c r="AA2" s="165"/>
      <c r="AB2" s="66"/>
      <c r="AC2" s="66" t="s">
        <v>419</v>
      </c>
      <c r="AD2" s="66"/>
      <c r="AE2" s="66"/>
      <c r="AF2" s="66" t="s">
        <v>419</v>
      </c>
      <c r="AG2" s="11"/>
      <c r="AH2" s="758" t="s">
        <v>602</v>
      </c>
      <c r="AI2" s="920" t="s">
        <v>613</v>
      </c>
      <c r="AJ2" s="11" t="s">
        <v>610</v>
      </c>
      <c r="AK2" s="925" t="s">
        <v>261</v>
      </c>
      <c r="AL2" s="926" t="s">
        <v>613</v>
      </c>
      <c r="AM2" s="11"/>
      <c r="AN2" s="909" t="s">
        <v>602</v>
      </c>
      <c r="AP2" t="s">
        <v>454</v>
      </c>
    </row>
    <row r="3" spans="1:51">
      <c r="A3" s="839" t="s">
        <v>581</v>
      </c>
      <c r="B3" s="6"/>
      <c r="C3" s="10" t="s">
        <v>39</v>
      </c>
      <c r="D3" s="350" t="s">
        <v>139</v>
      </c>
      <c r="E3" s="131" t="s">
        <v>133</v>
      </c>
      <c r="F3" s="11"/>
      <c r="G3" s="10"/>
      <c r="H3" s="11"/>
      <c r="I3" s="86"/>
      <c r="J3" s="125" t="s">
        <v>38</v>
      </c>
      <c r="K3" s="121"/>
      <c r="L3" s="121"/>
      <c r="M3" s="121"/>
      <c r="N3" s="121" t="s">
        <v>130</v>
      </c>
      <c r="O3" s="122"/>
      <c r="P3" s="1"/>
      <c r="Q3" s="1"/>
      <c r="R3" s="1" t="s">
        <v>61</v>
      </c>
      <c r="S3" s="1"/>
      <c r="T3" s="1"/>
      <c r="U3" s="135"/>
      <c r="V3" s="354" t="s">
        <v>154</v>
      </c>
      <c r="W3" s="354" t="s">
        <v>96</v>
      </c>
      <c r="X3" s="916"/>
      <c r="Y3" t="s">
        <v>453</v>
      </c>
      <c r="Z3" s="740" t="s">
        <v>138</v>
      </c>
      <c r="AA3" s="7"/>
      <c r="AB3" s="8"/>
      <c r="AC3" s="8" t="s">
        <v>608</v>
      </c>
      <c r="AD3" s="8"/>
      <c r="AE3" s="8"/>
      <c r="AF3" s="8" t="s">
        <v>609</v>
      </c>
      <c r="AG3" s="8"/>
      <c r="AH3" s="48" t="s">
        <v>606</v>
      </c>
      <c r="AI3" s="842" t="s">
        <v>614</v>
      </c>
      <c r="AJ3" s="1" t="s">
        <v>611</v>
      </c>
      <c r="AK3" s="927"/>
      <c r="AL3" s="928" t="s">
        <v>614</v>
      </c>
      <c r="AM3" s="1" t="s">
        <v>263</v>
      </c>
      <c r="AN3" s="910" t="s">
        <v>607</v>
      </c>
    </row>
    <row r="4" spans="1:51">
      <c r="A4" s="839"/>
      <c r="B4" s="6"/>
      <c r="C4" s="6" t="s">
        <v>52</v>
      </c>
      <c r="D4" s="323" t="s">
        <v>140</v>
      </c>
      <c r="E4" s="27" t="s">
        <v>146</v>
      </c>
      <c r="F4" s="79" t="s">
        <v>137</v>
      </c>
      <c r="G4" s="6" t="s">
        <v>147</v>
      </c>
      <c r="H4" s="1" t="s">
        <v>131</v>
      </c>
      <c r="I4" s="135" t="s">
        <v>148</v>
      </c>
      <c r="J4" s="127">
        <v>1</v>
      </c>
      <c r="K4" s="128">
        <v>2</v>
      </c>
      <c r="L4" s="128">
        <v>3</v>
      </c>
      <c r="M4" s="128">
        <v>4</v>
      </c>
      <c r="N4" s="128">
        <v>5</v>
      </c>
      <c r="O4" s="129">
        <v>6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35" t="s">
        <v>5</v>
      </c>
      <c r="V4" s="355" t="s">
        <v>136</v>
      </c>
      <c r="W4" s="355" t="s">
        <v>141</v>
      </c>
      <c r="X4" s="916"/>
      <c r="Z4" s="741" t="s">
        <v>36</v>
      </c>
      <c r="AA4" s="538" t="s">
        <v>0</v>
      </c>
      <c r="AB4" s="539"/>
      <c r="AC4" s="539" t="s">
        <v>7</v>
      </c>
      <c r="AD4" s="539" t="s">
        <v>1</v>
      </c>
      <c r="AE4" s="539"/>
      <c r="AF4" s="539" t="s">
        <v>7</v>
      </c>
      <c r="AG4" s="539" t="s">
        <v>2</v>
      </c>
      <c r="AH4" s="48" t="s">
        <v>256</v>
      </c>
      <c r="AI4" s="842" t="s">
        <v>615</v>
      </c>
      <c r="AJ4" s="1" t="s">
        <v>256</v>
      </c>
      <c r="AK4" s="927"/>
      <c r="AL4" s="928" t="s">
        <v>615</v>
      </c>
      <c r="AM4" s="1"/>
      <c r="AN4" s="910" t="s">
        <v>256</v>
      </c>
      <c r="AP4" t="s">
        <v>0</v>
      </c>
      <c r="AQ4" t="s">
        <v>1</v>
      </c>
      <c r="AR4" t="s">
        <v>2</v>
      </c>
    </row>
    <row r="5" spans="1:51">
      <c r="A5" s="839"/>
      <c r="B5" s="2" t="s">
        <v>55</v>
      </c>
      <c r="C5" s="138" t="s">
        <v>43</v>
      </c>
      <c r="D5" s="4">
        <v>0</v>
      </c>
      <c r="E5" s="136">
        <v>3.1190000000000002</v>
      </c>
      <c r="F5" s="120">
        <f t="shared" ref="F5:F10" si="0">E5-ResRy010</f>
        <v>0</v>
      </c>
      <c r="G5" s="149">
        <v>7.0999999999999994E-2</v>
      </c>
      <c r="H5" s="120">
        <v>0.16600000000000001</v>
      </c>
      <c r="I5" s="150">
        <v>0.05</v>
      </c>
      <c r="J5" s="130">
        <v>0</v>
      </c>
      <c r="K5" s="118">
        <v>0</v>
      </c>
      <c r="L5" s="118">
        <v>0</v>
      </c>
      <c r="M5" s="118">
        <v>0</v>
      </c>
      <c r="N5" s="118">
        <v>0</v>
      </c>
      <c r="O5" s="119"/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29">
        <v>0</v>
      </c>
      <c r="V5" s="366"/>
      <c r="W5" s="353"/>
      <c r="X5" s="916"/>
      <c r="Y5" s="3"/>
      <c r="Z5" s="743"/>
      <c r="AA5" s="2"/>
      <c r="AB5" s="3"/>
      <c r="AC5" s="3"/>
      <c r="AD5" s="3"/>
      <c r="AE5" s="3"/>
      <c r="AF5" s="3"/>
      <c r="AG5" s="3"/>
      <c r="AH5" s="329"/>
      <c r="AI5" s="921"/>
      <c r="AJ5" s="3"/>
      <c r="AK5" s="924"/>
      <c r="AL5" s="929"/>
      <c r="AM5" s="3"/>
      <c r="AN5" s="911"/>
      <c r="AO5" s="3"/>
      <c r="AP5" s="3"/>
      <c r="AQ5" s="3"/>
      <c r="AR5" s="3"/>
      <c r="AS5" s="3"/>
      <c r="AT5" s="3"/>
      <c r="AU5" s="3"/>
      <c r="AV5" s="3"/>
      <c r="AW5" s="3"/>
      <c r="AX5" s="3"/>
      <c r="AY5" s="4"/>
    </row>
    <row r="6" spans="1:51">
      <c r="A6" s="839">
        <v>1</v>
      </c>
      <c r="B6" s="6"/>
      <c r="C6" s="140">
        <v>4.0949999999999998E-4</v>
      </c>
      <c r="D6" s="323">
        <v>5.0000000000000001E-4</v>
      </c>
      <c r="E6" s="132">
        <v>3.11</v>
      </c>
      <c r="F6" s="75">
        <f t="shared" si="0"/>
        <v>-9.0000000000003411E-3</v>
      </c>
      <c r="G6" s="7">
        <v>6.8000000000000005E-2</v>
      </c>
      <c r="H6" s="8">
        <v>0.17799999999999999</v>
      </c>
      <c r="I6" s="148">
        <v>5.0999999999999997E-2</v>
      </c>
      <c r="J6" s="127">
        <v>-7</v>
      </c>
      <c r="K6" s="128">
        <v>7</v>
      </c>
      <c r="L6" s="128">
        <v>-4</v>
      </c>
      <c r="M6" s="128">
        <v>-11</v>
      </c>
      <c r="N6" s="128">
        <v>10</v>
      </c>
      <c r="O6" s="129">
        <v>4</v>
      </c>
      <c r="P6" s="17">
        <v>0</v>
      </c>
      <c r="Q6" s="17">
        <v>-1</v>
      </c>
      <c r="R6" s="17">
        <v>0</v>
      </c>
      <c r="S6" s="17">
        <v>0</v>
      </c>
      <c r="T6" s="17">
        <v>4.0000000000000002E-4</v>
      </c>
      <c r="U6" s="18">
        <v>0</v>
      </c>
      <c r="V6" s="367">
        <f>V5+5*0.996845</f>
        <v>4.9842250000000003</v>
      </c>
      <c r="W6" s="914">
        <f>100*ABS(V6-ABS(F6*1000))/5</f>
        <v>80.315500000006821</v>
      </c>
      <c r="X6" s="916"/>
      <c r="Z6" s="740"/>
      <c r="AA6" s="6"/>
      <c r="AB6" s="1"/>
      <c r="AC6" s="1"/>
      <c r="AD6" s="1"/>
      <c r="AE6" s="1"/>
      <c r="AF6" s="1"/>
      <c r="AG6" s="1"/>
      <c r="AH6" s="48"/>
      <c r="AI6" s="842"/>
      <c r="AJ6" s="1"/>
      <c r="AK6" s="927"/>
      <c r="AL6" s="928"/>
      <c r="AM6" s="1"/>
      <c r="AN6" s="910"/>
    </row>
    <row r="7" spans="1:51">
      <c r="A7" s="839">
        <v>2</v>
      </c>
      <c r="B7" s="6"/>
      <c r="C7" s="140">
        <v>4.0949999999999998E-4</v>
      </c>
      <c r="D7" s="323">
        <v>8.9999999999999998E-4</v>
      </c>
      <c r="E7" s="27">
        <v>3.1040000000000001</v>
      </c>
      <c r="F7" s="75">
        <f t="shared" si="0"/>
        <v>-1.5000000000000124E-2</v>
      </c>
      <c r="G7" s="7">
        <v>6.7000000000000004E-2</v>
      </c>
      <c r="H7" s="8">
        <v>0.19</v>
      </c>
      <c r="I7" s="148">
        <v>5.0999999999999997E-2</v>
      </c>
      <c r="J7" s="127">
        <v>-14</v>
      </c>
      <c r="K7" s="128">
        <v>14</v>
      </c>
      <c r="L7" s="128">
        <v>-8</v>
      </c>
      <c r="M7" s="128">
        <v>-22</v>
      </c>
      <c r="N7" s="128">
        <v>21</v>
      </c>
      <c r="O7" s="129">
        <v>9</v>
      </c>
      <c r="P7" s="17">
        <v>0</v>
      </c>
      <c r="Q7" s="17">
        <v>-1</v>
      </c>
      <c r="R7" s="17">
        <v>0</v>
      </c>
      <c r="S7" s="17">
        <v>0</v>
      </c>
      <c r="T7" s="17">
        <v>8.0000000000000004E-4</v>
      </c>
      <c r="U7" s="18">
        <v>0</v>
      </c>
      <c r="V7" s="367">
        <f>V6+5*0.996845</f>
        <v>9.9684500000000007</v>
      </c>
      <c r="W7" s="832">
        <f>100*ABS(V7-ABS(F7*1000))/10</f>
        <v>50.315500000001236</v>
      </c>
      <c r="X7" s="916"/>
      <c r="Z7" s="740"/>
      <c r="AA7" s="6"/>
      <c r="AB7" s="1"/>
      <c r="AC7" s="1"/>
      <c r="AD7" s="1"/>
      <c r="AE7" s="1"/>
      <c r="AF7" s="1"/>
      <c r="AG7" s="1"/>
      <c r="AH7" s="48"/>
      <c r="AI7" s="842"/>
      <c r="AJ7" s="1"/>
      <c r="AK7" s="927"/>
      <c r="AL7" s="928"/>
      <c r="AM7" s="1"/>
      <c r="AN7" s="910"/>
    </row>
    <row r="8" spans="1:51">
      <c r="A8" s="839">
        <v>3</v>
      </c>
      <c r="B8" s="6"/>
      <c r="C8" s="140">
        <v>-4.0949999999999998E-4</v>
      </c>
      <c r="D8" s="323">
        <v>5.0000000000000001E-4</v>
      </c>
      <c r="E8" s="27">
        <v>3.113</v>
      </c>
      <c r="F8" s="75">
        <f t="shared" si="0"/>
        <v>-6.0000000000002274E-3</v>
      </c>
      <c r="G8" s="7">
        <v>7.0999999999999994E-2</v>
      </c>
      <c r="H8" s="8">
        <v>0.17799999999999999</v>
      </c>
      <c r="I8" s="148">
        <v>0.05</v>
      </c>
      <c r="J8" s="127">
        <v>-7</v>
      </c>
      <c r="K8" s="128">
        <v>7</v>
      </c>
      <c r="L8" s="128">
        <v>-4</v>
      </c>
      <c r="M8" s="128">
        <v>-11</v>
      </c>
      <c r="N8" s="128">
        <v>10</v>
      </c>
      <c r="O8" s="129">
        <v>4</v>
      </c>
      <c r="P8" s="17">
        <v>0</v>
      </c>
      <c r="Q8" s="17">
        <v>-1</v>
      </c>
      <c r="R8" s="17">
        <v>0</v>
      </c>
      <c r="S8" s="17">
        <v>0</v>
      </c>
      <c r="T8" s="17">
        <v>4.0000000000000002E-4</v>
      </c>
      <c r="U8" s="18">
        <v>0</v>
      </c>
      <c r="V8" s="367">
        <f>V7-5*0.996845</f>
        <v>4.9842250000000003</v>
      </c>
      <c r="W8" s="832">
        <f>100*ABS(V8-ABS(F8*1000))/5</f>
        <v>20.31550000000454</v>
      </c>
      <c r="X8" s="916"/>
      <c r="Z8" s="740"/>
      <c r="AA8" s="6"/>
      <c r="AB8" s="1"/>
      <c r="AC8" s="1"/>
      <c r="AD8" s="1"/>
      <c r="AE8" s="1"/>
      <c r="AF8" s="1"/>
      <c r="AG8" s="1"/>
      <c r="AH8" s="48"/>
      <c r="AI8" s="842"/>
      <c r="AJ8" s="1"/>
      <c r="AK8" s="927"/>
      <c r="AL8" s="928"/>
      <c r="AM8" s="1"/>
      <c r="AN8" s="910"/>
    </row>
    <row r="9" spans="1:51">
      <c r="A9" s="839">
        <v>4</v>
      </c>
      <c r="B9" s="6"/>
      <c r="C9" s="140">
        <v>4.0949999999999998E-4</v>
      </c>
      <c r="D9" s="323">
        <v>8.9999999999999998E-4</v>
      </c>
      <c r="E9" s="27">
        <v>3.1040000000000001</v>
      </c>
      <c r="F9" s="75">
        <f t="shared" si="0"/>
        <v>-1.5000000000000124E-2</v>
      </c>
      <c r="G9" s="7">
        <v>6.8000000000000005E-2</v>
      </c>
      <c r="H9" s="8">
        <v>0.19</v>
      </c>
      <c r="I9" s="148">
        <v>5.0999999999999997E-2</v>
      </c>
      <c r="J9" s="127">
        <v>-14</v>
      </c>
      <c r="K9" s="128">
        <v>14</v>
      </c>
      <c r="L9" s="128">
        <v>-8</v>
      </c>
      <c r="M9" s="128">
        <v>-22</v>
      </c>
      <c r="N9" s="128">
        <v>21</v>
      </c>
      <c r="O9" s="129">
        <v>9</v>
      </c>
      <c r="P9" s="17">
        <v>0</v>
      </c>
      <c r="Q9" s="17">
        <v>-1</v>
      </c>
      <c r="R9" s="17">
        <v>0</v>
      </c>
      <c r="S9" s="17">
        <v>0</v>
      </c>
      <c r="T9" s="17">
        <v>8.0000000000000004E-4</v>
      </c>
      <c r="U9" s="18">
        <v>0</v>
      </c>
      <c r="V9" s="367">
        <f>V8+5*0.996845</f>
        <v>9.9684500000000007</v>
      </c>
      <c r="W9" s="832">
        <f>100*ABS(V9-ABS(F9*1000))/10</f>
        <v>50.315500000001236</v>
      </c>
      <c r="X9" s="916"/>
      <c r="Z9" s="740"/>
      <c r="AA9" s="6"/>
      <c r="AB9" s="1"/>
      <c r="AC9" s="1"/>
      <c r="AD9" s="1"/>
      <c r="AE9" s="1"/>
      <c r="AF9" s="1"/>
      <c r="AG9" s="1"/>
      <c r="AH9" s="48"/>
      <c r="AI9" s="842"/>
      <c r="AJ9" s="1"/>
      <c r="AK9" s="927"/>
      <c r="AL9" s="928"/>
      <c r="AM9" s="1"/>
      <c r="AN9" s="910"/>
    </row>
    <row r="10" spans="1:51">
      <c r="A10" s="839">
        <v>5</v>
      </c>
      <c r="B10" s="6"/>
      <c r="C10" s="140">
        <v>-4.0949999999999998E-4</v>
      </c>
      <c r="D10" s="323">
        <v>5.0000000000000001E-4</v>
      </c>
      <c r="E10" s="27">
        <v>3.1120000000000001</v>
      </c>
      <c r="F10" s="75">
        <f t="shared" si="0"/>
        <v>-7.0000000000001172E-3</v>
      </c>
      <c r="G10" s="7">
        <v>7.0999999999999994E-2</v>
      </c>
      <c r="H10" s="8">
        <v>0.17799999999999999</v>
      </c>
      <c r="I10" s="148">
        <v>0.05</v>
      </c>
      <c r="J10" s="127">
        <v>-7</v>
      </c>
      <c r="K10" s="128">
        <v>7</v>
      </c>
      <c r="L10" s="128">
        <v>-4</v>
      </c>
      <c r="M10" s="128">
        <v>-11</v>
      </c>
      <c r="N10" s="128">
        <v>10</v>
      </c>
      <c r="O10" s="129">
        <v>4</v>
      </c>
      <c r="P10" s="17">
        <v>0</v>
      </c>
      <c r="Q10" s="17">
        <v>-1</v>
      </c>
      <c r="R10" s="17">
        <v>0</v>
      </c>
      <c r="S10" s="17">
        <v>0</v>
      </c>
      <c r="T10" s="17">
        <v>4.0000000000000002E-4</v>
      </c>
      <c r="U10" s="18">
        <v>0</v>
      </c>
      <c r="V10" s="367">
        <f>V9-5*0.996845</f>
        <v>4.9842250000000003</v>
      </c>
      <c r="W10" s="832">
        <f>100*ABS(V10-ABS(F10*1000))/5</f>
        <v>40.315500000002338</v>
      </c>
      <c r="X10" s="916"/>
      <c r="Z10" s="740"/>
      <c r="AA10" s="6"/>
      <c r="AB10" s="1"/>
      <c r="AC10" s="1"/>
      <c r="AD10" s="1"/>
      <c r="AE10" s="1"/>
      <c r="AF10" s="1"/>
      <c r="AG10" s="1"/>
      <c r="AH10" s="48"/>
      <c r="AI10" s="842"/>
      <c r="AJ10" s="1"/>
      <c r="AK10" s="927"/>
      <c r="AL10" s="928"/>
      <c r="AM10" s="1"/>
      <c r="AN10" s="910"/>
    </row>
    <row r="11" spans="1:51">
      <c r="A11" s="839"/>
      <c r="B11" s="133" t="s">
        <v>54</v>
      </c>
      <c r="C11" s="138" t="s">
        <v>44</v>
      </c>
      <c r="D11" s="4">
        <v>5.0000000000000001E-4</v>
      </c>
      <c r="E11" s="136">
        <v>3.1120000000000001</v>
      </c>
      <c r="F11" s="216">
        <f t="shared" ref="F11:F16" si="1">E11-ResRy011</f>
        <v>0</v>
      </c>
      <c r="G11" s="149">
        <v>7.0999999999999994E-2</v>
      </c>
      <c r="H11" s="120">
        <v>0.17799999999999999</v>
      </c>
      <c r="I11" s="150">
        <v>0.05</v>
      </c>
      <c r="J11" s="130">
        <v>-7</v>
      </c>
      <c r="K11" s="118">
        <v>7</v>
      </c>
      <c r="L11" s="118">
        <v>-4</v>
      </c>
      <c r="M11" s="118">
        <v>-11</v>
      </c>
      <c r="N11" s="118">
        <v>10</v>
      </c>
      <c r="O11" s="119">
        <v>4</v>
      </c>
      <c r="P11" s="28">
        <v>0</v>
      </c>
      <c r="Q11" s="28">
        <v>-1</v>
      </c>
      <c r="R11" s="28">
        <v>0</v>
      </c>
      <c r="S11" s="28">
        <v>0</v>
      </c>
      <c r="T11" s="28">
        <v>4.0000000000000002E-4</v>
      </c>
      <c r="U11" s="29">
        <v>0</v>
      </c>
      <c r="V11" s="367"/>
      <c r="W11" s="354"/>
      <c r="X11" s="916"/>
      <c r="Y11" s="3"/>
      <c r="Z11" s="743"/>
      <c r="AA11" s="149">
        <v>-6.0000000000000001E-3</v>
      </c>
      <c r="AB11" s="120"/>
      <c r="AC11" s="120"/>
      <c r="AD11" s="120">
        <v>1.4E-2</v>
      </c>
      <c r="AE11" s="120"/>
      <c r="AF11" s="120"/>
      <c r="AG11" s="120">
        <v>1E-3</v>
      </c>
      <c r="AH11" s="866"/>
      <c r="AI11" s="921"/>
      <c r="AJ11" s="908"/>
      <c r="AK11" s="930"/>
      <c r="AL11" s="929"/>
      <c r="AM11" s="908"/>
      <c r="AN11" s="911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4"/>
    </row>
    <row r="12" spans="1:51">
      <c r="A12" s="839">
        <v>1</v>
      </c>
      <c r="B12" s="6"/>
      <c r="C12" s="137">
        <v>1.638E-4</v>
      </c>
      <c r="D12" s="323">
        <v>6.9999999999999999E-4</v>
      </c>
      <c r="E12" s="132">
        <v>3.109</v>
      </c>
      <c r="F12" s="75">
        <f t="shared" si="1"/>
        <v>-3.0000000000001137E-3</v>
      </c>
      <c r="G12" s="7">
        <v>7.0999999999999994E-2</v>
      </c>
      <c r="H12" s="8">
        <v>0.183</v>
      </c>
      <c r="I12" s="148">
        <v>0.05</v>
      </c>
      <c r="J12" s="127">
        <v>-10</v>
      </c>
      <c r="K12" s="128">
        <v>10</v>
      </c>
      <c r="L12" s="128">
        <v>-6</v>
      </c>
      <c r="M12" s="128">
        <v>-15</v>
      </c>
      <c r="N12" s="128">
        <v>15</v>
      </c>
      <c r="O12" s="129">
        <v>5</v>
      </c>
      <c r="P12" s="17">
        <v>1</v>
      </c>
      <c r="Q12" s="17">
        <v>-1</v>
      </c>
      <c r="R12" s="17">
        <v>0</v>
      </c>
      <c r="S12" s="17">
        <v>0</v>
      </c>
      <c r="T12" s="17">
        <v>5.9999999999999995E-4</v>
      </c>
      <c r="U12" s="18">
        <v>0</v>
      </c>
      <c r="V12" s="367">
        <f>V11+2*0.996845</f>
        <v>1.99369</v>
      </c>
      <c r="W12" s="832">
        <f>100*ABS(V12-ABS(F12*1000))/2</f>
        <v>50.315500000005684</v>
      </c>
      <c r="X12" s="916"/>
      <c r="Z12" s="740"/>
      <c r="AA12" s="7">
        <v>-1E-3</v>
      </c>
      <c r="AB12" s="8">
        <f>AA12--0.006</f>
        <v>5.0000000000000001E-3</v>
      </c>
      <c r="AC12" s="8">
        <f>AA12-AA11</f>
        <v>5.0000000000000001E-3</v>
      </c>
      <c r="AD12" s="8">
        <v>1.2E-2</v>
      </c>
      <c r="AE12" s="8">
        <f>AD12-0.014</f>
        <v>-2E-3</v>
      </c>
      <c r="AF12" s="8">
        <f>AD12-AD11</f>
        <v>-2E-3</v>
      </c>
      <c r="AG12" s="8">
        <v>0</v>
      </c>
      <c r="AH12" s="913">
        <f>180*(AC12)/1938/3.1416</f>
        <v>1.4782158289716111E-4</v>
      </c>
      <c r="AI12" s="842">
        <f>100*(AH12-C12)/C12</f>
        <v>-9.754833396116533</v>
      </c>
      <c r="AJ12" s="912">
        <f>180*(AF12)/1938/3.1416</f>
        <v>-5.9128633158864443E-5</v>
      </c>
      <c r="AK12" s="931">
        <f>SQRT(AH12*AH12+AJ12*AJ12)</f>
        <v>1.5920871719054156E-4</v>
      </c>
      <c r="AL12" s="928">
        <f>100*(AK12-ABS(C12))/C12</f>
        <v>-2.8029809581553353</v>
      </c>
      <c r="AM12" s="912">
        <f>SQRT(AB12*AB12+AE12*AE12)</f>
        <v>5.3851648071345038E-3</v>
      </c>
      <c r="AN12" s="910">
        <f>180*(AM12-0)/1938/3.1416</f>
        <v>1.5920871719054156E-4</v>
      </c>
    </row>
    <row r="13" spans="1:51">
      <c r="A13" s="839">
        <v>2</v>
      </c>
      <c r="B13" s="6"/>
      <c r="C13" s="137">
        <v>1.638E-4</v>
      </c>
      <c r="D13" s="323">
        <v>8.9999999999999998E-4</v>
      </c>
      <c r="E13" s="132">
        <v>3.1059999999999999</v>
      </c>
      <c r="F13" s="75">
        <f t="shared" si="1"/>
        <v>-6.0000000000002274E-3</v>
      </c>
      <c r="G13" s="7">
        <v>6.9000000000000006E-2</v>
      </c>
      <c r="H13" s="8">
        <v>0.188</v>
      </c>
      <c r="I13" s="148">
        <v>5.0999999999999997E-2</v>
      </c>
      <c r="J13" s="127">
        <v>-13</v>
      </c>
      <c r="K13" s="128">
        <v>13</v>
      </c>
      <c r="L13" s="128">
        <v>-7</v>
      </c>
      <c r="M13" s="128">
        <v>-20</v>
      </c>
      <c r="N13" s="128">
        <v>19</v>
      </c>
      <c r="O13" s="129">
        <v>7</v>
      </c>
      <c r="P13" s="17">
        <v>1</v>
      </c>
      <c r="Q13" s="17">
        <v>-1</v>
      </c>
      <c r="R13" s="17">
        <v>0</v>
      </c>
      <c r="S13" s="17">
        <v>0</v>
      </c>
      <c r="T13" s="17">
        <v>6.9999999999999999E-4</v>
      </c>
      <c r="U13" s="18">
        <v>0</v>
      </c>
      <c r="V13" s="367">
        <f>V12+2*0.996845</f>
        <v>3.9873799999999999</v>
      </c>
      <c r="W13" s="832">
        <f>100*ABS(V13-ABS(F13*1000))/4</f>
        <v>50.315500000005684</v>
      </c>
      <c r="X13" s="916"/>
      <c r="Z13" s="740"/>
      <c r="AA13" s="7">
        <v>8.9999999999999993E-3</v>
      </c>
      <c r="AB13" s="8">
        <f t="shared" ref="AB13:AB15" si="2">AA13--0.006</f>
        <v>1.4999999999999999E-2</v>
      </c>
      <c r="AC13" s="8">
        <f>AA13-AA12</f>
        <v>9.9999999999999985E-3</v>
      </c>
      <c r="AD13" s="8">
        <v>0.01</v>
      </c>
      <c r="AE13" s="8">
        <f t="shared" ref="AE13:AE16" si="3">AD13-0.014</f>
        <v>-4.0000000000000001E-3</v>
      </c>
      <c r="AF13" s="8">
        <f>AD13-AD12</f>
        <v>-2E-3</v>
      </c>
      <c r="AG13" s="8">
        <v>-1E-3</v>
      </c>
      <c r="AH13" s="913">
        <f t="shared" ref="AH13:AH16" si="4">180*(AC13)/1938/3.1416</f>
        <v>2.9564316579432223E-4</v>
      </c>
      <c r="AI13" s="842">
        <f>100*(AH13-C13)/C13</f>
        <v>80.490333207766923</v>
      </c>
      <c r="AJ13" s="912">
        <f t="shared" ref="AJ13:AJ22" si="5">180*(AF13)/1938/3.1416</f>
        <v>-5.9128633158864443E-5</v>
      </c>
      <c r="AK13" s="931">
        <f t="shared" ref="AK13:AK22" si="6">SQRT(AH13*AH13+AJ13*AJ13)</f>
        <v>3.0149805428911919E-4</v>
      </c>
      <c r="AL13" s="928">
        <f t="shared" ref="AL13:AL16" si="7">100*(AK13-ABS(C13))/C13</f>
        <v>84.064746208253482</v>
      </c>
      <c r="AM13" s="912">
        <f t="shared" ref="AM13:AM16" si="8">SQRT(AB13*AB13+AE13*AE13)</f>
        <v>1.5524174696260024E-2</v>
      </c>
      <c r="AN13" s="910">
        <f>180*(AM13-AM12)/1938/3.1416</f>
        <v>2.997528981641009E-4</v>
      </c>
    </row>
    <row r="14" spans="1:51">
      <c r="A14" s="839">
        <v>3</v>
      </c>
      <c r="B14" s="6"/>
      <c r="C14" s="137">
        <v>-1.638E-4</v>
      </c>
      <c r="D14" s="323">
        <v>6.9999999999999999E-4</v>
      </c>
      <c r="E14" s="132">
        <v>3.109</v>
      </c>
      <c r="F14" s="75">
        <f t="shared" si="1"/>
        <v>-3.0000000000001137E-3</v>
      </c>
      <c r="G14" s="7">
        <v>7.0999999999999994E-2</v>
      </c>
      <c r="H14" s="8">
        <v>0.183</v>
      </c>
      <c r="I14" s="148">
        <v>5.0999999999999997E-2</v>
      </c>
      <c r="J14" s="127">
        <v>-10</v>
      </c>
      <c r="K14" s="128">
        <v>10</v>
      </c>
      <c r="L14" s="128">
        <v>-6</v>
      </c>
      <c r="M14" s="128">
        <v>-15</v>
      </c>
      <c r="N14" s="128">
        <v>15</v>
      </c>
      <c r="O14" s="129">
        <v>6</v>
      </c>
      <c r="P14" s="17">
        <v>1</v>
      </c>
      <c r="Q14" s="17">
        <v>-1</v>
      </c>
      <c r="R14" s="17">
        <v>0</v>
      </c>
      <c r="S14" s="17">
        <v>0</v>
      </c>
      <c r="T14" s="17">
        <v>5.9999999999999995E-4</v>
      </c>
      <c r="U14" s="18">
        <v>0</v>
      </c>
      <c r="V14" s="367">
        <f>V13-2*0.996845</f>
        <v>1.99369</v>
      </c>
      <c r="W14" s="832">
        <f>100*ABS(V14-ABS(F14*1000))/2</f>
        <v>50.315500000005684</v>
      </c>
      <c r="X14" s="916"/>
      <c r="Z14" s="740"/>
      <c r="AA14" s="7">
        <v>2E-3</v>
      </c>
      <c r="AB14" s="8">
        <f t="shared" si="2"/>
        <v>8.0000000000000002E-3</v>
      </c>
      <c r="AC14" s="8">
        <f>AA14-AA13</f>
        <v>-6.9999999999999993E-3</v>
      </c>
      <c r="AD14" s="8">
        <v>1.4E-2</v>
      </c>
      <c r="AE14" s="8">
        <f t="shared" si="3"/>
        <v>0</v>
      </c>
      <c r="AF14" s="8">
        <f>AD14-AD13</f>
        <v>4.0000000000000001E-3</v>
      </c>
      <c r="AG14" s="8">
        <v>0</v>
      </c>
      <c r="AH14" s="913">
        <f t="shared" si="4"/>
        <v>-2.0695021605602554E-4</v>
      </c>
      <c r="AI14" s="842">
        <f t="shared" ref="AI14:AI16" si="9">100*(AH14-C14)/C14</f>
        <v>26.343233245436842</v>
      </c>
      <c r="AJ14" s="912">
        <f t="shared" si="5"/>
        <v>1.1825726631772889E-4</v>
      </c>
      <c r="AK14" s="931">
        <f t="shared" si="6"/>
        <v>2.383551404156787E-4</v>
      </c>
      <c r="AL14" s="928">
        <f t="shared" si="7"/>
        <v>-45.515958739730586</v>
      </c>
      <c r="AM14" s="912">
        <f t="shared" si="8"/>
        <v>8.0000000000000002E-3</v>
      </c>
      <c r="AN14" s="910">
        <f t="shared" ref="AN14:AN16" si="10">180*(AM14-AM13)/1938/3.1416</f>
        <v>-2.2244708271918463E-4</v>
      </c>
    </row>
    <row r="15" spans="1:51">
      <c r="A15" s="839">
        <v>4</v>
      </c>
      <c r="B15" s="6"/>
      <c r="C15" s="137">
        <v>1.638E-4</v>
      </c>
      <c r="D15" s="323">
        <v>8.9999999999999998E-4</v>
      </c>
      <c r="E15" s="132">
        <v>3.1059999999999999</v>
      </c>
      <c r="F15" s="75">
        <f t="shared" si="1"/>
        <v>-6.0000000000002274E-3</v>
      </c>
      <c r="G15" s="7">
        <v>7.0000000000000007E-2</v>
      </c>
      <c r="H15" s="8">
        <v>0.187</v>
      </c>
      <c r="I15" s="148">
        <v>5.0999999999999997E-2</v>
      </c>
      <c r="J15" s="127">
        <v>-13</v>
      </c>
      <c r="K15" s="128">
        <v>13</v>
      </c>
      <c r="L15" s="128">
        <v>-7</v>
      </c>
      <c r="M15" s="128">
        <v>-20</v>
      </c>
      <c r="N15" s="128">
        <v>19</v>
      </c>
      <c r="O15" s="129">
        <v>7</v>
      </c>
      <c r="P15" s="17">
        <v>1</v>
      </c>
      <c r="Q15" s="17">
        <v>-1</v>
      </c>
      <c r="R15" s="17">
        <v>0</v>
      </c>
      <c r="S15" s="17">
        <v>0</v>
      </c>
      <c r="T15" s="17">
        <v>6.9999999999999999E-4</v>
      </c>
      <c r="U15" s="18">
        <v>0</v>
      </c>
      <c r="V15" s="367">
        <f>V14+2*0.996845</f>
        <v>3.9873799999999999</v>
      </c>
      <c r="W15" s="832">
        <f>100*ABS(V15-ABS(F15*1000))/4</f>
        <v>50.315500000005684</v>
      </c>
      <c r="X15" s="916"/>
      <c r="Z15" s="740"/>
      <c r="AA15" s="7">
        <v>0.01</v>
      </c>
      <c r="AB15" s="8">
        <f t="shared" si="2"/>
        <v>1.6E-2</v>
      </c>
      <c r="AC15" s="8">
        <f>AA15-AA14</f>
        <v>8.0000000000000002E-3</v>
      </c>
      <c r="AD15" s="8">
        <v>0.01</v>
      </c>
      <c r="AE15" s="8">
        <f t="shared" si="3"/>
        <v>-4.0000000000000001E-3</v>
      </c>
      <c r="AF15" s="8">
        <f>AD15-AD14</f>
        <v>-4.0000000000000001E-3</v>
      </c>
      <c r="AG15" s="8">
        <v>-1E-3</v>
      </c>
      <c r="AH15" s="913">
        <f t="shared" si="4"/>
        <v>2.3651453263545777E-4</v>
      </c>
      <c r="AI15" s="842">
        <f t="shared" si="9"/>
        <v>44.392266566213543</v>
      </c>
      <c r="AJ15" s="912">
        <f t="shared" si="5"/>
        <v>-1.1825726631772889E-4</v>
      </c>
      <c r="AK15" s="931">
        <f t="shared" si="6"/>
        <v>2.6443128631973802E-4</v>
      </c>
      <c r="AL15" s="928">
        <f t="shared" si="7"/>
        <v>61.435461733661796</v>
      </c>
      <c r="AM15" s="912">
        <f t="shared" si="8"/>
        <v>1.6492422502470641E-2</v>
      </c>
      <c r="AN15" s="910">
        <f t="shared" si="10"/>
        <v>2.5107266738933604E-4</v>
      </c>
    </row>
    <row r="16" spans="1:51">
      <c r="A16" s="839">
        <v>5</v>
      </c>
      <c r="B16" s="6"/>
      <c r="C16" s="137">
        <v>-1.638E-4</v>
      </c>
      <c r="D16" s="323">
        <v>6.9999999999999999E-4</v>
      </c>
      <c r="E16" s="132">
        <v>3.109</v>
      </c>
      <c r="F16" s="75">
        <f t="shared" si="1"/>
        <v>-3.0000000000001137E-3</v>
      </c>
      <c r="G16" s="7">
        <v>7.0000000000000007E-2</v>
      </c>
      <c r="H16" s="8">
        <v>0.183</v>
      </c>
      <c r="I16" s="148">
        <v>5.0999999999999997E-2</v>
      </c>
      <c r="J16" s="127">
        <v>-10</v>
      </c>
      <c r="K16" s="128">
        <v>10</v>
      </c>
      <c r="L16" s="128">
        <v>-6</v>
      </c>
      <c r="M16" s="128">
        <v>16</v>
      </c>
      <c r="N16" s="128">
        <v>15</v>
      </c>
      <c r="O16" s="129">
        <v>6</v>
      </c>
      <c r="P16" s="17">
        <v>1</v>
      </c>
      <c r="Q16" s="17">
        <v>-1</v>
      </c>
      <c r="R16" s="17">
        <v>0</v>
      </c>
      <c r="S16" s="17">
        <v>0</v>
      </c>
      <c r="T16" s="17">
        <v>5.9999999999999995E-4</v>
      </c>
      <c r="U16" s="18">
        <v>0</v>
      </c>
      <c r="V16" s="367">
        <f>V15-2*0.996845</f>
        <v>1.99369</v>
      </c>
      <c r="W16" s="832">
        <f>100*ABS(V16-ABS(F16*1000))/2</f>
        <v>50.315500000005684</v>
      </c>
      <c r="X16" s="916"/>
      <c r="Z16" s="740"/>
      <c r="AA16" s="7">
        <v>2E-3</v>
      </c>
      <c r="AB16" s="8">
        <f>AA16--0.006</f>
        <v>8.0000000000000002E-3</v>
      </c>
      <c r="AC16" s="8">
        <f>AA16-AA15</f>
        <v>-8.0000000000000002E-3</v>
      </c>
      <c r="AD16" s="8">
        <v>1.4E-2</v>
      </c>
      <c r="AE16" s="8">
        <f t="shared" si="3"/>
        <v>0</v>
      </c>
      <c r="AF16" s="8">
        <f>AD16-AD15</f>
        <v>4.0000000000000001E-3</v>
      </c>
      <c r="AG16" s="8">
        <v>0</v>
      </c>
      <c r="AH16" s="913">
        <f t="shared" si="4"/>
        <v>-2.3651453263545777E-4</v>
      </c>
      <c r="AI16" s="842">
        <f t="shared" si="9"/>
        <v>44.392266566213543</v>
      </c>
      <c r="AJ16" s="912">
        <f t="shared" si="5"/>
        <v>1.1825726631772889E-4</v>
      </c>
      <c r="AK16" s="931">
        <f t="shared" si="6"/>
        <v>2.6443128631973802E-4</v>
      </c>
      <c r="AL16" s="928">
        <f t="shared" si="7"/>
        <v>-61.435461733661796</v>
      </c>
      <c r="AM16" s="912">
        <f t="shared" si="8"/>
        <v>8.0000000000000002E-3</v>
      </c>
      <c r="AN16" s="910">
        <f t="shared" si="10"/>
        <v>-2.5107266738933604E-4</v>
      </c>
    </row>
    <row r="17" spans="1:51">
      <c r="A17" s="839"/>
      <c r="B17" s="133" t="s">
        <v>53</v>
      </c>
      <c r="C17" s="138" t="s">
        <v>45</v>
      </c>
      <c r="D17" s="4">
        <v>4.0000000000000002E-4</v>
      </c>
      <c r="E17" s="136">
        <v>3.109</v>
      </c>
      <c r="F17" s="216">
        <f t="shared" ref="F17:F22" si="11">E17-ResRy012</f>
        <v>0</v>
      </c>
      <c r="G17" s="149">
        <v>7.0000000000000007E-2</v>
      </c>
      <c r="H17" s="120">
        <v>0.183</v>
      </c>
      <c r="I17" s="150">
        <v>5.0999999999999997E-2</v>
      </c>
      <c r="J17" s="130">
        <v>-10</v>
      </c>
      <c r="K17" s="118">
        <v>10</v>
      </c>
      <c r="L17" s="118">
        <v>-6</v>
      </c>
      <c r="M17" s="118">
        <v>16</v>
      </c>
      <c r="N17" s="118">
        <v>15</v>
      </c>
      <c r="O17" s="119">
        <v>6</v>
      </c>
      <c r="P17" s="28">
        <v>1</v>
      </c>
      <c r="Q17" s="28">
        <v>-1</v>
      </c>
      <c r="R17" s="28">
        <v>0</v>
      </c>
      <c r="S17" s="28">
        <v>0</v>
      </c>
      <c r="T17" s="28">
        <v>5.9999999999999995E-4</v>
      </c>
      <c r="U17" s="29">
        <v>0</v>
      </c>
      <c r="V17" s="367"/>
      <c r="W17" s="354"/>
      <c r="X17" s="916"/>
      <c r="Y17" s="3"/>
      <c r="Z17" s="3"/>
      <c r="AA17" s="149"/>
      <c r="AB17" s="120"/>
      <c r="AC17" s="120"/>
      <c r="AD17" s="120"/>
      <c r="AE17" s="120"/>
      <c r="AF17" s="120"/>
      <c r="AG17" s="120"/>
      <c r="AH17" s="866"/>
      <c r="AI17" s="921">
        <f>AVERAGE(-AI12,AI13:AI16)</f>
        <v>41.074586596349477</v>
      </c>
      <c r="AJ17" s="908"/>
      <c r="AK17" s="930"/>
      <c r="AL17" s="929">
        <f>AVERAGE(AL12:AL16)</f>
        <v>7.1491613020735114</v>
      </c>
      <c r="AM17" s="908"/>
      <c r="AN17" s="911"/>
      <c r="AO17" s="743">
        <v>1.7999999999999999E-6</v>
      </c>
      <c r="AP17" s="120"/>
      <c r="AQ17" s="120">
        <v>-5.0000000000000001E-3</v>
      </c>
      <c r="AR17" s="120">
        <v>1.4E-2</v>
      </c>
      <c r="AS17" s="120">
        <v>-2E-3</v>
      </c>
      <c r="AT17" s="3"/>
      <c r="AU17" s="120">
        <v>0</v>
      </c>
      <c r="AV17" s="120">
        <v>-5.0000000000000001E-3</v>
      </c>
      <c r="AW17" s="120">
        <v>1.4E-2</v>
      </c>
      <c r="AX17" s="120">
        <v>0</v>
      </c>
      <c r="AY17" s="4"/>
    </row>
    <row r="18" spans="1:51">
      <c r="A18" s="839">
        <v>1</v>
      </c>
      <c r="B18" s="47">
        <v>8.1899999999999999E-5</v>
      </c>
      <c r="C18" s="141">
        <v>8.1899999999999999E-5</v>
      </c>
      <c r="D18" s="323">
        <v>5.0000000000000001E-4</v>
      </c>
      <c r="E18" s="132">
        <v>3.1080000000000001</v>
      </c>
      <c r="F18" s="75">
        <f t="shared" si="11"/>
        <v>-9.9999999999988987E-4</v>
      </c>
      <c r="G18" s="7">
        <v>6.9000000000000006E-2</v>
      </c>
      <c r="H18" s="8">
        <v>0.185</v>
      </c>
      <c r="I18" s="148">
        <v>0.05</v>
      </c>
      <c r="J18" s="127">
        <v>-12</v>
      </c>
      <c r="K18" s="128">
        <v>11</v>
      </c>
      <c r="L18" s="128">
        <v>-7</v>
      </c>
      <c r="M18" s="128">
        <v>-18</v>
      </c>
      <c r="N18" s="128">
        <v>17</v>
      </c>
      <c r="O18" s="129">
        <v>6</v>
      </c>
      <c r="P18" s="17">
        <v>1</v>
      </c>
      <c r="Q18" s="17">
        <v>-1</v>
      </c>
      <c r="R18" s="17">
        <v>0</v>
      </c>
      <c r="S18" s="17">
        <v>0</v>
      </c>
      <c r="T18" s="17">
        <v>6.9999999999999999E-4</v>
      </c>
      <c r="U18" s="18">
        <v>0</v>
      </c>
      <c r="V18" s="367">
        <f>V17+1*0.996845</f>
        <v>0.99684499999999998</v>
      </c>
      <c r="W18" s="832">
        <f>100*ABS(V18-ABS(F18*1000))/1</f>
        <v>0.31549999998898848</v>
      </c>
      <c r="X18" s="916"/>
      <c r="AA18" s="7">
        <v>7.0000000000000001E-3</v>
      </c>
      <c r="AB18" s="8">
        <f t="shared" ref="AB18:AB22" si="12">AA18--0.006</f>
        <v>1.3000000000000001E-2</v>
      </c>
      <c r="AC18" s="8">
        <f>AA18-AA16</f>
        <v>5.0000000000000001E-3</v>
      </c>
      <c r="AD18" s="8">
        <v>1.4E-2</v>
      </c>
      <c r="AE18" s="8">
        <f t="shared" ref="AE18:AE22" si="13">AD18-0.014</f>
        <v>0</v>
      </c>
      <c r="AF18" s="8">
        <f>AD18-AD16</f>
        <v>0</v>
      </c>
      <c r="AG18" s="8">
        <v>0</v>
      </c>
      <c r="AH18" s="913">
        <f>180*(AC18)/1938/3.1416</f>
        <v>1.4782158289716111E-4</v>
      </c>
      <c r="AI18" s="842">
        <f t="shared" ref="AI18:AI22" si="14">100*(AH18-C18)/C18</f>
        <v>80.490333207766923</v>
      </c>
      <c r="AJ18" s="912">
        <f t="shared" si="5"/>
        <v>0</v>
      </c>
      <c r="AK18" s="931">
        <f t="shared" si="6"/>
        <v>1.4782158289716111E-4</v>
      </c>
      <c r="AL18" s="928">
        <f t="shared" ref="AL18:AL22" si="15">100*(AK18-ABS(C18))/C18</f>
        <v>80.490333207766923</v>
      </c>
      <c r="AM18" s="912">
        <f>SQRT(AA18*AA18+AD18*AD18)</f>
        <v>1.5652475842498528E-2</v>
      </c>
      <c r="AN18" s="910"/>
      <c r="AO18" s="740">
        <v>2.0000000000000001E-4</v>
      </c>
      <c r="AP18" s="9">
        <v>-3.0000000000000001E-3</v>
      </c>
      <c r="AQ18" s="9">
        <v>-4.0000000000000001E-3</v>
      </c>
      <c r="AR18" s="9">
        <v>1.4E-2</v>
      </c>
      <c r="AS18" s="9">
        <v>-2E-3</v>
      </c>
      <c r="AV18" s="9">
        <v>-5.0000000000000001E-3</v>
      </c>
      <c r="AW18" s="9">
        <v>1.4E-2</v>
      </c>
      <c r="AX18" s="9">
        <v>0</v>
      </c>
    </row>
    <row r="19" spans="1:51">
      <c r="A19" s="839">
        <v>2</v>
      </c>
      <c r="B19" s="47">
        <v>8.1899999999999999E-5</v>
      </c>
      <c r="C19" s="141">
        <v>8.1899999999999999E-5</v>
      </c>
      <c r="D19" s="323">
        <v>5.9999999999999995E-4</v>
      </c>
      <c r="E19" s="132">
        <v>3.1070000000000002</v>
      </c>
      <c r="F19" s="75">
        <f t="shared" si="11"/>
        <v>-1.9999999999997797E-3</v>
      </c>
      <c r="G19" s="7">
        <v>6.9000000000000006E-2</v>
      </c>
      <c r="H19" s="8">
        <v>0.188</v>
      </c>
      <c r="I19" s="148">
        <v>0.05</v>
      </c>
      <c r="J19" s="127">
        <v>-13</v>
      </c>
      <c r="K19" s="128">
        <v>13</v>
      </c>
      <c r="L19" s="128">
        <v>-7</v>
      </c>
      <c r="M19" s="128">
        <v>-20</v>
      </c>
      <c r="N19" s="128">
        <v>19</v>
      </c>
      <c r="O19" s="129">
        <v>7</v>
      </c>
      <c r="P19" s="17">
        <v>2</v>
      </c>
      <c r="Q19" s="17">
        <v>-1</v>
      </c>
      <c r="R19" s="17">
        <v>0</v>
      </c>
      <c r="S19" s="17">
        <v>0</v>
      </c>
      <c r="T19" s="17">
        <v>6.9999999999999999E-4</v>
      </c>
      <c r="U19" s="18">
        <v>0</v>
      </c>
      <c r="V19" s="367">
        <f>V18+1*0.996845</f>
        <v>1.99369</v>
      </c>
      <c r="W19" s="832">
        <f>100*ABS(V19-ABS(F19*1000))/2</f>
        <v>0.31549999998898848</v>
      </c>
      <c r="X19" s="916"/>
      <c r="AA19" s="7">
        <v>8.9999999999999993E-3</v>
      </c>
      <c r="AB19" s="8">
        <f t="shared" si="12"/>
        <v>1.4999999999999999E-2</v>
      </c>
      <c r="AC19" s="8">
        <f>AA19-AA18</f>
        <v>1.9999999999999992E-3</v>
      </c>
      <c r="AD19" s="8">
        <v>1.2999999999999999E-2</v>
      </c>
      <c r="AE19" s="8">
        <f t="shared" si="13"/>
        <v>-1.0000000000000009E-3</v>
      </c>
      <c r="AF19" s="8">
        <f>AD19-AD18</f>
        <v>-1.0000000000000009E-3</v>
      </c>
      <c r="AG19" s="8">
        <v>0</v>
      </c>
      <c r="AH19" s="913">
        <f t="shared" ref="AH19:AH22" si="16">180*(AC19)/1938/3.1416</f>
        <v>5.912863315886443E-5</v>
      </c>
      <c r="AI19" s="842">
        <f t="shared" si="14"/>
        <v>-27.803866716893246</v>
      </c>
      <c r="AJ19" s="912">
        <f t="shared" si="5"/>
        <v>-2.9564316579432249E-5</v>
      </c>
      <c r="AK19" s="931">
        <f t="shared" si="6"/>
        <v>6.6107821579934506E-5</v>
      </c>
      <c r="AL19" s="928">
        <f t="shared" si="15"/>
        <v>-19.282269133169102</v>
      </c>
      <c r="AM19" s="912">
        <f>SQRT(AA19*AA19+AD19*AD19)</f>
        <v>1.5811388300841896E-2</v>
      </c>
      <c r="AN19" s="910"/>
      <c r="AO19" s="740">
        <v>4.0000000000000002E-4</v>
      </c>
      <c r="AP19" s="9"/>
      <c r="AQ19" s="9">
        <v>-3.0000000000000001E-3</v>
      </c>
      <c r="AR19" s="9">
        <v>1.4E-2</v>
      </c>
      <c r="AS19" s="9">
        <v>-2E-3</v>
      </c>
      <c r="AV19" s="9">
        <v>-4.0000000000000001E-3</v>
      </c>
      <c r="AW19" s="9">
        <v>1.4E-2</v>
      </c>
      <c r="AX19" s="9">
        <v>0</v>
      </c>
    </row>
    <row r="20" spans="1:51">
      <c r="A20" s="839">
        <v>3</v>
      </c>
      <c r="B20" s="47">
        <v>-8.1899999999999999E-5</v>
      </c>
      <c r="C20" s="141">
        <v>-8.1899999999999999E-5</v>
      </c>
      <c r="D20" s="323">
        <v>5.0000000000000001E-4</v>
      </c>
      <c r="E20" s="132">
        <v>3.1080000000000001</v>
      </c>
      <c r="F20" s="75">
        <f t="shared" si="11"/>
        <v>-9.9999999999988987E-4</v>
      </c>
      <c r="G20" s="7">
        <v>6.9000000000000006E-2</v>
      </c>
      <c r="H20" s="8">
        <v>0.188</v>
      </c>
      <c r="I20" s="148">
        <v>0.05</v>
      </c>
      <c r="J20" s="127">
        <v>-12</v>
      </c>
      <c r="K20" s="128">
        <v>11</v>
      </c>
      <c r="L20" s="128">
        <v>-7</v>
      </c>
      <c r="M20" s="128">
        <v>-18</v>
      </c>
      <c r="N20" s="128">
        <v>17</v>
      </c>
      <c r="O20" s="129">
        <v>6</v>
      </c>
      <c r="P20" s="17">
        <v>2</v>
      </c>
      <c r="Q20" s="17">
        <v>-1</v>
      </c>
      <c r="R20" s="17">
        <v>0</v>
      </c>
      <c r="S20" s="17">
        <v>0</v>
      </c>
      <c r="T20" s="17">
        <v>5.9999999999999995E-4</v>
      </c>
      <c r="U20" s="18">
        <v>0</v>
      </c>
      <c r="V20" s="367">
        <f>V19-1*0.996845</f>
        <v>0.99684499999999998</v>
      </c>
      <c r="W20" s="832">
        <f>100*ABS(V20-ABS(F20*1000))/1</f>
        <v>0.31549999998898848</v>
      </c>
      <c r="X20" s="916"/>
      <c r="AA20" s="7">
        <v>8.0000000000000002E-3</v>
      </c>
      <c r="AB20" s="8">
        <f t="shared" si="12"/>
        <v>1.4E-2</v>
      </c>
      <c r="AC20" s="8">
        <f>AA20-AA19</f>
        <v>-9.9999999999999915E-4</v>
      </c>
      <c r="AD20" s="8">
        <v>1.2999999999999999E-2</v>
      </c>
      <c r="AE20" s="8">
        <f t="shared" si="13"/>
        <v>-1.0000000000000009E-3</v>
      </c>
      <c r="AF20" s="8">
        <f>AD20-AD19</f>
        <v>0</v>
      </c>
      <c r="AG20" s="8">
        <v>0</v>
      </c>
      <c r="AH20" s="913">
        <f t="shared" si="16"/>
        <v>-2.9564316579432201E-5</v>
      </c>
      <c r="AI20" s="842">
        <f t="shared" si="14"/>
        <v>-63.901933358446641</v>
      </c>
      <c r="AJ20" s="912">
        <f t="shared" si="5"/>
        <v>0</v>
      </c>
      <c r="AK20" s="931">
        <f t="shared" si="6"/>
        <v>2.9564316579432201E-5</v>
      </c>
      <c r="AL20" s="928">
        <f t="shared" si="15"/>
        <v>63.901933358446641</v>
      </c>
      <c r="AM20" s="912">
        <f>SQRT(AA20*AA20+AD20*AD20)</f>
        <v>1.5264337522473748E-2</v>
      </c>
      <c r="AN20" s="910"/>
      <c r="AO20" s="740">
        <v>2.0000000000000001E-4</v>
      </c>
      <c r="AP20" s="9"/>
      <c r="AQ20" s="9">
        <v>-3.0000000000000001E-3</v>
      </c>
      <c r="AR20" s="9">
        <v>1.4E-2</v>
      </c>
      <c r="AS20" s="9">
        <v>-2E-3</v>
      </c>
    </row>
    <row r="21" spans="1:51">
      <c r="A21" s="839">
        <v>4</v>
      </c>
      <c r="B21" s="47">
        <v>8.1899999999999999E-5</v>
      </c>
      <c r="C21" s="141">
        <v>8.1899999999999999E-5</v>
      </c>
      <c r="D21" s="323">
        <v>5.9999999999999995E-4</v>
      </c>
      <c r="E21" s="132">
        <v>3.1070000000000002</v>
      </c>
      <c r="F21" s="75">
        <f t="shared" si="11"/>
        <v>-1.9999999999997797E-3</v>
      </c>
      <c r="G21" s="7">
        <v>6.9000000000000006E-2</v>
      </c>
      <c r="H21" s="8">
        <v>0.188</v>
      </c>
      <c r="I21" s="148">
        <v>0.05</v>
      </c>
      <c r="J21" s="127">
        <v>-13</v>
      </c>
      <c r="K21" s="128">
        <v>13</v>
      </c>
      <c r="L21" s="128">
        <v>-8</v>
      </c>
      <c r="M21" s="128">
        <v>20</v>
      </c>
      <c r="N21" s="128">
        <v>19</v>
      </c>
      <c r="O21" s="129">
        <v>7</v>
      </c>
      <c r="P21" s="17">
        <v>3</v>
      </c>
      <c r="Q21" s="17">
        <v>0</v>
      </c>
      <c r="R21" s="17">
        <v>0</v>
      </c>
      <c r="S21" s="17">
        <v>0</v>
      </c>
      <c r="T21" s="17">
        <v>6.9999999999999999E-4</v>
      </c>
      <c r="U21" s="18">
        <v>0</v>
      </c>
      <c r="V21" s="367">
        <f>V20+1*0.996845</f>
        <v>1.99369</v>
      </c>
      <c r="W21" s="832">
        <f>100*ABS(V21-ABS(F21*1000))/42</f>
        <v>1.5023809523285166E-2</v>
      </c>
      <c r="X21" s="916"/>
      <c r="AA21" s="7">
        <v>0.01</v>
      </c>
      <c r="AB21" s="8">
        <f t="shared" si="12"/>
        <v>1.6E-2</v>
      </c>
      <c r="AC21" s="8">
        <f>AA21-AA20</f>
        <v>2E-3</v>
      </c>
      <c r="AD21" s="8">
        <v>1.2E-2</v>
      </c>
      <c r="AE21" s="8">
        <f t="shared" si="13"/>
        <v>-2E-3</v>
      </c>
      <c r="AF21" s="8">
        <f>AD21-AD20</f>
        <v>-9.9999999999999915E-4</v>
      </c>
      <c r="AG21" s="8">
        <v>0</v>
      </c>
      <c r="AH21" s="913">
        <f t="shared" si="16"/>
        <v>5.9128633158864443E-5</v>
      </c>
      <c r="AI21" s="842">
        <f t="shared" si="14"/>
        <v>-27.803866716893232</v>
      </c>
      <c r="AJ21" s="912">
        <f t="shared" si="5"/>
        <v>-2.9564316579432201E-5</v>
      </c>
      <c r="AK21" s="931">
        <f t="shared" si="6"/>
        <v>6.6107821579934492E-5</v>
      </c>
      <c r="AL21" s="928">
        <f t="shared" si="15"/>
        <v>-19.282269133169116</v>
      </c>
      <c r="AM21" s="912">
        <f>SQRT(AA21*AA21+AD21*AD21)</f>
        <v>1.5620499351813309E-2</v>
      </c>
      <c r="AN21" s="910"/>
      <c r="AO21" s="740">
        <v>3.5399999999999999E-4</v>
      </c>
      <c r="AP21" s="9"/>
      <c r="AQ21" s="9"/>
      <c r="AR21" s="9"/>
      <c r="AS21" s="9"/>
    </row>
    <row r="22" spans="1:51">
      <c r="A22" s="839">
        <v>5</v>
      </c>
      <c r="B22" s="936">
        <v>-8.1899999999999999E-5</v>
      </c>
      <c r="C22" s="143">
        <v>-8.1899999999999999E-5</v>
      </c>
      <c r="D22" s="351">
        <v>5.0000000000000001E-4</v>
      </c>
      <c r="E22" s="134">
        <v>3.1080000000000001</v>
      </c>
      <c r="F22" s="81">
        <f t="shared" si="11"/>
        <v>-9.9999999999988987E-4</v>
      </c>
      <c r="G22" s="68">
        <v>7.0000000000000007E-2</v>
      </c>
      <c r="H22" s="69">
        <v>0.188</v>
      </c>
      <c r="I22" s="70">
        <v>0.05</v>
      </c>
      <c r="J22" s="126">
        <v>-12</v>
      </c>
      <c r="K22" s="123">
        <v>11</v>
      </c>
      <c r="L22" s="123">
        <v>-7</v>
      </c>
      <c r="M22" s="123">
        <v>-18</v>
      </c>
      <c r="N22" s="123">
        <v>17</v>
      </c>
      <c r="O22" s="124">
        <v>6</v>
      </c>
      <c r="P22" s="19">
        <v>2</v>
      </c>
      <c r="Q22" s="19">
        <v>-1</v>
      </c>
      <c r="R22" s="19">
        <v>0</v>
      </c>
      <c r="S22" s="19">
        <v>0</v>
      </c>
      <c r="T22" s="19">
        <v>5.9999999999999995E-4</v>
      </c>
      <c r="U22" s="20">
        <v>0</v>
      </c>
      <c r="V22" s="367">
        <f>V21-1*0.996845</f>
        <v>0.99684499999999998</v>
      </c>
      <c r="W22" s="832">
        <f>100*ABS(V22-ABS(F22*1000))/1</f>
        <v>0.31549999998898848</v>
      </c>
      <c r="X22" s="916"/>
      <c r="AA22" s="7">
        <v>7.0000000000000001E-3</v>
      </c>
      <c r="AB22" s="8">
        <f t="shared" si="12"/>
        <v>1.3000000000000001E-2</v>
      </c>
      <c r="AC22" s="8">
        <f>AA22-AA21</f>
        <v>-3.0000000000000001E-3</v>
      </c>
      <c r="AD22" s="8">
        <v>1.2E-2</v>
      </c>
      <c r="AE22" s="8">
        <f t="shared" si="13"/>
        <v>-2E-3</v>
      </c>
      <c r="AF22" s="8">
        <f>AD22-AD21</f>
        <v>0</v>
      </c>
      <c r="AG22" s="8">
        <v>0</v>
      </c>
      <c r="AH22" s="913">
        <f t="shared" si="16"/>
        <v>-8.8692949738296685E-5</v>
      </c>
      <c r="AI22" s="842">
        <f t="shared" si="14"/>
        <v>8.2941999246601785</v>
      </c>
      <c r="AJ22" s="912">
        <f t="shared" si="5"/>
        <v>0</v>
      </c>
      <c r="AK22" s="931">
        <f t="shared" si="6"/>
        <v>8.8692949738296685E-5</v>
      </c>
      <c r="AL22" s="928">
        <f t="shared" si="15"/>
        <v>-8.2941999246601785</v>
      </c>
      <c r="AM22" s="912">
        <f>SQRT(AA22*AA22+AD22*AD22)</f>
        <v>1.3892443989449804E-2</v>
      </c>
      <c r="AN22" s="910"/>
      <c r="AO22" s="740">
        <v>2.5099999999999998E-4</v>
      </c>
      <c r="AP22" s="9"/>
      <c r="AQ22" s="9"/>
      <c r="AR22" s="9"/>
      <c r="AS22" s="9"/>
    </row>
    <row r="23" spans="1:51">
      <c r="A23" s="839"/>
      <c r="B23" s="12" t="s">
        <v>144</v>
      </c>
      <c r="C23" s="153">
        <v>0</v>
      </c>
      <c r="D23" s="28"/>
      <c r="E23" s="28">
        <v>3.1190000000000002</v>
      </c>
      <c r="F23" s="152">
        <f t="shared" ref="F23:F30" si="17">E23-ResRy013</f>
        <v>0</v>
      </c>
      <c r="G23" s="28">
        <v>7.3999999999999996E-2</v>
      </c>
      <c r="H23" s="28">
        <v>0.16800000000000001</v>
      </c>
      <c r="I23" s="28">
        <v>0.05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0</v>
      </c>
      <c r="V23" s="367"/>
      <c r="W23" s="354"/>
      <c r="X23" s="916"/>
      <c r="Y23" s="3"/>
      <c r="Z23" s="3"/>
      <c r="AA23" s="149"/>
      <c r="AB23" s="120"/>
      <c r="AC23" s="120"/>
      <c r="AD23" s="120"/>
      <c r="AE23" s="120"/>
      <c r="AF23" s="120"/>
      <c r="AG23" s="120"/>
      <c r="AH23" s="866"/>
      <c r="AI23" s="921">
        <f>AVERAGE(AI18,-AI19,-AI20,-AI21,AI22)</f>
        <v>41.658839984932044</v>
      </c>
      <c r="AJ23" s="908"/>
      <c r="AK23" s="930"/>
      <c r="AL23" s="929">
        <f>AVERAGE(AL18:AL22)</f>
        <v>19.506705675043037</v>
      </c>
      <c r="AM23" s="908"/>
      <c r="AN23" s="911"/>
      <c r="AO23" s="3"/>
      <c r="AP23" s="120"/>
      <c r="AQ23" s="3"/>
      <c r="AR23" s="3"/>
      <c r="AS23" s="3"/>
      <c r="AT23" s="3"/>
      <c r="AU23" s="3"/>
      <c r="AV23" s="3"/>
      <c r="AW23" s="3"/>
      <c r="AX23" s="3"/>
      <c r="AY23" s="4"/>
    </row>
    <row r="24" spans="1:51">
      <c r="A24" s="839"/>
      <c r="B24" s="6" t="s">
        <v>142</v>
      </c>
      <c r="C24" s="141">
        <v>8.1899999999999999E-5</v>
      </c>
      <c r="D24" s="323">
        <v>1E-4</v>
      </c>
      <c r="E24" s="132">
        <v>3.1179999999999999</v>
      </c>
      <c r="F24" s="75">
        <f t="shared" si="17"/>
        <v>-1.000000000000334E-3</v>
      </c>
      <c r="G24" s="7">
        <v>7.4999999999999997E-2</v>
      </c>
      <c r="H24" s="8">
        <v>0.16900000000000001</v>
      </c>
      <c r="I24" s="148">
        <v>0.05</v>
      </c>
      <c r="J24" s="127">
        <v>-1</v>
      </c>
      <c r="K24" s="128">
        <v>1</v>
      </c>
      <c r="L24" s="128">
        <v>-1</v>
      </c>
      <c r="M24" s="128">
        <v>-2</v>
      </c>
      <c r="N24" s="128">
        <v>2</v>
      </c>
      <c r="O24" s="129">
        <v>0</v>
      </c>
      <c r="P24" s="17">
        <v>1</v>
      </c>
      <c r="Q24" s="17">
        <v>0</v>
      </c>
      <c r="R24" s="17">
        <v>0</v>
      </c>
      <c r="S24" s="17">
        <v>0</v>
      </c>
      <c r="T24" s="17">
        <v>1E-4</v>
      </c>
      <c r="U24" s="18">
        <v>0</v>
      </c>
      <c r="V24" s="367">
        <f>V23+1*0.996845</f>
        <v>0.99684499999999998</v>
      </c>
      <c r="W24" s="832">
        <f>100*ABS(V24-ABS(F24*1000))/1</f>
        <v>0.3155000000333974</v>
      </c>
      <c r="X24" s="916"/>
      <c r="AA24" s="7"/>
      <c r="AB24" s="8"/>
      <c r="AC24" s="8"/>
      <c r="AD24" s="8"/>
      <c r="AE24" s="8"/>
      <c r="AF24" s="8"/>
      <c r="AG24" s="8"/>
      <c r="AH24" s="913"/>
      <c r="AI24" s="922"/>
      <c r="AJ24" s="912"/>
      <c r="AK24" s="931"/>
      <c r="AL24" s="932"/>
      <c r="AM24" s="912"/>
      <c r="AN24" s="910"/>
      <c r="AP24" s="9"/>
    </row>
    <row r="25" spans="1:51">
      <c r="A25" s="839"/>
      <c r="B25" s="6"/>
      <c r="C25" s="141">
        <v>8.1899999999999999E-5</v>
      </c>
      <c r="D25" s="323">
        <v>2.0000000000000001E-4</v>
      </c>
      <c r="E25" s="132">
        <v>3.117</v>
      </c>
      <c r="F25" s="75">
        <f t="shared" si="17"/>
        <v>-2.0000000000002238E-3</v>
      </c>
      <c r="G25" s="7">
        <v>7.4999999999999997E-2</v>
      </c>
      <c r="H25" s="8">
        <v>0.17299999999999999</v>
      </c>
      <c r="I25" s="148">
        <v>0.05</v>
      </c>
      <c r="J25" s="127">
        <v>-3</v>
      </c>
      <c r="K25" s="128">
        <v>3</v>
      </c>
      <c r="L25" s="128">
        <v>-2</v>
      </c>
      <c r="M25" s="128">
        <v>-5</v>
      </c>
      <c r="N25" s="128">
        <v>4</v>
      </c>
      <c r="O25" s="129">
        <v>0</v>
      </c>
      <c r="P25" s="17">
        <v>2</v>
      </c>
      <c r="Q25" s="17">
        <v>0</v>
      </c>
      <c r="R25" s="17">
        <v>0</v>
      </c>
      <c r="S25" s="17">
        <v>0</v>
      </c>
      <c r="T25" s="17">
        <v>1E-4</v>
      </c>
      <c r="U25" s="18">
        <v>0</v>
      </c>
      <c r="V25" s="367">
        <f>V24+1*0.996845</f>
        <v>1.99369</v>
      </c>
      <c r="W25" s="832">
        <f>100*ABS(V25-ABS(F25*1000))/2</f>
        <v>0.31550000001119294</v>
      </c>
      <c r="X25" s="916"/>
      <c r="AA25" s="7"/>
      <c r="AB25" s="8"/>
      <c r="AC25" s="8"/>
      <c r="AD25" s="8"/>
      <c r="AE25" s="8"/>
      <c r="AF25" s="8"/>
      <c r="AG25" s="8"/>
      <c r="AH25" s="913"/>
      <c r="AI25" s="922"/>
      <c r="AJ25" s="912"/>
      <c r="AK25" s="931"/>
      <c r="AL25" s="932"/>
      <c r="AM25" s="912"/>
      <c r="AN25" s="910"/>
      <c r="AP25" s="9"/>
    </row>
    <row r="26" spans="1:51">
      <c r="A26" s="839"/>
      <c r="B26" s="6"/>
      <c r="C26" s="141">
        <v>-8.1899999999999999E-5</v>
      </c>
      <c r="D26" s="323">
        <v>1E-4</v>
      </c>
      <c r="E26" s="132">
        <v>3.1179999999999999</v>
      </c>
      <c r="F26" s="75">
        <f t="shared" si="17"/>
        <v>-1.000000000000334E-3</v>
      </c>
      <c r="G26" s="7">
        <v>7.4999999999999997E-2</v>
      </c>
      <c r="H26" s="8">
        <v>0.17299999999999999</v>
      </c>
      <c r="I26" s="148">
        <v>0.05</v>
      </c>
      <c r="J26" s="127">
        <v>-2</v>
      </c>
      <c r="K26" s="128">
        <v>1</v>
      </c>
      <c r="L26" s="128">
        <v>-1</v>
      </c>
      <c r="M26" s="128">
        <v>-2</v>
      </c>
      <c r="N26" s="128">
        <v>2</v>
      </c>
      <c r="O26" s="129">
        <v>0</v>
      </c>
      <c r="P26" s="17">
        <v>2</v>
      </c>
      <c r="Q26" s="17">
        <v>0</v>
      </c>
      <c r="R26" s="17">
        <v>0</v>
      </c>
      <c r="S26" s="17">
        <v>0</v>
      </c>
      <c r="T26" s="17">
        <v>0</v>
      </c>
      <c r="U26" s="18">
        <v>0</v>
      </c>
      <c r="V26" s="367">
        <f>V25-1*0.996845</f>
        <v>0.99684499999999998</v>
      </c>
      <c r="W26" s="832">
        <f>100*ABS(V26-ABS(F26*1000))/1</f>
        <v>0.3155000000333974</v>
      </c>
      <c r="X26" s="916"/>
      <c r="AA26" s="7"/>
      <c r="AB26" s="8"/>
      <c r="AC26" s="8"/>
      <c r="AD26" s="8"/>
      <c r="AE26" s="8"/>
      <c r="AF26" s="8"/>
      <c r="AG26" s="8"/>
      <c r="AH26" s="913"/>
      <c r="AI26" s="922"/>
      <c r="AJ26" s="912"/>
      <c r="AK26" s="931"/>
      <c r="AL26" s="932"/>
      <c r="AM26" s="912"/>
      <c r="AN26" s="910"/>
      <c r="AP26" s="9"/>
    </row>
    <row r="27" spans="1:51">
      <c r="A27" s="839"/>
      <c r="B27" s="6"/>
      <c r="C27" s="141">
        <v>8.1899999999999999E-5</v>
      </c>
      <c r="D27" s="323">
        <v>2.0000000000000001E-4</v>
      </c>
      <c r="E27" s="132">
        <v>3.117</v>
      </c>
      <c r="F27" s="75">
        <f t="shared" si="17"/>
        <v>-2.0000000000002238E-3</v>
      </c>
      <c r="G27" s="7">
        <v>7.4999999999999997E-2</v>
      </c>
      <c r="H27" s="8">
        <v>0.17299999999999999</v>
      </c>
      <c r="I27" s="148">
        <v>0.05</v>
      </c>
      <c r="J27" s="127">
        <v>-3</v>
      </c>
      <c r="K27" s="128">
        <v>3</v>
      </c>
      <c r="L27" s="128">
        <v>-2</v>
      </c>
      <c r="M27" s="128">
        <v>-5</v>
      </c>
      <c r="N27" s="128">
        <v>4</v>
      </c>
      <c r="O27" s="129">
        <v>0</v>
      </c>
      <c r="P27" s="17">
        <v>3</v>
      </c>
      <c r="Q27" s="17">
        <v>0</v>
      </c>
      <c r="R27" s="17">
        <v>0</v>
      </c>
      <c r="S27" s="17">
        <v>0</v>
      </c>
      <c r="T27" s="17">
        <v>1E-4</v>
      </c>
      <c r="U27" s="18">
        <v>0</v>
      </c>
      <c r="V27" s="367">
        <f>V26+1*0.996845</f>
        <v>1.99369</v>
      </c>
      <c r="W27" s="832">
        <f>100*ABS(V27-ABS(F27*1000))/42</f>
        <v>1.5023809524342522E-2</v>
      </c>
      <c r="X27" s="916"/>
      <c r="AA27" s="7"/>
      <c r="AB27" s="8"/>
      <c r="AC27" s="8"/>
      <c r="AD27" s="1"/>
      <c r="AE27" s="1"/>
      <c r="AF27" s="1"/>
      <c r="AG27" s="1"/>
      <c r="AH27" s="913"/>
      <c r="AI27" s="922"/>
      <c r="AJ27" s="912"/>
      <c r="AK27" s="931"/>
      <c r="AL27" s="932"/>
      <c r="AM27" s="912"/>
      <c r="AN27" s="910"/>
      <c r="AP27" s="9"/>
    </row>
    <row r="28" spans="1:51">
      <c r="A28" s="839"/>
      <c r="B28" s="6"/>
      <c r="C28" s="143">
        <v>-8.1899999999999999E-5</v>
      </c>
      <c r="D28" s="351">
        <v>1E-4</v>
      </c>
      <c r="E28" s="134">
        <v>3.1179999999999999</v>
      </c>
      <c r="F28" s="75">
        <f t="shared" si="17"/>
        <v>-1.000000000000334E-3</v>
      </c>
      <c r="G28" s="68">
        <v>7.4999999999999997E-2</v>
      </c>
      <c r="H28" s="69">
        <v>0.17299999999999999</v>
      </c>
      <c r="I28" s="70">
        <v>0.05</v>
      </c>
      <c r="J28" s="126">
        <v>-2</v>
      </c>
      <c r="K28" s="123">
        <v>1</v>
      </c>
      <c r="L28" s="123">
        <v>-1</v>
      </c>
      <c r="M28" s="123">
        <v>-3</v>
      </c>
      <c r="N28" s="123">
        <v>2</v>
      </c>
      <c r="O28" s="124">
        <v>0</v>
      </c>
      <c r="P28" s="19">
        <v>2</v>
      </c>
      <c r="Q28" s="19">
        <v>0</v>
      </c>
      <c r="R28" s="19">
        <v>0</v>
      </c>
      <c r="S28" s="19">
        <v>0</v>
      </c>
      <c r="T28" s="19">
        <v>0</v>
      </c>
      <c r="U28" s="20">
        <v>0</v>
      </c>
      <c r="V28" s="367">
        <f>V27-1*0.996845</f>
        <v>0.99684499999999998</v>
      </c>
      <c r="W28" s="832">
        <f>100*ABS(V28-ABS(F28*1000))/1</f>
        <v>0.3155000000333974</v>
      </c>
      <c r="X28" s="916"/>
      <c r="Y28" s="759" t="s">
        <v>451</v>
      </c>
      <c r="Z28" s="759"/>
      <c r="AA28" s="759"/>
      <c r="AB28" s="878">
        <f>0.0000819</f>
        <v>8.1899999999999999E-5</v>
      </c>
      <c r="AC28" s="878"/>
      <c r="AD28" s="878"/>
      <c r="AE28" s="760" t="s">
        <v>271</v>
      </c>
      <c r="AF28" s="8"/>
      <c r="AG28" s="8"/>
      <c r="AH28" s="913"/>
      <c r="AI28" s="922"/>
      <c r="AJ28" s="912"/>
      <c r="AK28" s="931"/>
      <c r="AL28" s="932"/>
      <c r="AM28" s="912"/>
      <c r="AN28" s="910"/>
      <c r="AP28" s="9"/>
    </row>
    <row r="29" spans="1:51">
      <c r="A29" s="839"/>
      <c r="B29" s="133" t="s">
        <v>129</v>
      </c>
      <c r="C29" s="143">
        <v>-8.1899999999999999E-5</v>
      </c>
      <c r="D29" s="3">
        <v>0</v>
      </c>
      <c r="E29" s="3">
        <v>3.1190000000000002</v>
      </c>
      <c r="F29" s="348">
        <f t="shared" si="17"/>
        <v>0</v>
      </c>
      <c r="G29" s="3">
        <v>7.4999999999999997E-2</v>
      </c>
      <c r="H29" s="3">
        <v>0.17100000000000001</v>
      </c>
      <c r="I29" s="3">
        <v>0.05</v>
      </c>
      <c r="J29" s="2">
        <v>0</v>
      </c>
      <c r="K29" s="3">
        <v>0</v>
      </c>
      <c r="L29" s="3">
        <v>0</v>
      </c>
      <c r="M29" s="3">
        <v>0</v>
      </c>
      <c r="N29" s="3">
        <v>-1</v>
      </c>
      <c r="O29" s="4">
        <v>-1</v>
      </c>
      <c r="P29" s="19">
        <v>1</v>
      </c>
      <c r="Q29" s="19">
        <v>-1</v>
      </c>
      <c r="R29" s="19">
        <v>0</v>
      </c>
      <c r="S29" s="19">
        <v>0</v>
      </c>
      <c r="T29" s="19">
        <v>0</v>
      </c>
      <c r="U29" s="20">
        <v>0</v>
      </c>
      <c r="V29" s="367"/>
      <c r="W29" s="354"/>
      <c r="X29" s="916"/>
      <c r="Y29" s="1" t="s">
        <v>603</v>
      </c>
      <c r="Z29" s="1"/>
      <c r="AA29" s="1"/>
      <c r="AB29" s="1">
        <f>5*AB28</f>
        <v>4.0949999999999998E-4</v>
      </c>
      <c r="AC29" s="1"/>
      <c r="AD29" s="1"/>
      <c r="AE29" s="135"/>
      <c r="AF29" s="120"/>
      <c r="AG29" s="120"/>
      <c r="AH29" s="866"/>
      <c r="AI29" s="923"/>
      <c r="AJ29" s="908"/>
      <c r="AK29" s="930"/>
      <c r="AL29" s="933"/>
      <c r="AM29" s="908"/>
      <c r="AN29" s="911"/>
      <c r="AO29" s="3"/>
      <c r="AP29" s="120"/>
      <c r="AQ29" s="3"/>
      <c r="AR29" s="3"/>
      <c r="AS29" s="3"/>
      <c r="AT29" s="3"/>
      <c r="AU29" s="3"/>
      <c r="AV29" s="3"/>
      <c r="AW29" s="3"/>
      <c r="AX29" s="3"/>
      <c r="AY29" s="4"/>
    </row>
    <row r="30" spans="1:51">
      <c r="A30" s="839"/>
      <c r="B30" s="12" t="s">
        <v>144</v>
      </c>
      <c r="C30" s="154" t="s">
        <v>62</v>
      </c>
      <c r="D30" s="3">
        <v>0</v>
      </c>
      <c r="E30" s="3">
        <v>3.1190000000000002</v>
      </c>
      <c r="F30" s="348">
        <f t="shared" si="17"/>
        <v>0</v>
      </c>
      <c r="G30" s="3">
        <v>7.4999999999999997E-2</v>
      </c>
      <c r="H30" s="3">
        <v>0.17100000000000001</v>
      </c>
      <c r="I30" s="3">
        <v>0.05</v>
      </c>
      <c r="J30" s="2">
        <v>0</v>
      </c>
      <c r="K30" s="3">
        <v>0</v>
      </c>
      <c r="L30" s="3">
        <v>0</v>
      </c>
      <c r="M30" s="3">
        <v>0</v>
      </c>
      <c r="N30" s="3">
        <v>0</v>
      </c>
      <c r="O30" s="4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20">
        <v>0</v>
      </c>
      <c r="V30" s="368"/>
      <c r="W30" s="785"/>
      <c r="X30" s="916"/>
      <c r="Y30" s="1" t="s">
        <v>604</v>
      </c>
      <c r="Z30" s="1"/>
      <c r="AA30" s="1"/>
      <c r="AB30" s="1">
        <f>2*AB28</f>
        <v>1.638E-4</v>
      </c>
      <c r="AC30" s="1"/>
      <c r="AD30" s="1"/>
      <c r="AE30" s="135"/>
      <c r="AF30" s="216"/>
      <c r="AG30" s="216"/>
      <c r="AH30" s="866"/>
      <c r="AI30" s="923"/>
      <c r="AJ30" s="908"/>
      <c r="AK30" s="930"/>
      <c r="AL30" s="933"/>
      <c r="AM30" s="908"/>
      <c r="AN30" s="911"/>
      <c r="AO30" s="3"/>
      <c r="AP30" s="120"/>
      <c r="AQ30" s="3"/>
      <c r="AR30" s="3"/>
      <c r="AS30" s="3"/>
      <c r="AT30" s="3"/>
      <c r="AU30" s="3"/>
      <c r="AV30" s="3"/>
      <c r="AW30" s="3"/>
      <c r="AX30" s="3"/>
      <c r="AY30" s="4"/>
    </row>
    <row r="31" spans="1:51" ht="15.6">
      <c r="A31" s="839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359" t="s">
        <v>143</v>
      </c>
      <c r="W31" s="833">
        <f>AVERAGE(W6:W28)</f>
        <v>24.785452380957985</v>
      </c>
      <c r="X31" s="916"/>
      <c r="Y31" s="13" t="s">
        <v>605</v>
      </c>
      <c r="Z31" s="13"/>
      <c r="AA31" s="13"/>
      <c r="AB31" s="13">
        <f>1*AB28</f>
        <v>8.1899999999999999E-5</v>
      </c>
      <c r="AC31" s="13"/>
      <c r="AD31" s="13"/>
      <c r="AE31" s="87"/>
      <c r="AF31" s="192"/>
      <c r="AG31" s="192"/>
      <c r="AP31" s="9"/>
    </row>
    <row r="32" spans="1:51">
      <c r="A32" s="839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391" t="s">
        <v>145</v>
      </c>
      <c r="W32" s="391">
        <f>STDEV(W6:W28)</f>
        <v>27.071648775794564</v>
      </c>
      <c r="X32" s="917"/>
      <c r="AP32" s="9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1"/>
  <sheetViews>
    <sheetView zoomScale="75" zoomScaleNormal="75" workbookViewId="0">
      <selection activeCell="Y33" sqref="Y33"/>
    </sheetView>
  </sheetViews>
  <sheetFormatPr defaultRowHeight="14.4"/>
  <cols>
    <col min="2" max="2" width="12" bestFit="1" customWidth="1"/>
    <col min="3" max="4" width="7.6640625" customWidth="1"/>
    <col min="5" max="5" width="8.6640625" customWidth="1"/>
    <col min="6" max="8" width="6.44140625" customWidth="1"/>
    <col min="9" max="14" width="5.6640625" customWidth="1"/>
    <col min="21" max="21" width="8.6640625" customWidth="1"/>
    <col min="22" max="22" width="5.88671875" bestFit="1" customWidth="1"/>
  </cols>
  <sheetData>
    <row r="1" spans="1:22">
      <c r="A1" s="10" t="s">
        <v>176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86"/>
      <c r="O1" s="11"/>
      <c r="P1" s="11"/>
      <c r="Q1" s="11"/>
      <c r="R1" s="11"/>
      <c r="S1" s="11"/>
      <c r="T1" s="86"/>
      <c r="U1" s="353" t="s">
        <v>134</v>
      </c>
      <c r="V1" s="361"/>
    </row>
    <row r="2" spans="1:22">
      <c r="A2" s="10"/>
      <c r="B2" s="10" t="s">
        <v>39</v>
      </c>
      <c r="C2" s="350" t="s">
        <v>36</v>
      </c>
      <c r="D2" s="131" t="s">
        <v>48</v>
      </c>
      <c r="E2" s="11"/>
      <c r="F2" s="10"/>
      <c r="G2" s="11"/>
      <c r="H2" s="86"/>
      <c r="I2" s="125" t="s">
        <v>38</v>
      </c>
      <c r="J2" s="121"/>
      <c r="K2" s="121"/>
      <c r="L2" s="121" t="s">
        <v>37</v>
      </c>
      <c r="M2" s="121"/>
      <c r="N2" s="122"/>
      <c r="O2" s="11"/>
      <c r="P2" s="11"/>
      <c r="Q2" s="11" t="s">
        <v>61</v>
      </c>
      <c r="R2" s="11"/>
      <c r="S2" s="11"/>
      <c r="T2" s="86"/>
      <c r="U2" s="354" t="s">
        <v>154</v>
      </c>
      <c r="V2" s="362" t="s">
        <v>96</v>
      </c>
    </row>
    <row r="3" spans="1:22">
      <c r="A3" s="6"/>
      <c r="B3" s="6" t="s">
        <v>46</v>
      </c>
      <c r="C3" s="323" t="s">
        <v>47</v>
      </c>
      <c r="D3" s="27" t="s">
        <v>171</v>
      </c>
      <c r="E3" s="79" t="s">
        <v>172</v>
      </c>
      <c r="F3" s="6" t="s">
        <v>166</v>
      </c>
      <c r="G3" s="1" t="s">
        <v>173</v>
      </c>
      <c r="H3" s="135" t="s">
        <v>174</v>
      </c>
      <c r="I3" s="127">
        <v>1</v>
      </c>
      <c r="J3" s="128">
        <v>2</v>
      </c>
      <c r="K3" s="128">
        <v>3</v>
      </c>
      <c r="L3" s="128">
        <v>4</v>
      </c>
      <c r="M3" s="128">
        <v>5</v>
      </c>
      <c r="N3" s="129">
        <v>6</v>
      </c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  <c r="T3" s="135" t="s">
        <v>5</v>
      </c>
      <c r="U3" s="355" t="s">
        <v>136</v>
      </c>
      <c r="V3" s="363" t="s">
        <v>141</v>
      </c>
    </row>
    <row r="4" spans="1:22">
      <c r="A4" s="2" t="s">
        <v>55</v>
      </c>
      <c r="B4" s="138" t="s">
        <v>49</v>
      </c>
      <c r="C4" s="29">
        <v>0</v>
      </c>
      <c r="D4" s="136">
        <v>0.17100000000000001</v>
      </c>
      <c r="E4" s="120"/>
      <c r="F4" s="149">
        <v>7.5999999999999998E-2</v>
      </c>
      <c r="G4" s="120">
        <v>3.1190000000000002</v>
      </c>
      <c r="H4" s="150">
        <v>0.05</v>
      </c>
      <c r="I4" s="130">
        <v>0</v>
      </c>
      <c r="J4" s="118">
        <v>0</v>
      </c>
      <c r="K4" s="118">
        <v>0</v>
      </c>
      <c r="L4" s="118">
        <v>0</v>
      </c>
      <c r="M4" s="118">
        <v>0</v>
      </c>
      <c r="N4" s="119">
        <v>0</v>
      </c>
      <c r="O4" s="152">
        <v>0</v>
      </c>
      <c r="P4" s="152">
        <v>0</v>
      </c>
      <c r="Q4" s="152">
        <v>0</v>
      </c>
      <c r="R4" s="152">
        <v>0</v>
      </c>
      <c r="S4" s="152">
        <v>0</v>
      </c>
      <c r="T4" s="29">
        <v>0</v>
      </c>
      <c r="U4" s="366"/>
      <c r="V4" s="361"/>
    </row>
    <row r="5" spans="1:22">
      <c r="A5" s="6"/>
      <c r="B5" s="172">
        <v>2.9999999999999996E-3</v>
      </c>
      <c r="C5" s="388">
        <v>3.0000000000000001E-3</v>
      </c>
      <c r="D5" s="27">
        <v>0.218</v>
      </c>
      <c r="E5" s="75">
        <f>D5-ResRz010</f>
        <v>4.6999999999999986E-2</v>
      </c>
      <c r="F5" s="7">
        <v>7.4999999999999997E-2</v>
      </c>
      <c r="G5" s="8">
        <v>3.12</v>
      </c>
      <c r="H5" s="148">
        <v>4.9000000000000002E-2</v>
      </c>
      <c r="I5" s="127">
        <v>21</v>
      </c>
      <c r="J5" s="128">
        <v>-21</v>
      </c>
      <c r="K5" s="128">
        <v>20</v>
      </c>
      <c r="L5" s="128">
        <v>-21</v>
      </c>
      <c r="M5" s="128">
        <v>20</v>
      </c>
      <c r="N5" s="129">
        <v>-21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8">
        <v>3.0000000000000001E-3</v>
      </c>
      <c r="U5" s="367">
        <f>U4+5*9.1564336</f>
        <v>45.782167999999999</v>
      </c>
      <c r="V5" s="389">
        <f>100*ABS(U5-ABS(E5*1000))/45.78</f>
        <v>2.6601834862385041</v>
      </c>
    </row>
    <row r="6" spans="1:22">
      <c r="A6" s="6"/>
      <c r="B6" s="172">
        <v>2.9999999999999996E-3</v>
      </c>
      <c r="C6" s="388">
        <v>6.1000000000000004E-3</v>
      </c>
      <c r="D6" s="27">
        <v>0.26500000000000001</v>
      </c>
      <c r="E6" s="75">
        <f>D6-ResRz010</f>
        <v>9.4E-2</v>
      </c>
      <c r="F6" s="7">
        <v>7.6999999999999999E-2</v>
      </c>
      <c r="G6" s="8">
        <v>3.121</v>
      </c>
      <c r="H6" s="148">
        <v>4.7E-2</v>
      </c>
      <c r="I6" s="127">
        <v>41</v>
      </c>
      <c r="J6" s="128">
        <v>-42</v>
      </c>
      <c r="K6" s="128">
        <v>41</v>
      </c>
      <c r="L6" s="128">
        <v>-41</v>
      </c>
      <c r="M6" s="128">
        <v>41</v>
      </c>
      <c r="N6" s="129">
        <v>-42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8">
        <v>6.1000000000000004E-3</v>
      </c>
      <c r="U6" s="367">
        <f>U5+5*9.1564336</f>
        <v>91.564335999999997</v>
      </c>
      <c r="V6" s="364">
        <f t="shared" ref="V6:V9" si="0">100*ABS(U6-ABS(E6*1000))/45.78</f>
        <v>5.3203669724770704</v>
      </c>
    </row>
    <row r="7" spans="1:22">
      <c r="A7" s="6"/>
      <c r="B7" s="172">
        <v>-2.9999999999999996E-3</v>
      </c>
      <c r="C7" s="388">
        <v>3.0000000000000001E-3</v>
      </c>
      <c r="D7" s="27">
        <v>0.21199999999999999</v>
      </c>
      <c r="E7" s="75">
        <f>D7-ResRz010</f>
        <v>4.0999999999999981E-2</v>
      </c>
      <c r="F7" s="7">
        <v>7.8E-2</v>
      </c>
      <c r="G7" s="8">
        <v>3.117</v>
      </c>
      <c r="H7" s="148">
        <v>4.8000000000000001E-2</v>
      </c>
      <c r="I7" s="127">
        <v>21</v>
      </c>
      <c r="J7" s="128">
        <v>-21</v>
      </c>
      <c r="K7" s="128">
        <v>20</v>
      </c>
      <c r="L7" s="128">
        <v>-21</v>
      </c>
      <c r="M7" s="128">
        <v>20</v>
      </c>
      <c r="N7" s="129">
        <v>-21</v>
      </c>
      <c r="O7" s="17">
        <v>-1</v>
      </c>
      <c r="P7" s="17">
        <v>0</v>
      </c>
      <c r="Q7" s="17">
        <v>0</v>
      </c>
      <c r="R7" s="17">
        <v>0</v>
      </c>
      <c r="S7" s="17">
        <v>0</v>
      </c>
      <c r="T7" s="18">
        <v>3.0000000000000001E-3</v>
      </c>
      <c r="U7" s="367">
        <f>U6-5*9.1564336</f>
        <v>45.782167999999999</v>
      </c>
      <c r="V7" s="364">
        <f t="shared" si="0"/>
        <v>10.445976408912232</v>
      </c>
    </row>
    <row r="8" spans="1:22">
      <c r="A8" s="6"/>
      <c r="B8" s="172">
        <v>2.9999999999999996E-3</v>
      </c>
      <c r="C8" s="388">
        <v>6.1000000000000004E-3</v>
      </c>
      <c r="D8" s="27">
        <v>0.26400000000000001</v>
      </c>
      <c r="E8" s="75">
        <f>D8-ResRz010</f>
        <v>9.2999999999999999E-2</v>
      </c>
      <c r="F8" s="7">
        <v>7.8E-2</v>
      </c>
      <c r="G8" s="8">
        <v>3.121</v>
      </c>
      <c r="H8" s="148">
        <v>4.7E-2</v>
      </c>
      <c r="I8" s="127">
        <v>42</v>
      </c>
      <c r="J8" s="128">
        <v>-42</v>
      </c>
      <c r="K8" s="128">
        <v>41</v>
      </c>
      <c r="L8" s="128">
        <v>-42</v>
      </c>
      <c r="M8" s="128">
        <v>41</v>
      </c>
      <c r="N8" s="129">
        <v>-42</v>
      </c>
      <c r="O8" s="17">
        <v>-1</v>
      </c>
      <c r="P8" s="17">
        <v>0</v>
      </c>
      <c r="Q8" s="17">
        <v>0</v>
      </c>
      <c r="R8" s="17">
        <v>0</v>
      </c>
      <c r="S8" s="17">
        <v>0</v>
      </c>
      <c r="T8" s="18">
        <v>6.1000000000000004E-3</v>
      </c>
      <c r="U8" s="367">
        <f>U7+5*9.1564336</f>
        <v>91.564335999999997</v>
      </c>
      <c r="V8" s="364">
        <f t="shared" si="0"/>
        <v>3.1360069899519498</v>
      </c>
    </row>
    <row r="9" spans="1:22">
      <c r="A9" s="6"/>
      <c r="B9" s="172">
        <v>-2.9999999999999996E-3</v>
      </c>
      <c r="C9" s="388">
        <v>3.0000000000000001E-3</v>
      </c>
      <c r="D9" s="27">
        <v>0.21099999999999999</v>
      </c>
      <c r="E9" s="75">
        <f>D9-ResRz010</f>
        <v>3.999999999999998E-2</v>
      </c>
      <c r="F9" s="7">
        <v>7.8E-2</v>
      </c>
      <c r="G9" s="8">
        <v>3.117</v>
      </c>
      <c r="H9" s="148">
        <v>4.8000000000000001E-2</v>
      </c>
      <c r="I9" s="127">
        <v>21</v>
      </c>
      <c r="J9" s="128">
        <v>-21</v>
      </c>
      <c r="K9" s="128">
        <v>20</v>
      </c>
      <c r="L9" s="128">
        <v>-21</v>
      </c>
      <c r="M9" s="128">
        <v>20</v>
      </c>
      <c r="N9" s="129">
        <v>-21</v>
      </c>
      <c r="O9" s="17">
        <v>-1</v>
      </c>
      <c r="P9" s="17">
        <v>-1</v>
      </c>
      <c r="Q9" s="17">
        <v>1</v>
      </c>
      <c r="R9" s="17">
        <v>0</v>
      </c>
      <c r="S9" s="17">
        <v>0</v>
      </c>
      <c r="T9" s="18">
        <v>3.0000000000000001E-3</v>
      </c>
      <c r="U9" s="367">
        <f>U8-5*9.1564336</f>
        <v>45.782167999999999</v>
      </c>
      <c r="V9" s="364">
        <f t="shared" si="0"/>
        <v>12.630336391437352</v>
      </c>
    </row>
    <row r="10" spans="1:22">
      <c r="A10" s="133" t="s">
        <v>54</v>
      </c>
      <c r="B10" s="138" t="s">
        <v>50</v>
      </c>
      <c r="C10" s="29"/>
      <c r="D10" s="136">
        <v>0.21099999999999999</v>
      </c>
      <c r="E10" s="216"/>
      <c r="F10" s="149">
        <v>7.8E-2</v>
      </c>
      <c r="G10" s="120">
        <v>3.117</v>
      </c>
      <c r="H10" s="150">
        <v>4.8000000000000001E-2</v>
      </c>
      <c r="I10" s="130">
        <v>21</v>
      </c>
      <c r="J10" s="118">
        <v>-21</v>
      </c>
      <c r="K10" s="118">
        <v>20</v>
      </c>
      <c r="L10" s="118">
        <v>-21</v>
      </c>
      <c r="M10" s="118">
        <v>20</v>
      </c>
      <c r="N10" s="119">
        <v>-21</v>
      </c>
      <c r="O10" s="28">
        <v>-1</v>
      </c>
      <c r="P10" s="28">
        <v>-1</v>
      </c>
      <c r="Q10" s="28">
        <v>1</v>
      </c>
      <c r="R10" s="28">
        <v>0</v>
      </c>
      <c r="S10" s="28">
        <v>0</v>
      </c>
      <c r="T10" s="29">
        <v>3.0000000000000001E-3</v>
      </c>
      <c r="U10" s="367"/>
      <c r="V10" s="362"/>
    </row>
    <row r="11" spans="1:22">
      <c r="A11" s="6"/>
      <c r="B11" s="137">
        <v>1.1999999999999999E-3</v>
      </c>
      <c r="C11" s="388">
        <v>4.3E-3</v>
      </c>
      <c r="D11" s="132">
        <v>0.23599999999999999</v>
      </c>
      <c r="E11" s="75">
        <f>D11-ResRz011</f>
        <v>2.4999999999999994E-2</v>
      </c>
      <c r="F11" s="7">
        <v>7.8E-2</v>
      </c>
      <c r="G11" s="8">
        <v>3.1190000000000002</v>
      </c>
      <c r="H11" s="148">
        <v>4.7E-2</v>
      </c>
      <c r="I11" s="127">
        <v>29</v>
      </c>
      <c r="J11" s="128">
        <v>-30</v>
      </c>
      <c r="K11" s="128">
        <v>28</v>
      </c>
      <c r="L11" s="128">
        <v>-29</v>
      </c>
      <c r="M11" s="128">
        <v>28</v>
      </c>
      <c r="N11" s="129">
        <v>-29</v>
      </c>
      <c r="O11" s="17">
        <v>-1</v>
      </c>
      <c r="P11" s="17">
        <v>-1</v>
      </c>
      <c r="Q11" s="17">
        <v>1</v>
      </c>
      <c r="R11" s="17">
        <v>0</v>
      </c>
      <c r="S11" s="17">
        <v>0</v>
      </c>
      <c r="T11" s="18">
        <v>4.3E-3</v>
      </c>
      <c r="U11" s="367">
        <f>U10+2*9.1564336</f>
        <v>18.312867199999999</v>
      </c>
      <c r="V11" s="364">
        <f>100*ABS(U11-ABS(E11*1000))/18.31</f>
        <v>36.521752048061138</v>
      </c>
    </row>
    <row r="12" spans="1:22">
      <c r="A12" s="6"/>
      <c r="B12" s="137">
        <v>1.1999999999999999E-3</v>
      </c>
      <c r="C12" s="388">
        <v>5.4999999999999997E-3</v>
      </c>
      <c r="D12" s="132">
        <v>0.255</v>
      </c>
      <c r="E12" s="75">
        <f>D12-ResRz011</f>
        <v>4.4000000000000011E-2</v>
      </c>
      <c r="F12" s="7">
        <v>7.6999999999999999E-2</v>
      </c>
      <c r="G12" s="8">
        <v>3.12</v>
      </c>
      <c r="H12" s="148">
        <v>4.8000000000000001E-2</v>
      </c>
      <c r="I12" s="127">
        <v>38</v>
      </c>
      <c r="J12" s="128">
        <v>-38</v>
      </c>
      <c r="K12" s="128">
        <v>37</v>
      </c>
      <c r="L12" s="128">
        <v>-38</v>
      </c>
      <c r="M12" s="128">
        <v>37</v>
      </c>
      <c r="N12" s="129">
        <v>-38</v>
      </c>
      <c r="O12" s="17">
        <v>-1</v>
      </c>
      <c r="P12" s="17">
        <v>0</v>
      </c>
      <c r="Q12" s="17">
        <v>1</v>
      </c>
      <c r="R12" s="17">
        <v>0</v>
      </c>
      <c r="S12" s="17">
        <v>0</v>
      </c>
      <c r="T12" s="18">
        <v>5.4999999999999997E-3</v>
      </c>
      <c r="U12" s="367">
        <f>U11+2*9.1564336</f>
        <v>36.625734399999999</v>
      </c>
      <c r="V12" s="364">
        <f t="shared" ref="V12:V15" si="1">100*ABS(U12-ABS(E12*1000))/18.31</f>
        <v>40.274525395958577</v>
      </c>
    </row>
    <row r="13" spans="1:22">
      <c r="A13" s="6"/>
      <c r="B13" s="137">
        <v>-1.1999999999999999E-3</v>
      </c>
      <c r="C13" s="388">
        <v>4.3E-3</v>
      </c>
      <c r="D13" s="132">
        <v>0.23100000000000001</v>
      </c>
      <c r="E13" s="75">
        <f>D13-ResRz011</f>
        <v>2.0000000000000018E-2</v>
      </c>
      <c r="F13" s="7">
        <v>7.8E-2</v>
      </c>
      <c r="G13" s="8">
        <v>3.1179999999999999</v>
      </c>
      <c r="H13" s="148">
        <v>4.8000000000000001E-2</v>
      </c>
      <c r="I13" s="127">
        <v>29</v>
      </c>
      <c r="J13" s="128">
        <v>-29</v>
      </c>
      <c r="K13" s="128">
        <v>28</v>
      </c>
      <c r="L13" s="128">
        <v>-30</v>
      </c>
      <c r="M13" s="128">
        <v>28</v>
      </c>
      <c r="N13" s="129">
        <v>-30</v>
      </c>
      <c r="O13" s="17">
        <v>-1</v>
      </c>
      <c r="P13" s="17">
        <v>-1</v>
      </c>
      <c r="Q13" s="17">
        <v>1</v>
      </c>
      <c r="R13" s="17">
        <v>0</v>
      </c>
      <c r="S13" s="17">
        <v>0</v>
      </c>
      <c r="T13" s="18">
        <v>4.3E-3</v>
      </c>
      <c r="U13" s="367">
        <f>U12-2*9.1564336</f>
        <v>18.312867199999999</v>
      </c>
      <c r="V13" s="364">
        <f t="shared" si="1"/>
        <v>9.2142697979247306</v>
      </c>
    </row>
    <row r="14" spans="1:22">
      <c r="A14" s="6"/>
      <c r="B14" s="137">
        <v>1.1999999999999999E-3</v>
      </c>
      <c r="C14" s="388">
        <v>5.5E-2</v>
      </c>
      <c r="D14" s="132">
        <v>0.255</v>
      </c>
      <c r="E14" s="75">
        <f>D14-ResRz011</f>
        <v>4.4000000000000011E-2</v>
      </c>
      <c r="F14" s="7">
        <v>7.6999999999999999E-2</v>
      </c>
      <c r="G14" s="8">
        <v>3.12</v>
      </c>
      <c r="H14" s="148">
        <v>4.8000000000000001E-2</v>
      </c>
      <c r="I14" s="127">
        <v>38</v>
      </c>
      <c r="J14" s="128">
        <v>-38</v>
      </c>
      <c r="K14" s="128">
        <v>36</v>
      </c>
      <c r="L14" s="128">
        <v>-38</v>
      </c>
      <c r="M14" s="128">
        <v>37</v>
      </c>
      <c r="N14" s="129">
        <v>-38</v>
      </c>
      <c r="O14" s="17">
        <v>-1</v>
      </c>
      <c r="P14" s="17">
        <v>-1</v>
      </c>
      <c r="Q14" s="17">
        <v>1</v>
      </c>
      <c r="R14" s="17">
        <v>0</v>
      </c>
      <c r="S14" s="17">
        <v>0</v>
      </c>
      <c r="T14" s="18">
        <v>5.4999999999999997E-3</v>
      </c>
      <c r="U14" s="367">
        <f>U13+2*9.1564336</f>
        <v>36.625734399999999</v>
      </c>
      <c r="V14" s="364">
        <f t="shared" si="1"/>
        <v>40.274525395958577</v>
      </c>
    </row>
    <row r="15" spans="1:22">
      <c r="A15" s="6"/>
      <c r="B15" s="137">
        <v>-1.1999999999999999E-3</v>
      </c>
      <c r="C15" s="388">
        <v>4.3E-3</v>
      </c>
      <c r="D15" s="132">
        <v>0.23100000000000001</v>
      </c>
      <c r="E15" s="75">
        <f>D15-ResRz011</f>
        <v>2.0000000000000018E-2</v>
      </c>
      <c r="F15" s="7">
        <v>7.8E-2</v>
      </c>
      <c r="G15" s="8">
        <v>3.1179999999999999</v>
      </c>
      <c r="H15" s="148">
        <v>4.8000000000000001E-2</v>
      </c>
      <c r="I15" s="127">
        <v>29</v>
      </c>
      <c r="J15" s="128">
        <v>-29</v>
      </c>
      <c r="K15" s="128">
        <v>28</v>
      </c>
      <c r="L15" s="128">
        <v>-30</v>
      </c>
      <c r="M15" s="128">
        <v>28</v>
      </c>
      <c r="N15" s="129">
        <v>-30</v>
      </c>
      <c r="O15" s="17">
        <v>-1</v>
      </c>
      <c r="P15" s="17">
        <v>-1</v>
      </c>
      <c r="Q15" s="17">
        <v>1</v>
      </c>
      <c r="R15" s="17">
        <v>0</v>
      </c>
      <c r="S15" s="17">
        <v>0</v>
      </c>
      <c r="T15" s="18">
        <v>4.3E-3</v>
      </c>
      <c r="U15" s="367">
        <f>U14-2*9.1564336</f>
        <v>18.312867199999999</v>
      </c>
      <c r="V15" s="364">
        <f t="shared" si="1"/>
        <v>9.2142697979247306</v>
      </c>
    </row>
    <row r="16" spans="1:22">
      <c r="A16" s="133" t="s">
        <v>53</v>
      </c>
      <c r="B16" s="138" t="s">
        <v>51</v>
      </c>
      <c r="C16" s="29"/>
      <c r="D16" s="136">
        <v>0.23100000000000001</v>
      </c>
      <c r="E16" s="216"/>
      <c r="F16" s="149">
        <v>7.8E-2</v>
      </c>
      <c r="G16" s="120">
        <v>3.1179999999999999</v>
      </c>
      <c r="H16" s="150">
        <v>4.8000000000000001E-2</v>
      </c>
      <c r="I16" s="130">
        <v>29</v>
      </c>
      <c r="J16" s="118">
        <v>-29</v>
      </c>
      <c r="K16" s="118">
        <v>28</v>
      </c>
      <c r="L16" s="118">
        <v>-30</v>
      </c>
      <c r="M16" s="118">
        <v>28</v>
      </c>
      <c r="N16" s="119">
        <v>-30</v>
      </c>
      <c r="O16" s="28">
        <v>-1</v>
      </c>
      <c r="P16" s="28">
        <v>-1</v>
      </c>
      <c r="Q16" s="28">
        <v>1</v>
      </c>
      <c r="R16" s="28">
        <v>0</v>
      </c>
      <c r="S16" s="28">
        <v>0</v>
      </c>
      <c r="T16" s="29">
        <v>4.3E-3</v>
      </c>
      <c r="U16" s="367"/>
      <c r="V16" s="362"/>
    </row>
    <row r="17" spans="1:22">
      <c r="A17" s="6"/>
      <c r="B17" s="137">
        <v>5.9999999999999995E-4</v>
      </c>
      <c r="C17" s="388">
        <v>4.8999999999999998E-3</v>
      </c>
      <c r="D17" s="132">
        <v>0.245</v>
      </c>
      <c r="E17" s="75">
        <f>D17-ResRz012</f>
        <v>1.3999999999999985E-2</v>
      </c>
      <c r="F17" s="7">
        <v>7.8E-2</v>
      </c>
      <c r="G17" s="8">
        <v>3.1190000000000002</v>
      </c>
      <c r="H17" s="148">
        <v>4.8000000000000001E-2</v>
      </c>
      <c r="I17" s="127">
        <v>33</v>
      </c>
      <c r="J17" s="128">
        <v>-34</v>
      </c>
      <c r="K17" s="128">
        <v>32</v>
      </c>
      <c r="L17" s="128">
        <v>-34</v>
      </c>
      <c r="M17" s="128">
        <v>32</v>
      </c>
      <c r="N17" s="129">
        <v>-34</v>
      </c>
      <c r="O17" s="17">
        <v>-1</v>
      </c>
      <c r="P17" s="17">
        <v>-1</v>
      </c>
      <c r="Q17" s="17">
        <v>1</v>
      </c>
      <c r="R17" s="17">
        <v>0</v>
      </c>
      <c r="S17" s="17">
        <v>0</v>
      </c>
      <c r="T17" s="18">
        <v>4.8999999999999998E-3</v>
      </c>
      <c r="U17" s="367">
        <f>U16+1*9.1564336</f>
        <v>9.1564335999999997</v>
      </c>
      <c r="V17" s="364">
        <f>100*ABS(U17-ABS(E17*1000))/9.16</f>
        <v>52.877362445414676</v>
      </c>
    </row>
    <row r="18" spans="1:22">
      <c r="A18" s="6"/>
      <c r="B18" s="137">
        <v>5.9999999999999995E-4</v>
      </c>
      <c r="C18" s="388">
        <v>5.4999999999999997E-3</v>
      </c>
      <c r="D18" s="132">
        <v>0.255</v>
      </c>
      <c r="E18" s="75">
        <f>D18-ResRz012</f>
        <v>2.3999999999999994E-2</v>
      </c>
      <c r="F18" s="7">
        <v>7.6999999999999999E-2</v>
      </c>
      <c r="G18" s="8">
        <v>3.12</v>
      </c>
      <c r="H18" s="148">
        <v>4.8000000000000001E-2</v>
      </c>
      <c r="I18" s="127">
        <v>38</v>
      </c>
      <c r="J18" s="128">
        <v>-38</v>
      </c>
      <c r="K18" s="128">
        <v>36</v>
      </c>
      <c r="L18" s="128">
        <v>-38</v>
      </c>
      <c r="M18" s="128">
        <v>37</v>
      </c>
      <c r="N18" s="129">
        <v>-39</v>
      </c>
      <c r="O18" s="17">
        <v>-1</v>
      </c>
      <c r="P18" s="17">
        <v>0</v>
      </c>
      <c r="Q18" s="17">
        <v>1</v>
      </c>
      <c r="R18" s="17">
        <v>0</v>
      </c>
      <c r="S18" s="17">
        <v>0</v>
      </c>
      <c r="T18" s="18">
        <v>5.4999999999999997E-3</v>
      </c>
      <c r="U18" s="367">
        <f>U17+1*9.1564336</f>
        <v>18.312867199999999</v>
      </c>
      <c r="V18" s="390">
        <f t="shared" ref="V18:V21" si="2">100*ABS(U18-ABS(E18*1000))/9.16</f>
        <v>62.08660262008727</v>
      </c>
    </row>
    <row r="19" spans="1:22">
      <c r="A19" s="6"/>
      <c r="B19" s="137">
        <v>-5.9999999999999995E-4</v>
      </c>
      <c r="C19" s="388">
        <v>4.8999999999999998E-3</v>
      </c>
      <c r="D19" s="132">
        <v>0.24299999999999999</v>
      </c>
      <c r="E19" s="75">
        <f>D19-ResRz012</f>
        <v>1.1999999999999983E-2</v>
      </c>
      <c r="F19" s="7">
        <v>7.8E-2</v>
      </c>
      <c r="G19" s="8">
        <v>3.1179999999999999</v>
      </c>
      <c r="H19" s="148">
        <v>4.8000000000000001E-2</v>
      </c>
      <c r="I19" s="127">
        <v>33</v>
      </c>
      <c r="J19" s="128">
        <v>-34</v>
      </c>
      <c r="K19" s="128">
        <v>32</v>
      </c>
      <c r="L19" s="128">
        <v>-34</v>
      </c>
      <c r="M19" s="128">
        <v>32</v>
      </c>
      <c r="N19" s="129">
        <v>-34</v>
      </c>
      <c r="O19" s="17">
        <v>-1</v>
      </c>
      <c r="P19" s="17">
        <v>-1</v>
      </c>
      <c r="Q19" s="17">
        <v>1</v>
      </c>
      <c r="R19" s="17">
        <v>0</v>
      </c>
      <c r="S19" s="17">
        <v>0</v>
      </c>
      <c r="T19" s="18">
        <v>4.8999999999999998E-3</v>
      </c>
      <c r="U19" s="367">
        <f>U18-1*9.1564336</f>
        <v>9.1564335999999997</v>
      </c>
      <c r="V19" s="364">
        <f t="shared" si="2"/>
        <v>31.043301310043478</v>
      </c>
    </row>
    <row r="20" spans="1:22">
      <c r="A20" s="6"/>
      <c r="B20" s="137">
        <v>5.9999999999999995E-4</v>
      </c>
      <c r="C20" s="388">
        <v>5.4999999999999997E-3</v>
      </c>
      <c r="D20" s="132">
        <v>0.254</v>
      </c>
      <c r="E20" s="75">
        <f>D20-ResRz012</f>
        <v>2.2999999999999993E-2</v>
      </c>
      <c r="F20" s="7">
        <v>7.8E-2</v>
      </c>
      <c r="G20" s="8">
        <v>3.12</v>
      </c>
      <c r="H20" s="148">
        <v>4.8000000000000001E-2</v>
      </c>
      <c r="I20" s="127">
        <v>38</v>
      </c>
      <c r="J20" s="128">
        <v>-38</v>
      </c>
      <c r="K20" s="128">
        <v>36</v>
      </c>
      <c r="L20" s="128">
        <v>-38</v>
      </c>
      <c r="M20" s="128">
        <v>37</v>
      </c>
      <c r="N20" s="129">
        <v>-39</v>
      </c>
      <c r="O20" s="17">
        <v>-1</v>
      </c>
      <c r="P20" s="17">
        <v>0</v>
      </c>
      <c r="Q20" s="17">
        <v>1</v>
      </c>
      <c r="R20" s="17">
        <v>0</v>
      </c>
      <c r="S20" s="17">
        <v>0</v>
      </c>
      <c r="T20" s="18">
        <v>5.4999999999999997E-3</v>
      </c>
      <c r="U20" s="367">
        <f>U19+1*9.1564336</f>
        <v>18.312867199999999</v>
      </c>
      <c r="V20" s="364">
        <f t="shared" si="2"/>
        <v>51.169572052401676</v>
      </c>
    </row>
    <row r="21" spans="1:22">
      <c r="A21" s="12"/>
      <c r="B21" s="137">
        <v>-5.9999999999999995E-4</v>
      </c>
      <c r="C21" s="388">
        <v>5.0000000000000001E-4</v>
      </c>
      <c r="D21" s="132">
        <v>0.24299999999999999</v>
      </c>
      <c r="E21" s="75">
        <f>D21-ResRz012</f>
        <v>1.1999999999999983E-2</v>
      </c>
      <c r="F21" s="7">
        <v>7.8E-2</v>
      </c>
      <c r="G21" s="8">
        <v>3.1179999999999999</v>
      </c>
      <c r="H21" s="148">
        <v>4.8000000000000001E-2</v>
      </c>
      <c r="I21" s="127">
        <v>33</v>
      </c>
      <c r="J21" s="128">
        <v>-34</v>
      </c>
      <c r="K21" s="128">
        <v>32</v>
      </c>
      <c r="L21" s="128">
        <v>-34</v>
      </c>
      <c r="M21" s="128">
        <v>32</v>
      </c>
      <c r="N21" s="129">
        <v>-34</v>
      </c>
      <c r="O21" s="17">
        <v>-1</v>
      </c>
      <c r="P21" s="17">
        <v>-1</v>
      </c>
      <c r="Q21" s="17">
        <v>1</v>
      </c>
      <c r="R21" s="17">
        <v>0</v>
      </c>
      <c r="S21" s="17">
        <v>0</v>
      </c>
      <c r="T21" s="18">
        <v>4.8999999999999998E-3</v>
      </c>
      <c r="U21" s="367">
        <f>U20-1*9.1564336</f>
        <v>9.1564335999999997</v>
      </c>
      <c r="V21" s="364">
        <f t="shared" si="2"/>
        <v>31.043301310043478</v>
      </c>
    </row>
    <row r="22" spans="1:22">
      <c r="A22" s="12" t="s">
        <v>63</v>
      </c>
      <c r="B22" s="153">
        <v>0</v>
      </c>
      <c r="C22" s="28"/>
      <c r="D22" s="28">
        <v>0.16500000000000001</v>
      </c>
      <c r="E22" s="152"/>
      <c r="F22" s="120">
        <v>7.8E-2</v>
      </c>
      <c r="G22" s="120">
        <v>3.1150000000000002</v>
      </c>
      <c r="H22" s="120">
        <v>4.9000000000000002E-2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4">
        <v>0</v>
      </c>
      <c r="U22" s="367"/>
      <c r="V22" s="362"/>
    </row>
    <row r="23" spans="1:22">
      <c r="A23" s="6"/>
      <c r="B23" s="137">
        <v>5.9999999999999995E-4</v>
      </c>
      <c r="C23" s="388">
        <v>5.9999999999999995E-4</v>
      </c>
      <c r="D23" s="132">
        <v>0.17899999999999999</v>
      </c>
      <c r="E23" s="75">
        <f t="shared" ref="E23:E29" si="3">D23-ResRz013</f>
        <v>1.3999999999999985E-2</v>
      </c>
      <c r="F23" s="7">
        <v>7.8E-2</v>
      </c>
      <c r="G23" s="8">
        <v>3.1179999999999999</v>
      </c>
      <c r="H23" s="148">
        <v>4.9000000000000002E-2</v>
      </c>
      <c r="I23" s="127">
        <v>4</v>
      </c>
      <c r="J23" s="128">
        <v>-4</v>
      </c>
      <c r="K23" s="128">
        <v>4</v>
      </c>
      <c r="L23" s="128">
        <v>-4</v>
      </c>
      <c r="M23" s="128">
        <v>4</v>
      </c>
      <c r="N23" s="129">
        <v>-4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8">
        <v>5.9999999999999995E-4</v>
      </c>
      <c r="U23" s="367">
        <f>U22+1*9.1564336</f>
        <v>9.1564335999999997</v>
      </c>
      <c r="V23" s="364">
        <f>100*ABS(U23-ABS(E23*1000))/9.16</f>
        <v>52.877362445414676</v>
      </c>
    </row>
    <row r="24" spans="1:22">
      <c r="A24" s="6"/>
      <c r="B24" s="137">
        <v>5.9999999999999995E-4</v>
      </c>
      <c r="C24" s="388">
        <v>1.1999999999999999E-3</v>
      </c>
      <c r="D24" s="132">
        <v>0.19</v>
      </c>
      <c r="E24" s="75">
        <f t="shared" si="3"/>
        <v>2.4999999999999994E-2</v>
      </c>
      <c r="F24" s="7">
        <v>7.8E-2</v>
      </c>
      <c r="G24" s="8">
        <v>3.1179999999999999</v>
      </c>
      <c r="H24" s="148">
        <v>4.8000000000000001E-2</v>
      </c>
      <c r="I24" s="127">
        <v>8</v>
      </c>
      <c r="J24" s="128">
        <v>-9</v>
      </c>
      <c r="K24" s="128">
        <v>8</v>
      </c>
      <c r="L24" s="128">
        <v>-8</v>
      </c>
      <c r="M24" s="128">
        <v>8</v>
      </c>
      <c r="N24" s="129">
        <v>-9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8">
        <v>1.1999999999999999E-3</v>
      </c>
      <c r="U24" s="367">
        <f>U23+1*9.1564336</f>
        <v>18.312867199999999</v>
      </c>
      <c r="V24" s="390">
        <f t="shared" ref="V24:V27" si="4">100*ABS(U24-ABS(E24*1000))/9.16</f>
        <v>73.003633187772863</v>
      </c>
    </row>
    <row r="25" spans="1:22">
      <c r="A25" s="6"/>
      <c r="B25" s="137">
        <v>-5.9999999999999995E-4</v>
      </c>
      <c r="C25" s="388">
        <v>5.9999999999999995E-4</v>
      </c>
      <c r="D25" s="132">
        <v>0.17699999999999999</v>
      </c>
      <c r="E25" s="75">
        <f t="shared" si="3"/>
        <v>1.1999999999999983E-2</v>
      </c>
      <c r="F25" s="7">
        <v>7.8E-2</v>
      </c>
      <c r="G25" s="8">
        <v>3.1160000000000001</v>
      </c>
      <c r="H25" s="148">
        <v>4.8000000000000001E-2</v>
      </c>
      <c r="I25" s="127">
        <v>4</v>
      </c>
      <c r="J25" s="128">
        <v>-4</v>
      </c>
      <c r="K25" s="128">
        <v>4</v>
      </c>
      <c r="L25" s="128">
        <v>-4</v>
      </c>
      <c r="M25" s="128">
        <v>4</v>
      </c>
      <c r="N25" s="129">
        <v>-4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8">
        <v>5.9999999999999995E-4</v>
      </c>
      <c r="U25" s="367">
        <f>U24-1*9.1564336</f>
        <v>9.1564335999999997</v>
      </c>
      <c r="V25" s="364">
        <f t="shared" si="4"/>
        <v>31.043301310043478</v>
      </c>
    </row>
    <row r="26" spans="1:22">
      <c r="A26" s="6"/>
      <c r="B26" s="137">
        <v>5.9999999999999995E-4</v>
      </c>
      <c r="C26" s="388">
        <v>1.1999999999999999E-3</v>
      </c>
      <c r="D26" s="132">
        <v>0.189</v>
      </c>
      <c r="E26" s="75">
        <f t="shared" si="3"/>
        <v>2.3999999999999994E-2</v>
      </c>
      <c r="F26" s="7">
        <v>7.8E-2</v>
      </c>
      <c r="G26" s="8">
        <v>3.1179999999999999</v>
      </c>
      <c r="H26" s="148">
        <v>4.8000000000000001E-2</v>
      </c>
      <c r="I26" s="127">
        <v>8</v>
      </c>
      <c r="J26" s="128">
        <v>-9</v>
      </c>
      <c r="K26" s="128">
        <v>8</v>
      </c>
      <c r="L26" s="128">
        <v>-8</v>
      </c>
      <c r="M26" s="128">
        <v>8</v>
      </c>
      <c r="N26" s="129">
        <v>-8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8">
        <v>1.1999999999999999E-3</v>
      </c>
      <c r="U26" s="367">
        <f>U25+1*9.1564336</f>
        <v>18.312867199999999</v>
      </c>
      <c r="V26" s="390">
        <f t="shared" si="4"/>
        <v>62.08660262008727</v>
      </c>
    </row>
    <row r="27" spans="1:22">
      <c r="A27" s="6"/>
      <c r="B27" s="137">
        <v>-5.9999999999999995E-4</v>
      </c>
      <c r="C27" s="388">
        <v>5.9999999999999995E-4</v>
      </c>
      <c r="D27" s="132">
        <v>0.17699999999999999</v>
      </c>
      <c r="E27" s="75">
        <f t="shared" si="3"/>
        <v>1.1999999999999983E-2</v>
      </c>
      <c r="F27" s="7">
        <v>7.8E-2</v>
      </c>
      <c r="G27" s="8">
        <v>3.1160000000000001</v>
      </c>
      <c r="H27" s="148">
        <v>4.8000000000000001E-2</v>
      </c>
      <c r="I27" s="127">
        <v>4</v>
      </c>
      <c r="J27" s="128">
        <v>-4</v>
      </c>
      <c r="K27" s="128">
        <v>4</v>
      </c>
      <c r="L27" s="128">
        <v>-4</v>
      </c>
      <c r="M27" s="128">
        <v>4</v>
      </c>
      <c r="N27" s="129">
        <v>-4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8">
        <v>5.9999999999999995E-4</v>
      </c>
      <c r="U27" s="367">
        <f>U26-1*9.1564336</f>
        <v>9.1564335999999997</v>
      </c>
      <c r="V27" s="364">
        <f t="shared" si="4"/>
        <v>31.043301310043478</v>
      </c>
    </row>
    <row r="28" spans="1:22">
      <c r="A28" s="2" t="s">
        <v>175</v>
      </c>
      <c r="B28" s="138">
        <v>-5.9999999999999995E-4</v>
      </c>
      <c r="C28" s="3">
        <v>0</v>
      </c>
      <c r="D28" s="3">
        <v>0.16600000000000001</v>
      </c>
      <c r="E28" s="216">
        <f t="shared" si="3"/>
        <v>1.0000000000000009E-3</v>
      </c>
      <c r="F28" s="3">
        <v>7.6999999999999999E-2</v>
      </c>
      <c r="G28" s="3">
        <v>3.1139999999999999</v>
      </c>
      <c r="H28" s="3">
        <v>4.9000000000000002E-2</v>
      </c>
      <c r="I28" s="2">
        <v>-1</v>
      </c>
      <c r="J28" s="3">
        <v>0</v>
      </c>
      <c r="K28" s="3">
        <v>0</v>
      </c>
      <c r="L28" s="3">
        <v>0</v>
      </c>
      <c r="M28" s="3">
        <v>-1</v>
      </c>
      <c r="N28" s="4">
        <v>1</v>
      </c>
      <c r="O28" s="28">
        <v>0</v>
      </c>
      <c r="P28" s="28">
        <v>-1</v>
      </c>
      <c r="Q28" s="28">
        <v>0</v>
      </c>
      <c r="R28" s="28">
        <v>0</v>
      </c>
      <c r="S28" s="28">
        <v>0</v>
      </c>
      <c r="T28" s="29">
        <v>-1E-4</v>
      </c>
      <c r="U28" s="367"/>
      <c r="V28" s="362"/>
    </row>
    <row r="29" spans="1:22">
      <c r="A29" s="12" t="s">
        <v>63</v>
      </c>
      <c r="B29" s="387" t="s">
        <v>62</v>
      </c>
      <c r="C29" s="13">
        <v>0</v>
      </c>
      <c r="D29" s="13">
        <v>0.16600000000000001</v>
      </c>
      <c r="E29" s="211">
        <f t="shared" si="3"/>
        <v>1.0000000000000009E-3</v>
      </c>
      <c r="F29" s="13">
        <v>7.6999999999999999E-2</v>
      </c>
      <c r="G29" s="13">
        <v>3.1139999999999999</v>
      </c>
      <c r="H29" s="13">
        <v>4.9000000000000002E-2</v>
      </c>
      <c r="I29" s="12">
        <v>0</v>
      </c>
      <c r="J29" s="13">
        <v>0</v>
      </c>
      <c r="K29" s="13">
        <v>0</v>
      </c>
      <c r="L29" s="13">
        <v>0</v>
      </c>
      <c r="M29" s="13">
        <v>0</v>
      </c>
      <c r="N29" s="87">
        <v>1</v>
      </c>
      <c r="O29" s="19">
        <v>-1</v>
      </c>
      <c r="P29" s="19">
        <v>0</v>
      </c>
      <c r="Q29" s="19">
        <v>0</v>
      </c>
      <c r="R29" s="19">
        <v>0</v>
      </c>
      <c r="S29" s="19">
        <v>0</v>
      </c>
      <c r="T29" s="20">
        <v>0</v>
      </c>
      <c r="U29" s="368"/>
      <c r="V29" s="365"/>
    </row>
    <row r="30" spans="1:22" ht="15.6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359" t="s">
        <v>143</v>
      </c>
      <c r="V30" s="369">
        <f>AVERAGE(V5:V27)</f>
        <v>32.398327664809862</v>
      </c>
    </row>
    <row r="31" spans="1:2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376" t="s">
        <v>145</v>
      </c>
      <c r="V31" s="357">
        <f>STDEV(V5:V27)</f>
        <v>21.972078438987761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R64"/>
  <sheetViews>
    <sheetView topLeftCell="K1" zoomScale="75" zoomScaleNormal="75" workbookViewId="0">
      <selection activeCell="AR22" sqref="AR22"/>
    </sheetView>
  </sheetViews>
  <sheetFormatPr defaultRowHeight="14.4"/>
  <cols>
    <col min="3" max="3" width="11" customWidth="1"/>
    <col min="4" max="4" width="8.6640625" customWidth="1"/>
    <col min="5" max="5" width="9.33203125" customWidth="1"/>
    <col min="6" max="6" width="7" customWidth="1"/>
    <col min="7" max="7" width="8.33203125" customWidth="1"/>
    <col min="8" max="8" width="6.44140625" customWidth="1"/>
    <col min="9" max="9" width="7" customWidth="1"/>
    <col min="10" max="14" width="5.6640625" customWidth="1"/>
    <col min="15" max="15" width="6.6640625" customWidth="1"/>
    <col min="16" max="18" width="5.6640625" style="117" customWidth="1"/>
    <col min="23" max="23" width="11.5546875" customWidth="1"/>
    <col min="32" max="32" width="2.88671875" customWidth="1"/>
    <col min="33" max="35" width="8.88671875" style="9"/>
    <col min="39" max="40" width="9.109375" style="965"/>
    <col min="41" max="41" width="9.33203125" customWidth="1"/>
    <col min="43" max="43" width="8.88671875" customWidth="1"/>
  </cols>
  <sheetData>
    <row r="1" spans="1:44">
      <c r="C1" s="170" t="s">
        <v>200</v>
      </c>
      <c r="D1" s="11"/>
      <c r="E1" s="11"/>
      <c r="F1" s="11"/>
      <c r="G1" s="427" t="s">
        <v>222</v>
      </c>
      <c r="H1" s="427"/>
      <c r="I1" s="427" t="s">
        <v>65</v>
      </c>
      <c r="J1" s="11"/>
      <c r="K1" s="759"/>
      <c r="L1" s="759" t="s">
        <v>634</v>
      </c>
      <c r="M1" s="758"/>
      <c r="N1" s="758"/>
      <c r="O1" s="758"/>
      <c r="P1" s="759"/>
      <c r="Q1" s="759"/>
      <c r="R1" s="121"/>
      <c r="S1" s="11"/>
      <c r="T1" s="11"/>
      <c r="U1" s="86"/>
      <c r="V1" s="396" t="s">
        <v>134</v>
      </c>
      <c r="W1" s="409" t="s">
        <v>196</v>
      </c>
      <c r="Z1" s="370" t="s">
        <v>211</v>
      </c>
      <c r="AA1" s="77"/>
      <c r="AB1" s="77"/>
      <c r="AC1" s="77"/>
      <c r="AD1" s="77"/>
      <c r="AE1" s="77"/>
      <c r="AF1" s="131"/>
      <c r="AG1" s="331"/>
      <c r="AH1" s="331"/>
      <c r="AI1" s="331" t="s">
        <v>460</v>
      </c>
      <c r="AJ1" s="329"/>
      <c r="AK1" s="329"/>
      <c r="AL1" s="329"/>
      <c r="AM1" s="961"/>
      <c r="AN1" s="961"/>
      <c r="AO1" s="329"/>
      <c r="AP1" s="332"/>
    </row>
    <row r="2" spans="1:44">
      <c r="A2" s="45"/>
      <c r="C2" s="12" t="s">
        <v>66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3"/>
      <c r="Q2" s="123"/>
      <c r="R2" s="123"/>
      <c r="S2" s="13"/>
      <c r="T2" s="13"/>
      <c r="U2" s="87"/>
      <c r="V2" s="397" t="s">
        <v>213</v>
      </c>
      <c r="W2" s="358" t="s">
        <v>220</v>
      </c>
      <c r="Z2" s="405" t="s">
        <v>59</v>
      </c>
      <c r="AA2" s="82" t="s">
        <v>202</v>
      </c>
      <c r="AB2" s="82" t="s">
        <v>212</v>
      </c>
      <c r="AC2" s="82">
        <f>1938*0.0015*3.1416/180</f>
        <v>5.0736840000000005E-2</v>
      </c>
      <c r="AD2" s="82" t="s">
        <v>203</v>
      </c>
      <c r="AE2" s="960" t="s">
        <v>204</v>
      </c>
      <c r="AF2" s="27"/>
      <c r="AG2" s="331"/>
      <c r="AH2" s="331"/>
      <c r="AI2" s="331" t="s">
        <v>460</v>
      </c>
      <c r="AJ2" s="329"/>
      <c r="AK2" s="329"/>
      <c r="AL2" s="329"/>
      <c r="AM2" s="961"/>
      <c r="AN2" s="961"/>
      <c r="AO2" s="329"/>
      <c r="AP2" s="332"/>
    </row>
    <row r="3" spans="1:44">
      <c r="A3" s="45"/>
      <c r="B3" s="13"/>
      <c r="C3" s="392" t="s">
        <v>39</v>
      </c>
      <c r="D3" s="340" t="s">
        <v>36</v>
      </c>
      <c r="E3" s="2"/>
      <c r="F3" s="3" t="s">
        <v>239</v>
      </c>
      <c r="G3" s="3"/>
      <c r="H3" s="3"/>
      <c r="I3" s="4"/>
      <c r="J3" s="10" t="s">
        <v>181</v>
      </c>
      <c r="K3" s="11"/>
      <c r="L3" s="11"/>
      <c r="M3" s="11"/>
      <c r="N3" s="11"/>
      <c r="O3" s="86"/>
      <c r="P3" s="125"/>
      <c r="Q3" s="121" t="s">
        <v>170</v>
      </c>
      <c r="R3" s="121"/>
      <c r="S3" s="11"/>
      <c r="T3" s="11"/>
      <c r="U3" s="11"/>
      <c r="V3" s="397" t="s">
        <v>153</v>
      </c>
      <c r="W3" s="410" t="s">
        <v>214</v>
      </c>
      <c r="Z3" s="144"/>
      <c r="AF3" s="27"/>
      <c r="AH3" s="9" t="s">
        <v>631</v>
      </c>
      <c r="AJ3" s="6"/>
      <c r="AK3" t="s">
        <v>626</v>
      </c>
      <c r="AM3" s="962"/>
      <c r="AN3" s="31" t="s">
        <v>633</v>
      </c>
      <c r="AO3" s="1"/>
      <c r="AP3" s="135"/>
    </row>
    <row r="4" spans="1:44">
      <c r="A4" s="1"/>
      <c r="B4" s="10" t="s">
        <v>60</v>
      </c>
      <c r="C4" s="6" t="s">
        <v>201</v>
      </c>
      <c r="D4" s="402" t="s">
        <v>135</v>
      </c>
      <c r="E4" s="79" t="s">
        <v>217</v>
      </c>
      <c r="F4" s="79"/>
      <c r="G4" s="79"/>
      <c r="H4" s="79"/>
      <c r="I4" s="79"/>
      <c r="J4" s="127"/>
      <c r="K4" s="128"/>
      <c r="L4" s="128"/>
      <c r="M4" s="128"/>
      <c r="N4" s="980" t="s">
        <v>231</v>
      </c>
      <c r="O4" s="906" t="s">
        <v>228</v>
      </c>
      <c r="P4" s="906" t="s">
        <v>235</v>
      </c>
      <c r="Q4" s="83"/>
      <c r="R4" s="83" t="s">
        <v>234</v>
      </c>
      <c r="S4" s="83">
        <f>1938*0.0003276*3.1416/180</f>
        <v>1.1080925856E-2</v>
      </c>
      <c r="T4" s="83" t="s">
        <v>203</v>
      </c>
      <c r="U4" s="345" t="s">
        <v>207</v>
      </c>
      <c r="V4" s="397" t="s">
        <v>138</v>
      </c>
      <c r="W4" s="410" t="s">
        <v>195</v>
      </c>
      <c r="AF4" s="27"/>
      <c r="AH4" s="9" t="s">
        <v>7</v>
      </c>
      <c r="AJ4" s="6"/>
      <c r="AK4" t="s">
        <v>7</v>
      </c>
      <c r="AM4" s="962"/>
      <c r="AN4" s="31"/>
      <c r="AO4" s="1"/>
      <c r="AP4" s="135"/>
      <c r="AQ4" s="839" t="s">
        <v>96</v>
      </c>
      <c r="AR4" s="839" t="s">
        <v>622</v>
      </c>
    </row>
    <row r="5" spans="1:44">
      <c r="A5" s="1"/>
      <c r="B5" s="6" t="s">
        <v>65</v>
      </c>
      <c r="C5" s="139" t="s">
        <v>3</v>
      </c>
      <c r="D5" s="417" t="s">
        <v>223</v>
      </c>
      <c r="E5" s="139" t="s">
        <v>168</v>
      </c>
      <c r="F5" s="376" t="s">
        <v>240</v>
      </c>
      <c r="G5" s="382" t="s">
        <v>1</v>
      </c>
      <c r="H5" s="376" t="s">
        <v>173</v>
      </c>
      <c r="I5" s="376" t="s">
        <v>241</v>
      </c>
      <c r="J5" s="126">
        <v>1</v>
      </c>
      <c r="K5" s="123">
        <v>2</v>
      </c>
      <c r="L5" s="123">
        <v>3</v>
      </c>
      <c r="M5" s="123">
        <v>4</v>
      </c>
      <c r="N5" s="123">
        <v>5</v>
      </c>
      <c r="O5" s="124">
        <v>6</v>
      </c>
      <c r="P5" s="168" t="s">
        <v>0</v>
      </c>
      <c r="Q5" s="169" t="s">
        <v>1</v>
      </c>
      <c r="R5" s="169" t="s">
        <v>2</v>
      </c>
      <c r="S5" s="164" t="s">
        <v>3</v>
      </c>
      <c r="T5" s="164" t="s">
        <v>4</v>
      </c>
      <c r="U5" s="19" t="s">
        <v>5</v>
      </c>
      <c r="V5" s="404" t="s">
        <v>160</v>
      </c>
      <c r="W5" s="411" t="s">
        <v>3</v>
      </c>
      <c r="Z5" s="13"/>
      <c r="AF5" s="27"/>
      <c r="AG5" s="536" t="s">
        <v>0</v>
      </c>
      <c r="AH5" s="536" t="s">
        <v>26</v>
      </c>
      <c r="AI5" s="536" t="s">
        <v>434</v>
      </c>
      <c r="AJ5" s="538" t="s">
        <v>0</v>
      </c>
      <c r="AK5" s="536" t="s">
        <v>26</v>
      </c>
      <c r="AL5" s="974" t="s">
        <v>434</v>
      </c>
      <c r="AM5" s="966" t="s">
        <v>3</v>
      </c>
      <c r="AN5" s="970" t="s">
        <v>3</v>
      </c>
      <c r="AO5" s="806" t="s">
        <v>4</v>
      </c>
      <c r="AP5" s="625" t="s">
        <v>5</v>
      </c>
      <c r="AQ5" s="839" t="s">
        <v>198</v>
      </c>
      <c r="AR5" s="839" t="s">
        <v>198</v>
      </c>
    </row>
    <row r="6" spans="1:44">
      <c r="A6" s="1"/>
      <c r="B6" s="2"/>
      <c r="C6" s="138">
        <v>0</v>
      </c>
      <c r="D6" s="133">
        <v>0</v>
      </c>
      <c r="E6" s="149">
        <v>4.7E-2</v>
      </c>
      <c r="F6" s="120">
        <v>0.08</v>
      </c>
      <c r="G6" s="120"/>
      <c r="H6" s="120">
        <v>3.1150000000000002</v>
      </c>
      <c r="I6" s="120">
        <v>0.16900000000000001</v>
      </c>
      <c r="J6" s="130">
        <v>0</v>
      </c>
      <c r="K6" s="118">
        <v>0</v>
      </c>
      <c r="L6" s="118">
        <v>0</v>
      </c>
      <c r="M6" s="118">
        <v>0</v>
      </c>
      <c r="N6" s="118">
        <v>0</v>
      </c>
      <c r="O6" s="119">
        <v>0</v>
      </c>
      <c r="P6" s="118">
        <v>1</v>
      </c>
      <c r="Q6" s="118">
        <v>0</v>
      </c>
      <c r="R6" s="118">
        <v>0</v>
      </c>
      <c r="S6" s="28">
        <v>0</v>
      </c>
      <c r="T6" s="28">
        <v>0</v>
      </c>
      <c r="U6" s="28">
        <v>0</v>
      </c>
      <c r="V6" s="413">
        <v>0</v>
      </c>
      <c r="W6" s="356" t="s">
        <v>215</v>
      </c>
      <c r="Y6" s="905" t="s">
        <v>228</v>
      </c>
      <c r="Z6" s="906" t="s">
        <v>229</v>
      </c>
      <c r="AA6" s="83" t="s">
        <v>205</v>
      </c>
      <c r="AB6" s="83" t="s">
        <v>206</v>
      </c>
      <c r="AC6" s="83">
        <f>1938*0.0003276*3.1416/180</f>
        <v>1.1080925856E-2</v>
      </c>
      <c r="AD6" s="83" t="s">
        <v>203</v>
      </c>
      <c r="AE6" s="83" t="s">
        <v>207</v>
      </c>
      <c r="AF6" s="27"/>
      <c r="AG6" s="120">
        <v>-3.0000000000000001E-3</v>
      </c>
      <c r="AH6" s="120">
        <v>1.6E-2</v>
      </c>
      <c r="AI6" s="120">
        <v>2E-3</v>
      </c>
      <c r="AJ6" s="2">
        <f>AG6--0.003</f>
        <v>0</v>
      </c>
      <c r="AK6" s="83">
        <f>AH6-0.016</f>
        <v>0</v>
      </c>
      <c r="AL6" s="975">
        <f>AI6-0.002</f>
        <v>0</v>
      </c>
      <c r="AM6" s="968">
        <f>-AK6*180/1938/3.1416</f>
        <v>0</v>
      </c>
      <c r="AN6" s="971">
        <f>-AL6*180/825/3.1416</f>
        <v>0</v>
      </c>
      <c r="AO6" s="3"/>
      <c r="AP6" s="4"/>
    </row>
    <row r="7" spans="1:44">
      <c r="A7" s="1"/>
      <c r="C7" s="137">
        <v>1.5E-3</v>
      </c>
      <c r="D7" s="402">
        <v>1.5E-3</v>
      </c>
      <c r="E7" s="6">
        <v>2.8000000000000001E-2</v>
      </c>
      <c r="F7" s="8">
        <v>3.3000000000000002E-2</v>
      </c>
      <c r="G7" s="75">
        <f t="shared" ref="G7:G18" si="0">F7-repRx</f>
        <v>-4.7E-2</v>
      </c>
      <c r="H7" s="8">
        <v>3.1120000000000001</v>
      </c>
      <c r="I7" s="8">
        <v>0.16500000000000001</v>
      </c>
      <c r="J7" s="127">
        <v>-31</v>
      </c>
      <c r="K7" s="128">
        <v>-31</v>
      </c>
      <c r="L7" s="128">
        <v>36</v>
      </c>
      <c r="M7" s="128">
        <v>-5</v>
      </c>
      <c r="N7" s="128">
        <v>-5</v>
      </c>
      <c r="O7" s="129">
        <v>37</v>
      </c>
      <c r="P7" s="128">
        <v>0</v>
      </c>
      <c r="Q7" s="128">
        <v>1</v>
      </c>
      <c r="R7" s="128">
        <v>0</v>
      </c>
      <c r="S7" s="17">
        <v>1.5E-3</v>
      </c>
      <c r="T7" s="17">
        <v>0</v>
      </c>
      <c r="U7" s="17">
        <v>0</v>
      </c>
      <c r="V7" s="65">
        <f>-(D7*1938*3.1416/180)*1000</f>
        <v>-50.736840000000008</v>
      </c>
      <c r="W7" s="358">
        <f t="shared" ref="W7:W18" si="1">ABS(G7*1000-V7)</f>
        <v>3.7368400000000079</v>
      </c>
      <c r="AF7" s="27"/>
      <c r="AG7" s="9">
        <v>-7.0000000000000001E-3</v>
      </c>
      <c r="AH7" s="9">
        <v>-3.5999999999999997E-2</v>
      </c>
      <c r="AI7" s="9">
        <v>-2.7E-2</v>
      </c>
      <c r="AJ7" s="7">
        <f>AG7--0.003</f>
        <v>-4.0000000000000001E-3</v>
      </c>
      <c r="AK7" s="177">
        <f>AH7-0.016</f>
        <v>-5.1999999999999998E-2</v>
      </c>
      <c r="AL7" s="976">
        <f>AI7-0.002</f>
        <v>-2.8999999999999998E-2</v>
      </c>
      <c r="AM7" s="969">
        <f t="shared" ref="AM7:AM18" si="2">-AK7*180/1938/3.1416</f>
        <v>1.5373444621304755E-3</v>
      </c>
      <c r="AN7" s="972">
        <f t="shared" ref="AN7:AN18" si="3">-AL7*180/825/3.1416</f>
        <v>2.0140287519966665E-3</v>
      </c>
      <c r="AO7" s="1"/>
      <c r="AP7" s="135"/>
      <c r="AQ7" s="977">
        <f>AM7-C7</f>
        <v>3.7344462130475516E-5</v>
      </c>
    </row>
    <row r="8" spans="1:44">
      <c r="A8" s="1"/>
      <c r="B8" s="6"/>
      <c r="C8" s="137">
        <v>0</v>
      </c>
      <c r="D8" s="402">
        <v>0</v>
      </c>
      <c r="E8" s="6">
        <v>4.8000000000000001E-2</v>
      </c>
      <c r="F8" s="8">
        <v>0.08</v>
      </c>
      <c r="G8" s="75">
        <f t="shared" si="0"/>
        <v>0</v>
      </c>
      <c r="H8" s="8">
        <v>3.1160000000000001</v>
      </c>
      <c r="I8" s="8">
        <v>0.16900000000000001</v>
      </c>
      <c r="J8" s="127">
        <v>0</v>
      </c>
      <c r="K8" s="128">
        <v>0</v>
      </c>
      <c r="L8" s="128">
        <v>0</v>
      </c>
      <c r="M8" s="128">
        <v>0</v>
      </c>
      <c r="N8" s="128">
        <v>0</v>
      </c>
      <c r="O8" s="129">
        <v>0</v>
      </c>
      <c r="P8" s="128">
        <v>0</v>
      </c>
      <c r="Q8" s="128">
        <v>-1</v>
      </c>
      <c r="R8" s="128">
        <v>0</v>
      </c>
      <c r="S8" s="17">
        <v>0</v>
      </c>
      <c r="T8" s="17">
        <v>0</v>
      </c>
      <c r="U8" s="17">
        <v>0</v>
      </c>
      <c r="V8" s="65">
        <f t="shared" ref="V8:V18" si="4">-(D8*1938*3.1416/180)*1000</f>
        <v>0</v>
      </c>
      <c r="W8" s="358">
        <f t="shared" si="1"/>
        <v>0</v>
      </c>
      <c r="AF8" s="27"/>
      <c r="AG8" s="9">
        <v>-3.0000000000000001E-3</v>
      </c>
      <c r="AH8" s="9">
        <v>1.6E-2</v>
      </c>
      <c r="AI8" s="9">
        <v>2E-3</v>
      </c>
      <c r="AJ8" s="7">
        <f t="shared" ref="AJ8:AJ18" si="5">AG8--0.003</f>
        <v>0</v>
      </c>
      <c r="AK8" s="177">
        <f t="shared" ref="AK8:AK18" si="6">AH8-0.016</f>
        <v>0</v>
      </c>
      <c r="AL8" s="976">
        <f t="shared" ref="AL8:AL18" si="7">AI8-0.002</f>
        <v>0</v>
      </c>
      <c r="AM8" s="969">
        <f t="shared" si="2"/>
        <v>0</v>
      </c>
      <c r="AN8" s="972">
        <f t="shared" si="3"/>
        <v>0</v>
      </c>
      <c r="AO8" s="1"/>
      <c r="AP8" s="135"/>
      <c r="AQ8" s="977">
        <f t="shared" ref="AQ7:AQ18" si="8">AM8-C8</f>
        <v>0</v>
      </c>
    </row>
    <row r="9" spans="1:44">
      <c r="A9" s="1"/>
      <c r="B9" s="6"/>
      <c r="C9" s="137">
        <v>-1.5E-3</v>
      </c>
      <c r="D9" s="402">
        <v>-1.5E-3</v>
      </c>
      <c r="E9" s="6">
        <v>6.7000000000000004E-2</v>
      </c>
      <c r="F9" s="8">
        <v>0.13</v>
      </c>
      <c r="G9" s="75">
        <f t="shared" si="0"/>
        <v>0.05</v>
      </c>
      <c r="H9" s="8">
        <v>3.117</v>
      </c>
      <c r="I9" s="8">
        <v>0.17</v>
      </c>
      <c r="J9" s="127">
        <v>31</v>
      </c>
      <c r="K9" s="128">
        <v>31</v>
      </c>
      <c r="L9" s="128">
        <v>-37</v>
      </c>
      <c r="M9" s="128">
        <v>5</v>
      </c>
      <c r="N9" s="128">
        <v>5</v>
      </c>
      <c r="O9" s="129">
        <v>-37</v>
      </c>
      <c r="P9" s="128">
        <v>0</v>
      </c>
      <c r="Q9" s="128">
        <v>-1</v>
      </c>
      <c r="R9" s="128">
        <v>0</v>
      </c>
      <c r="S9" s="17">
        <v>-1.5E-3</v>
      </c>
      <c r="T9" s="17">
        <v>0</v>
      </c>
      <c r="U9" s="17">
        <v>0</v>
      </c>
      <c r="V9" s="65">
        <f t="shared" si="4"/>
        <v>50.736840000000008</v>
      </c>
      <c r="W9" s="358">
        <f t="shared" si="1"/>
        <v>0.73684000000000793</v>
      </c>
      <c r="AF9" s="27"/>
      <c r="AG9" s="9">
        <v>-6.0000000000000001E-3</v>
      </c>
      <c r="AH9" s="9">
        <v>6.5000000000000002E-2</v>
      </c>
      <c r="AI9" s="9">
        <v>2.1000000000000001E-2</v>
      </c>
      <c r="AJ9" s="7">
        <f t="shared" si="5"/>
        <v>-3.0000000000000001E-3</v>
      </c>
      <c r="AK9" s="177">
        <f t="shared" si="6"/>
        <v>4.9000000000000002E-2</v>
      </c>
      <c r="AL9" s="976">
        <f t="shared" si="7"/>
        <v>1.9000000000000003E-2</v>
      </c>
      <c r="AM9" s="969">
        <f t="shared" si="2"/>
        <v>-1.4486515123921791E-3</v>
      </c>
      <c r="AN9" s="972">
        <f t="shared" si="3"/>
        <v>-1.3195360788943679E-3</v>
      </c>
      <c r="AO9" s="1"/>
      <c r="AP9" s="135"/>
      <c r="AQ9" s="977">
        <f t="shared" si="8"/>
        <v>5.1348487607820979E-5</v>
      </c>
    </row>
    <row r="10" spans="1:44">
      <c r="A10" s="1"/>
      <c r="B10" s="6"/>
      <c r="C10" s="137">
        <v>0</v>
      </c>
      <c r="D10" s="402">
        <v>0</v>
      </c>
      <c r="E10" s="6">
        <v>4.5999999999999999E-2</v>
      </c>
      <c r="F10" s="8">
        <v>8.2000000000000003E-2</v>
      </c>
      <c r="G10" s="75">
        <f t="shared" si="0"/>
        <v>2.0000000000000018E-3</v>
      </c>
      <c r="H10" s="8">
        <v>3.1110000000000002</v>
      </c>
      <c r="I10" s="8">
        <v>0.16800000000000001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9">
        <v>1</v>
      </c>
      <c r="P10" s="128">
        <v>-1</v>
      </c>
      <c r="Q10" s="128">
        <v>1</v>
      </c>
      <c r="R10" s="128">
        <v>0</v>
      </c>
      <c r="S10" s="17">
        <v>0</v>
      </c>
      <c r="T10" s="17">
        <v>0</v>
      </c>
      <c r="U10" s="17">
        <v>0</v>
      </c>
      <c r="V10" s="65">
        <f t="shared" si="4"/>
        <v>0</v>
      </c>
      <c r="W10" s="358">
        <f t="shared" si="1"/>
        <v>2.0000000000000018</v>
      </c>
      <c r="AF10" s="27"/>
      <c r="AG10" s="9">
        <v>-8.0000000000000002E-3</v>
      </c>
      <c r="AH10" s="9">
        <v>1.7000000000000001E-2</v>
      </c>
      <c r="AI10" s="9">
        <v>-2E-3</v>
      </c>
      <c r="AJ10" s="7">
        <f t="shared" si="5"/>
        <v>-5.0000000000000001E-3</v>
      </c>
      <c r="AK10" s="177">
        <f t="shared" si="6"/>
        <v>1.0000000000000009E-3</v>
      </c>
      <c r="AL10" s="976">
        <f t="shared" si="7"/>
        <v>-4.0000000000000001E-3</v>
      </c>
      <c r="AM10" s="969">
        <f t="shared" si="2"/>
        <v>-2.9564316579432249E-5</v>
      </c>
      <c r="AN10" s="972">
        <f t="shared" si="3"/>
        <v>2.7779706924091951E-4</v>
      </c>
      <c r="AO10" s="1"/>
      <c r="AP10" s="135"/>
      <c r="AQ10" s="977">
        <f t="shared" si="8"/>
        <v>-2.9564316579432249E-5</v>
      </c>
    </row>
    <row r="11" spans="1:44">
      <c r="A11" s="1"/>
      <c r="B11" s="6"/>
      <c r="C11" s="137">
        <v>1.5E-3</v>
      </c>
      <c r="D11" s="402">
        <v>1.5E-3</v>
      </c>
      <c r="E11" s="6">
        <v>2.7E-2</v>
      </c>
      <c r="F11" s="8">
        <v>3.4000000000000002E-2</v>
      </c>
      <c r="G11" s="75">
        <f t="shared" si="0"/>
        <v>-4.5999999999999999E-2</v>
      </c>
      <c r="H11" s="8">
        <v>3.1110000000000002</v>
      </c>
      <c r="I11" s="8">
        <v>0.16600000000000001</v>
      </c>
      <c r="J11" s="127">
        <v>-31</v>
      </c>
      <c r="K11" s="128">
        <v>-31</v>
      </c>
      <c r="L11" s="128">
        <v>36</v>
      </c>
      <c r="M11" s="128">
        <v>-5</v>
      </c>
      <c r="N11" s="128">
        <v>-5</v>
      </c>
      <c r="O11" s="129">
        <v>37</v>
      </c>
      <c r="P11" s="128">
        <v>-1</v>
      </c>
      <c r="Q11" s="128">
        <v>1</v>
      </c>
      <c r="R11" s="128">
        <v>0</v>
      </c>
      <c r="S11" s="17">
        <v>1.5E-3</v>
      </c>
      <c r="T11" s="17">
        <v>0</v>
      </c>
      <c r="U11" s="17">
        <v>0</v>
      </c>
      <c r="V11" s="65">
        <f t="shared" si="4"/>
        <v>-50.736840000000008</v>
      </c>
      <c r="W11" s="358">
        <f t="shared" si="1"/>
        <v>4.7368400000000079</v>
      </c>
      <c r="AF11" s="27"/>
      <c r="AG11" s="9">
        <v>-8.9999999999999993E-3</v>
      </c>
      <c r="AH11" s="9">
        <v>-3.5000000000000003E-2</v>
      </c>
      <c r="AI11" s="9">
        <v>-2.8000000000000001E-2</v>
      </c>
      <c r="AJ11" s="7">
        <f t="shared" si="5"/>
        <v>-5.9999999999999993E-3</v>
      </c>
      <c r="AK11" s="177">
        <f t="shared" si="6"/>
        <v>-5.1000000000000004E-2</v>
      </c>
      <c r="AL11" s="976">
        <f t="shared" si="7"/>
        <v>-0.03</v>
      </c>
      <c r="AM11" s="969">
        <f t="shared" si="2"/>
        <v>1.5077801455510439E-3</v>
      </c>
      <c r="AN11" s="972">
        <f t="shared" si="3"/>
        <v>2.0834780193068961E-3</v>
      </c>
      <c r="AO11" s="1"/>
      <c r="AP11" s="135"/>
      <c r="AQ11" s="977">
        <f t="shared" si="8"/>
        <v>7.7801455510438568E-6</v>
      </c>
    </row>
    <row r="12" spans="1:44">
      <c r="A12" s="1"/>
      <c r="B12" s="6"/>
      <c r="C12" s="137">
        <v>0</v>
      </c>
      <c r="D12" s="402">
        <v>0</v>
      </c>
      <c r="E12" s="6">
        <v>4.8000000000000001E-2</v>
      </c>
      <c r="F12" s="8">
        <v>8.2000000000000003E-2</v>
      </c>
      <c r="G12" s="75">
        <f t="shared" si="0"/>
        <v>2.0000000000000018E-3</v>
      </c>
      <c r="H12" s="8">
        <v>3.1150000000000002</v>
      </c>
      <c r="I12" s="8">
        <v>0.17</v>
      </c>
      <c r="J12" s="127">
        <v>0</v>
      </c>
      <c r="K12" s="128">
        <v>0</v>
      </c>
      <c r="L12" s="128">
        <v>0</v>
      </c>
      <c r="M12" s="128">
        <v>0</v>
      </c>
      <c r="N12" s="128">
        <v>0</v>
      </c>
      <c r="O12" s="129">
        <v>-1</v>
      </c>
      <c r="P12" s="128">
        <v>0</v>
      </c>
      <c r="Q12" s="128">
        <v>-1</v>
      </c>
      <c r="R12" s="128">
        <v>0</v>
      </c>
      <c r="S12" s="17">
        <v>0</v>
      </c>
      <c r="T12" s="17">
        <v>0</v>
      </c>
      <c r="U12" s="17">
        <v>0</v>
      </c>
      <c r="V12" s="65">
        <f t="shared" si="4"/>
        <v>0</v>
      </c>
      <c r="W12" s="358">
        <f t="shared" si="1"/>
        <v>2.0000000000000018</v>
      </c>
      <c r="AF12" s="27"/>
      <c r="AG12" s="9">
        <v>-3.0000000000000001E-3</v>
      </c>
      <c r="AH12" s="9">
        <v>1.7999999999999999E-2</v>
      </c>
      <c r="AI12" s="9">
        <v>1E-3</v>
      </c>
      <c r="AJ12" s="7">
        <f t="shared" si="5"/>
        <v>0</v>
      </c>
      <c r="AK12" s="177">
        <f t="shared" si="6"/>
        <v>1.9999999999999983E-3</v>
      </c>
      <c r="AL12" s="976">
        <f t="shared" si="7"/>
        <v>-1E-3</v>
      </c>
      <c r="AM12" s="969">
        <f t="shared" si="2"/>
        <v>-5.9128633158864402E-5</v>
      </c>
      <c r="AN12" s="972">
        <f t="shared" si="3"/>
        <v>6.9449267310229878E-5</v>
      </c>
      <c r="AO12" s="1"/>
      <c r="AP12" s="135"/>
      <c r="AQ12" s="977">
        <f t="shared" si="8"/>
        <v>-5.9128633158864402E-5</v>
      </c>
    </row>
    <row r="13" spans="1:44">
      <c r="A13" s="1"/>
      <c r="B13" s="6"/>
      <c r="C13" s="137">
        <v>-1.5E-3</v>
      </c>
      <c r="D13" s="402">
        <v>-1.5E-3</v>
      </c>
      <c r="E13" s="6">
        <v>6.7000000000000004E-2</v>
      </c>
      <c r="F13" s="8">
        <v>0.13</v>
      </c>
      <c r="G13" s="75">
        <f t="shared" si="0"/>
        <v>0.05</v>
      </c>
      <c r="H13" s="8">
        <v>3.117</v>
      </c>
      <c r="I13" s="8">
        <v>0.17</v>
      </c>
      <c r="J13" s="127">
        <v>31</v>
      </c>
      <c r="K13" s="128">
        <v>31</v>
      </c>
      <c r="L13" s="128">
        <v>-37</v>
      </c>
      <c r="M13" s="128">
        <v>5</v>
      </c>
      <c r="N13" s="128">
        <v>5</v>
      </c>
      <c r="O13" s="129">
        <v>-37</v>
      </c>
      <c r="P13" s="128">
        <v>1</v>
      </c>
      <c r="Q13" s="128">
        <v>-1</v>
      </c>
      <c r="R13" s="128">
        <v>0</v>
      </c>
      <c r="S13" s="17">
        <v>-1.5E-3</v>
      </c>
      <c r="T13" s="17">
        <v>0</v>
      </c>
      <c r="U13" s="17">
        <v>0</v>
      </c>
      <c r="V13" s="65">
        <f t="shared" si="4"/>
        <v>50.736840000000008</v>
      </c>
      <c r="W13" s="358">
        <f t="shared" si="1"/>
        <v>0.73684000000000793</v>
      </c>
      <c r="AF13" s="27"/>
      <c r="AG13" s="9">
        <v>-6.0000000000000001E-3</v>
      </c>
      <c r="AH13" s="9">
        <v>6.5000000000000002E-2</v>
      </c>
      <c r="AI13" s="9">
        <v>2.1999999999999999E-2</v>
      </c>
      <c r="AJ13" s="7">
        <f t="shared" si="5"/>
        <v>-3.0000000000000001E-3</v>
      </c>
      <c r="AK13" s="177">
        <f t="shared" si="6"/>
        <v>4.9000000000000002E-2</v>
      </c>
      <c r="AL13" s="976">
        <f t="shared" si="7"/>
        <v>1.9999999999999997E-2</v>
      </c>
      <c r="AM13" s="969">
        <f t="shared" si="2"/>
        <v>-1.4486515123921791E-3</v>
      </c>
      <c r="AN13" s="972">
        <f t="shared" si="3"/>
        <v>-1.3889853462045972E-3</v>
      </c>
      <c r="AO13" s="1"/>
      <c r="AP13" s="135"/>
      <c r="AQ13" s="977">
        <f t="shared" si="8"/>
        <v>5.1348487607820979E-5</v>
      </c>
    </row>
    <row r="14" spans="1:44">
      <c r="A14" s="1"/>
      <c r="B14" s="6"/>
      <c r="C14" s="137">
        <v>0</v>
      </c>
      <c r="D14" s="402">
        <v>0</v>
      </c>
      <c r="E14" s="6">
        <v>4.5999999999999999E-2</v>
      </c>
      <c r="F14" s="8">
        <v>8.3000000000000004E-2</v>
      </c>
      <c r="G14" s="75">
        <f t="shared" si="0"/>
        <v>3.0000000000000027E-3</v>
      </c>
      <c r="H14" s="8">
        <v>3.11</v>
      </c>
      <c r="I14" s="8">
        <v>0.16700000000000001</v>
      </c>
      <c r="J14" s="127">
        <v>0</v>
      </c>
      <c r="K14" s="128">
        <v>0</v>
      </c>
      <c r="L14" s="128">
        <v>0</v>
      </c>
      <c r="M14" s="128">
        <v>0</v>
      </c>
      <c r="N14" s="128">
        <v>0</v>
      </c>
      <c r="O14" s="129">
        <v>0</v>
      </c>
      <c r="P14" s="128">
        <v>-1</v>
      </c>
      <c r="Q14" s="128">
        <v>1</v>
      </c>
      <c r="R14" s="128">
        <v>0</v>
      </c>
      <c r="S14" s="17">
        <v>0</v>
      </c>
      <c r="T14" s="17">
        <v>0</v>
      </c>
      <c r="U14" s="17">
        <v>0</v>
      </c>
      <c r="V14" s="65">
        <f t="shared" si="4"/>
        <v>0</v>
      </c>
      <c r="W14" s="358">
        <f t="shared" si="1"/>
        <v>3.0000000000000027</v>
      </c>
      <c r="AF14" s="27"/>
      <c r="AG14" s="9">
        <v>-8.0000000000000002E-3</v>
      </c>
      <c r="AH14" s="9">
        <v>1.7000000000000001E-2</v>
      </c>
      <c r="AI14" s="9">
        <v>-2E-3</v>
      </c>
      <c r="AJ14" s="7">
        <f t="shared" si="5"/>
        <v>-5.0000000000000001E-3</v>
      </c>
      <c r="AK14" s="177">
        <f t="shared" si="6"/>
        <v>1.0000000000000009E-3</v>
      </c>
      <c r="AL14" s="976">
        <f t="shared" si="7"/>
        <v>-4.0000000000000001E-3</v>
      </c>
      <c r="AM14" s="969">
        <f t="shared" si="2"/>
        <v>-2.9564316579432249E-5</v>
      </c>
      <c r="AN14" s="972">
        <f t="shared" si="3"/>
        <v>2.7779706924091951E-4</v>
      </c>
      <c r="AO14" s="1"/>
      <c r="AP14" s="135"/>
      <c r="AQ14" s="977">
        <f t="shared" si="8"/>
        <v>-2.9564316579432249E-5</v>
      </c>
    </row>
    <row r="15" spans="1:44">
      <c r="A15" s="1"/>
      <c r="B15" s="6"/>
      <c r="C15" s="137">
        <v>1.5E-3</v>
      </c>
      <c r="D15" s="402">
        <v>1.5E-3</v>
      </c>
      <c r="E15" s="6">
        <v>2.7E-2</v>
      </c>
      <c r="F15" s="8">
        <v>3.5000000000000003E-2</v>
      </c>
      <c r="G15" s="75">
        <f t="shared" si="0"/>
        <v>-4.4999999999999998E-2</v>
      </c>
      <c r="H15" s="8">
        <v>3.1110000000000002</v>
      </c>
      <c r="I15" s="8">
        <v>0.16600000000000001</v>
      </c>
      <c r="J15" s="127">
        <v>-31</v>
      </c>
      <c r="K15" s="128">
        <v>-31</v>
      </c>
      <c r="L15" s="128">
        <v>36</v>
      </c>
      <c r="M15" s="128">
        <v>-5</v>
      </c>
      <c r="N15" s="128">
        <v>-5</v>
      </c>
      <c r="O15" s="129">
        <v>37</v>
      </c>
      <c r="P15" s="128">
        <v>-1</v>
      </c>
      <c r="Q15" s="128">
        <v>1</v>
      </c>
      <c r="R15" s="128">
        <v>0</v>
      </c>
      <c r="S15" s="17">
        <v>1.5E-3</v>
      </c>
      <c r="T15" s="17">
        <v>0</v>
      </c>
      <c r="U15" s="17">
        <v>0</v>
      </c>
      <c r="V15" s="65">
        <f t="shared" si="4"/>
        <v>-50.736840000000008</v>
      </c>
      <c r="W15" s="358">
        <f t="shared" si="1"/>
        <v>5.7368400000000079</v>
      </c>
      <c r="AF15" s="27"/>
      <c r="AG15" s="9">
        <v>-8.9999999999999993E-3</v>
      </c>
      <c r="AH15" s="9">
        <v>-3.5000000000000003E-2</v>
      </c>
      <c r="AI15" s="9">
        <v>-2.7E-2</v>
      </c>
      <c r="AJ15" s="7">
        <f t="shared" si="5"/>
        <v>-5.9999999999999993E-3</v>
      </c>
      <c r="AK15" s="177">
        <f t="shared" si="6"/>
        <v>-5.1000000000000004E-2</v>
      </c>
      <c r="AL15" s="976">
        <f t="shared" si="7"/>
        <v>-2.8999999999999998E-2</v>
      </c>
      <c r="AM15" s="969">
        <f t="shared" si="2"/>
        <v>1.5077801455510439E-3</v>
      </c>
      <c r="AN15" s="972">
        <f t="shared" si="3"/>
        <v>2.0140287519966665E-3</v>
      </c>
      <c r="AO15" s="1"/>
      <c r="AP15" s="135"/>
      <c r="AQ15" s="977">
        <f t="shared" si="8"/>
        <v>7.7801455510438568E-6</v>
      </c>
    </row>
    <row r="16" spans="1:44">
      <c r="A16" s="1"/>
      <c r="B16" s="6"/>
      <c r="C16" s="137">
        <v>0</v>
      </c>
      <c r="D16" s="402">
        <v>0</v>
      </c>
      <c r="E16" s="6">
        <v>4.8000000000000001E-2</v>
      </c>
      <c r="F16" s="8">
        <v>8.3000000000000004E-2</v>
      </c>
      <c r="G16" s="75">
        <f t="shared" si="0"/>
        <v>3.0000000000000027E-3</v>
      </c>
      <c r="H16" s="8">
        <v>3.1150000000000002</v>
      </c>
      <c r="I16" s="8">
        <v>0.16800000000000001</v>
      </c>
      <c r="J16" s="127">
        <v>0</v>
      </c>
      <c r="K16" s="128">
        <v>0</v>
      </c>
      <c r="L16" s="128">
        <v>0</v>
      </c>
      <c r="M16" s="128">
        <v>0</v>
      </c>
      <c r="N16" s="128">
        <v>0</v>
      </c>
      <c r="O16" s="129">
        <v>-1</v>
      </c>
      <c r="P16" s="128">
        <v>0</v>
      </c>
      <c r="Q16" s="128">
        <v>-1</v>
      </c>
      <c r="R16" s="128">
        <v>0</v>
      </c>
      <c r="S16" s="17">
        <v>0</v>
      </c>
      <c r="T16" s="17">
        <v>0</v>
      </c>
      <c r="U16" s="17">
        <v>0</v>
      </c>
      <c r="V16" s="65">
        <f t="shared" si="4"/>
        <v>0</v>
      </c>
      <c r="W16" s="358">
        <f t="shared" si="1"/>
        <v>3.0000000000000027</v>
      </c>
      <c r="AF16" s="27"/>
      <c r="AG16" s="9">
        <v>-3.0000000000000001E-3</v>
      </c>
      <c r="AH16" s="9">
        <v>1.7999999999999999E-2</v>
      </c>
      <c r="AI16" s="9">
        <v>2E-3</v>
      </c>
      <c r="AJ16" s="7">
        <f t="shared" si="5"/>
        <v>0</v>
      </c>
      <c r="AK16" s="177">
        <f t="shared" si="6"/>
        <v>1.9999999999999983E-3</v>
      </c>
      <c r="AL16" s="976">
        <f t="shared" si="7"/>
        <v>0</v>
      </c>
      <c r="AM16" s="969">
        <f t="shared" si="2"/>
        <v>-5.9128633158864402E-5</v>
      </c>
      <c r="AN16" s="972">
        <f t="shared" si="3"/>
        <v>0</v>
      </c>
      <c r="AO16" s="1"/>
      <c r="AP16" s="135"/>
      <c r="AQ16" s="977">
        <f t="shared" si="8"/>
        <v>-5.9128633158864402E-5</v>
      </c>
    </row>
    <row r="17" spans="1:43">
      <c r="A17" s="1"/>
      <c r="B17" s="6"/>
      <c r="C17" s="137">
        <v>-1.5E-3</v>
      </c>
      <c r="D17" s="402">
        <v>-1.5E-3</v>
      </c>
      <c r="E17" s="6">
        <v>6.7000000000000004E-2</v>
      </c>
      <c r="F17" s="8">
        <v>0.13100000000000001</v>
      </c>
      <c r="G17" s="75">
        <f t="shared" si="0"/>
        <v>5.1000000000000004E-2</v>
      </c>
      <c r="H17" s="8">
        <v>3.117</v>
      </c>
      <c r="I17" s="8">
        <v>0.17</v>
      </c>
      <c r="J17" s="127">
        <v>31</v>
      </c>
      <c r="K17" s="128">
        <v>31</v>
      </c>
      <c r="L17" s="128">
        <v>-37</v>
      </c>
      <c r="M17" s="128">
        <v>5</v>
      </c>
      <c r="N17" s="128">
        <v>5</v>
      </c>
      <c r="O17" s="129">
        <v>-37</v>
      </c>
      <c r="P17" s="128">
        <v>0</v>
      </c>
      <c r="Q17" s="128">
        <v>-1</v>
      </c>
      <c r="R17" s="128">
        <v>0</v>
      </c>
      <c r="S17" s="17">
        <v>-1.5E-3</v>
      </c>
      <c r="T17" s="17">
        <v>0</v>
      </c>
      <c r="U17" s="17">
        <v>0</v>
      </c>
      <c r="V17" s="65">
        <f t="shared" si="4"/>
        <v>50.736840000000008</v>
      </c>
      <c r="W17" s="358">
        <f t="shared" si="1"/>
        <v>0.26315999999999917</v>
      </c>
      <c r="AF17" s="27"/>
      <c r="AG17" s="9">
        <v>-6.0000000000000001E-3</v>
      </c>
      <c r="AH17" s="9">
        <v>6.4000000000000001E-2</v>
      </c>
      <c r="AI17" s="9">
        <v>2.3E-2</v>
      </c>
      <c r="AJ17" s="7">
        <f t="shared" si="5"/>
        <v>-3.0000000000000001E-3</v>
      </c>
      <c r="AK17" s="177">
        <f t="shared" si="6"/>
        <v>4.8000000000000001E-2</v>
      </c>
      <c r="AL17" s="976">
        <f t="shared" si="7"/>
        <v>2.0999999999999998E-2</v>
      </c>
      <c r="AM17" s="969">
        <f t="shared" si="2"/>
        <v>-1.419087195812747E-3</v>
      </c>
      <c r="AN17" s="972">
        <f t="shared" si="3"/>
        <v>-1.4584346135148275E-3</v>
      </c>
      <c r="AO17" s="1"/>
      <c r="AP17" s="135"/>
      <c r="AQ17" s="977">
        <f t="shared" si="8"/>
        <v>8.0912804187253072E-5</v>
      </c>
    </row>
    <row r="18" spans="1:43">
      <c r="A18" s="1"/>
      <c r="B18" s="6"/>
      <c r="C18" s="137">
        <v>0</v>
      </c>
      <c r="D18" s="402">
        <v>0</v>
      </c>
      <c r="E18" s="6">
        <v>4.5999999999999999E-2</v>
      </c>
      <c r="F18" s="8">
        <v>8.3000000000000004E-2</v>
      </c>
      <c r="G18" s="75">
        <f t="shared" si="0"/>
        <v>3.0000000000000027E-3</v>
      </c>
      <c r="H18" s="8">
        <v>3.11</v>
      </c>
      <c r="I18" s="8">
        <v>0.16800000000000001</v>
      </c>
      <c r="J18" s="127">
        <v>0</v>
      </c>
      <c r="K18" s="128">
        <v>0</v>
      </c>
      <c r="L18" s="128">
        <v>0</v>
      </c>
      <c r="M18" s="128">
        <v>0</v>
      </c>
      <c r="N18" s="128">
        <v>0</v>
      </c>
      <c r="O18" s="129">
        <v>0</v>
      </c>
      <c r="P18" s="128">
        <v>-1</v>
      </c>
      <c r="Q18" s="128">
        <v>1</v>
      </c>
      <c r="R18" s="128">
        <v>0</v>
      </c>
      <c r="S18" s="17">
        <v>0</v>
      </c>
      <c r="T18" s="17">
        <v>0</v>
      </c>
      <c r="U18" s="17">
        <v>0</v>
      </c>
      <c r="V18" s="65">
        <f t="shared" si="4"/>
        <v>0</v>
      </c>
      <c r="W18" s="358">
        <f t="shared" si="1"/>
        <v>3.0000000000000027</v>
      </c>
      <c r="AF18" s="27"/>
      <c r="AG18" s="9">
        <v>-8.9999999999999993E-3</v>
      </c>
      <c r="AH18" s="9">
        <v>1.6E-2</v>
      </c>
      <c r="AI18" s="9">
        <v>-1E-3</v>
      </c>
      <c r="AJ18" s="7">
        <f t="shared" si="5"/>
        <v>-5.9999999999999993E-3</v>
      </c>
      <c r="AK18" s="177">
        <f t="shared" si="6"/>
        <v>0</v>
      </c>
      <c r="AL18" s="976">
        <f t="shared" si="7"/>
        <v>-3.0000000000000001E-3</v>
      </c>
      <c r="AM18" s="969">
        <f t="shared" si="2"/>
        <v>0</v>
      </c>
      <c r="AN18" s="972">
        <f t="shared" si="3"/>
        <v>2.0834780193068966E-4</v>
      </c>
      <c r="AO18" s="1"/>
      <c r="AP18" s="135"/>
      <c r="AQ18" s="977">
        <f t="shared" si="8"/>
        <v>0</v>
      </c>
    </row>
    <row r="19" spans="1:43">
      <c r="A19" s="1"/>
      <c r="B19" s="6"/>
      <c r="C19" s="175"/>
      <c r="D19" s="131"/>
      <c r="E19" s="76" t="s">
        <v>238</v>
      </c>
      <c r="F19" s="415"/>
      <c r="G19" s="415"/>
      <c r="H19" s="415"/>
      <c r="I19" s="415"/>
      <c r="J19" s="125"/>
      <c r="K19" s="121"/>
      <c r="L19" s="121"/>
      <c r="M19" s="121"/>
      <c r="N19" s="980" t="s">
        <v>231</v>
      </c>
      <c r="O19" s="906" t="s">
        <v>228</v>
      </c>
      <c r="P19" s="906" t="s">
        <v>235</v>
      </c>
      <c r="Q19" s="83"/>
      <c r="R19" s="83" t="s">
        <v>233</v>
      </c>
      <c r="S19" s="83">
        <f>1938*0.0003276*3.1416/180</f>
        <v>1.1080925856E-2</v>
      </c>
      <c r="T19" s="83" t="s">
        <v>203</v>
      </c>
      <c r="U19" s="345" t="s">
        <v>207</v>
      </c>
      <c r="V19" s="414"/>
      <c r="W19" s="406"/>
      <c r="AF19" s="27"/>
      <c r="AJ19" s="6"/>
      <c r="AM19" s="963">
        <f>AVERAGE(AM7,-AM9,AM11,-AM13,AM15,-AM17)</f>
        <v>1.4782158289716114E-3</v>
      </c>
      <c r="AN19" s="973">
        <f>AVERAGE(AN7,-AN9,AN11,-AN13,AN15,-AN17)</f>
        <v>1.7130819269856705E-3</v>
      </c>
      <c r="AO19" s="3"/>
      <c r="AP19" s="4"/>
      <c r="AQ19" s="983">
        <f>AM19-0.0015</f>
        <v>-2.178417102838867E-5</v>
      </c>
    </row>
    <row r="20" spans="1:43">
      <c r="A20" s="1"/>
      <c r="B20" s="10"/>
      <c r="C20" s="139" t="s">
        <v>4</v>
      </c>
      <c r="D20" s="417" t="s">
        <v>224</v>
      </c>
      <c r="E20" s="139" t="s">
        <v>226</v>
      </c>
      <c r="F20" s="376" t="s">
        <v>166</v>
      </c>
      <c r="G20" s="407" t="s">
        <v>168</v>
      </c>
      <c r="H20" s="407" t="s">
        <v>242</v>
      </c>
      <c r="I20" s="416" t="s">
        <v>0</v>
      </c>
      <c r="J20" s="126"/>
      <c r="K20" s="123"/>
      <c r="L20" s="123"/>
      <c r="M20" s="123"/>
      <c r="N20" s="123"/>
      <c r="O20" s="124"/>
      <c r="P20" s="123"/>
      <c r="Q20" s="123"/>
      <c r="R20" s="123"/>
      <c r="S20" s="19"/>
      <c r="T20" s="19"/>
      <c r="U20" s="19"/>
      <c r="V20" s="413" t="s">
        <v>221</v>
      </c>
      <c r="W20" s="412" t="s">
        <v>4</v>
      </c>
      <c r="Z20" s="13"/>
      <c r="AF20" s="27"/>
      <c r="AJ20" s="6"/>
      <c r="AM20" s="962"/>
      <c r="AN20" s="31"/>
      <c r="AO20" s="1"/>
      <c r="AP20" s="135"/>
      <c r="AQ20" s="977"/>
    </row>
    <row r="21" spans="1:43">
      <c r="A21" s="1"/>
      <c r="B21" s="2"/>
      <c r="C21" s="138">
        <v>0</v>
      </c>
      <c r="D21" s="133">
        <v>0</v>
      </c>
      <c r="E21" s="2">
        <v>3.0990000000000002</v>
      </c>
      <c r="F21" s="120">
        <v>6.4000000000000001E-2</v>
      </c>
      <c r="G21" s="120">
        <v>2.8000000000000001E-2</v>
      </c>
      <c r="H21" s="120">
        <v>0.16500000000000001</v>
      </c>
      <c r="I21" s="3"/>
      <c r="J21" s="130">
        <v>0</v>
      </c>
      <c r="K21" s="118">
        <v>0</v>
      </c>
      <c r="L21" s="118">
        <v>0</v>
      </c>
      <c r="M21" s="118">
        <v>0</v>
      </c>
      <c r="N21" s="118">
        <v>0</v>
      </c>
      <c r="O21" s="119">
        <v>0</v>
      </c>
      <c r="P21" s="118">
        <v>0</v>
      </c>
      <c r="Q21" s="118">
        <v>0</v>
      </c>
      <c r="R21" s="118">
        <v>0</v>
      </c>
      <c r="S21" s="28">
        <v>0</v>
      </c>
      <c r="T21" s="28">
        <v>0</v>
      </c>
      <c r="U21" s="28">
        <v>0</v>
      </c>
      <c r="V21" s="246">
        <v>0</v>
      </c>
      <c r="W21" s="356" t="s">
        <v>215</v>
      </c>
      <c r="Y21" s="905" t="s">
        <v>228</v>
      </c>
      <c r="Z21" s="906" t="s">
        <v>229</v>
      </c>
      <c r="AA21" s="83" t="s">
        <v>205</v>
      </c>
      <c r="AB21" s="83" t="s">
        <v>210</v>
      </c>
      <c r="AC21" s="83">
        <f>1938*0.0003276*3.1416/180</f>
        <v>1.1080925856E-2</v>
      </c>
      <c r="AD21" s="83" t="s">
        <v>203</v>
      </c>
      <c r="AE21" s="83" t="s">
        <v>207</v>
      </c>
      <c r="AF21" s="27"/>
      <c r="AG21" s="120">
        <v>-8.9999999999999993E-3</v>
      </c>
      <c r="AH21" s="120">
        <v>1.6E-2</v>
      </c>
      <c r="AI21" s="120">
        <v>-1E-3</v>
      </c>
      <c r="AJ21" s="959">
        <f>AG21--0.009</f>
        <v>0</v>
      </c>
      <c r="AK21" s="120">
        <f>AH21-0.016</f>
        <v>0</v>
      </c>
      <c r="AL21" s="120">
        <f>AI21--0.001</f>
        <v>0</v>
      </c>
      <c r="AM21" s="963"/>
      <c r="AN21" s="33"/>
      <c r="AO21" s="978">
        <f>AJ21*180/1527.5/3.1416</f>
        <v>0</v>
      </c>
      <c r="AP21" s="4"/>
      <c r="AQ21" s="977"/>
    </row>
    <row r="22" spans="1:43">
      <c r="A22" s="1"/>
      <c r="C22" s="137">
        <v>1.5E-3</v>
      </c>
      <c r="D22" s="402">
        <v>1.5E-3</v>
      </c>
      <c r="E22" s="7">
        <v>3.0760000000000001</v>
      </c>
      <c r="F22" s="8">
        <v>5.8000000000000003E-2</v>
      </c>
      <c r="G22" s="8">
        <v>2.8000000000000001E-2</v>
      </c>
      <c r="H22" s="8">
        <v>0.21</v>
      </c>
      <c r="I22" s="177">
        <f t="shared" ref="I22:I33" si="9">H22-RepRy</f>
        <v>4.4999999999999984E-2</v>
      </c>
      <c r="J22" s="127">
        <v>-25</v>
      </c>
      <c r="K22" s="128">
        <v>25</v>
      </c>
      <c r="L22" s="128">
        <v>-15</v>
      </c>
      <c r="M22" s="128">
        <v>-39</v>
      </c>
      <c r="N22" s="128">
        <v>39</v>
      </c>
      <c r="O22" s="129">
        <v>15</v>
      </c>
      <c r="P22" s="128">
        <v>0</v>
      </c>
      <c r="Q22" s="128">
        <v>0</v>
      </c>
      <c r="R22" s="128">
        <v>0</v>
      </c>
      <c r="S22" s="17">
        <v>0</v>
      </c>
      <c r="T22" s="17">
        <v>1.5E-3</v>
      </c>
      <c r="U22" s="17">
        <v>0</v>
      </c>
      <c r="V22" s="65">
        <f>(D22*1938*3.1416/180)*1000</f>
        <v>50.736840000000008</v>
      </c>
      <c r="W22" s="358">
        <f t="shared" ref="W22:W33" si="10">ABS(I22*1000-V22)</f>
        <v>5.7368400000000221</v>
      </c>
      <c r="AF22" s="27"/>
      <c r="AG22" s="9">
        <v>2.7E-2</v>
      </c>
      <c r="AH22" s="9">
        <v>1.4E-2</v>
      </c>
      <c r="AI22" s="9">
        <v>-3.0000000000000001E-3</v>
      </c>
      <c r="AJ22" s="78">
        <f t="shared" ref="AJ22:AJ33" si="11">AG22--0.009</f>
        <v>3.5999999999999997E-2</v>
      </c>
      <c r="AK22" s="9">
        <f t="shared" ref="AK22:AK33" si="12">AH22-0.016</f>
        <v>-2E-3</v>
      </c>
      <c r="AL22" s="9">
        <f t="shared" ref="AL22:AL33" si="13">AI22--0.001</f>
        <v>-2E-3</v>
      </c>
      <c r="AM22" s="962"/>
      <c r="AN22" s="31"/>
      <c r="AO22" s="979">
        <f t="shared" ref="AO22:AO33" si="14">AJ22*180/1527.5/3.1416</f>
        <v>1.3503392727422766E-3</v>
      </c>
      <c r="AP22" s="135"/>
      <c r="AQ22" s="977">
        <f>AO22-C22</f>
        <v>-1.4966072725772347E-4</v>
      </c>
    </row>
    <row r="23" spans="1:43">
      <c r="A23" s="1"/>
      <c r="B23" s="6"/>
      <c r="C23" s="137">
        <v>0</v>
      </c>
      <c r="D23" s="402">
        <v>0</v>
      </c>
      <c r="E23" s="7">
        <v>3.101</v>
      </c>
      <c r="F23" s="8">
        <v>6.3E-2</v>
      </c>
      <c r="G23" s="8">
        <v>2.9000000000000001E-2</v>
      </c>
      <c r="H23" s="8">
        <v>0.16600000000000001</v>
      </c>
      <c r="I23" s="177">
        <f t="shared" si="9"/>
        <v>1.0000000000000009E-3</v>
      </c>
      <c r="J23" s="127">
        <v>0</v>
      </c>
      <c r="K23" s="128">
        <v>0</v>
      </c>
      <c r="L23" s="128">
        <v>0</v>
      </c>
      <c r="M23" s="128">
        <v>0</v>
      </c>
      <c r="N23" s="128">
        <v>0</v>
      </c>
      <c r="O23" s="129">
        <v>0</v>
      </c>
      <c r="P23" s="128">
        <v>0</v>
      </c>
      <c r="Q23" s="128">
        <v>0</v>
      </c>
      <c r="R23" s="128">
        <v>0</v>
      </c>
      <c r="S23" s="17">
        <v>0</v>
      </c>
      <c r="T23" s="17">
        <v>0</v>
      </c>
      <c r="U23" s="17">
        <v>0</v>
      </c>
      <c r="V23" s="65">
        <f t="shared" ref="V23:V33" si="15">(D23*1938*3.1416/180)*1000</f>
        <v>0</v>
      </c>
      <c r="W23" s="358">
        <f t="shared" si="10"/>
        <v>1.0000000000000009</v>
      </c>
      <c r="AF23" s="27"/>
      <c r="AG23" s="9">
        <v>-1E-3</v>
      </c>
      <c r="AH23" s="9">
        <v>0.02</v>
      </c>
      <c r="AI23" s="9">
        <v>1E-3</v>
      </c>
      <c r="AJ23" s="78">
        <f t="shared" si="11"/>
        <v>8.0000000000000002E-3</v>
      </c>
      <c r="AK23" s="9">
        <f t="shared" si="12"/>
        <v>4.0000000000000001E-3</v>
      </c>
      <c r="AL23" s="9">
        <f t="shared" si="13"/>
        <v>2E-3</v>
      </c>
      <c r="AM23" s="962"/>
      <c r="AN23" s="31"/>
      <c r="AO23" s="979">
        <f t="shared" si="14"/>
        <v>3.0007539394272812E-4</v>
      </c>
      <c r="AP23" s="135"/>
      <c r="AQ23" s="977">
        <f t="shared" ref="AQ23:AQ33" si="16">AO23-C23</f>
        <v>3.0007539394272812E-4</v>
      </c>
    </row>
    <row r="24" spans="1:43">
      <c r="A24" s="1"/>
      <c r="B24" s="6"/>
      <c r="C24" s="137">
        <v>-1.5E-3</v>
      </c>
      <c r="D24" s="402">
        <v>-1.5E-3</v>
      </c>
      <c r="E24" s="7">
        <v>3.1230000000000002</v>
      </c>
      <c r="F24" s="8">
        <v>6.3E-2</v>
      </c>
      <c r="G24" s="8">
        <v>0.03</v>
      </c>
      <c r="H24" s="8">
        <v>0.11799999999999999</v>
      </c>
      <c r="I24" s="177">
        <f t="shared" si="9"/>
        <v>-4.7000000000000014E-2</v>
      </c>
      <c r="J24" s="127">
        <v>24</v>
      </c>
      <c r="K24" s="128">
        <v>-25</v>
      </c>
      <c r="L24" s="128">
        <v>15</v>
      </c>
      <c r="M24" s="128">
        <v>39</v>
      </c>
      <c r="N24" s="128">
        <v>-39</v>
      </c>
      <c r="O24" s="129">
        <v>-15</v>
      </c>
      <c r="P24" s="151">
        <v>0</v>
      </c>
      <c r="Q24" s="151">
        <v>0</v>
      </c>
      <c r="R24" s="151">
        <v>0</v>
      </c>
      <c r="S24" s="147">
        <v>0</v>
      </c>
      <c r="T24" s="147">
        <v>-1.5E-3</v>
      </c>
      <c r="U24" s="17">
        <v>0</v>
      </c>
      <c r="V24" s="65">
        <f t="shared" si="15"/>
        <v>-50.736840000000008</v>
      </c>
      <c r="W24" s="358">
        <f t="shared" si="10"/>
        <v>3.7368399999999937</v>
      </c>
      <c r="AF24" s="27"/>
      <c r="AG24" s="9">
        <v>-3.7999999999999999E-2</v>
      </c>
      <c r="AH24" s="9">
        <v>1.9E-2</v>
      </c>
      <c r="AI24" s="9">
        <v>1E-3</v>
      </c>
      <c r="AJ24" s="78">
        <f t="shared" si="11"/>
        <v>-2.8999999999999998E-2</v>
      </c>
      <c r="AK24" s="9">
        <f t="shared" si="12"/>
        <v>2.9999999999999992E-3</v>
      </c>
      <c r="AL24" s="9">
        <f t="shared" si="13"/>
        <v>2E-3</v>
      </c>
      <c r="AM24" s="962"/>
      <c r="AN24" s="31"/>
      <c r="AO24" s="979">
        <f t="shared" si="14"/>
        <v>-1.0877733030423894E-3</v>
      </c>
      <c r="AP24" s="135"/>
      <c r="AQ24" s="977">
        <f>AO24-C24</f>
        <v>4.1222669695761068E-4</v>
      </c>
    </row>
    <row r="25" spans="1:43">
      <c r="A25" s="1"/>
      <c r="B25" s="6"/>
      <c r="C25" s="137">
        <v>0</v>
      </c>
      <c r="D25" s="402">
        <v>0</v>
      </c>
      <c r="E25" s="7">
        <v>3.0979999999999999</v>
      </c>
      <c r="F25" s="8">
        <v>5.6000000000000001E-2</v>
      </c>
      <c r="G25" s="8">
        <v>0.03</v>
      </c>
      <c r="H25" s="8">
        <v>0.16300000000000001</v>
      </c>
      <c r="I25" s="177">
        <f t="shared" si="9"/>
        <v>-2.0000000000000018E-3</v>
      </c>
      <c r="J25" s="127">
        <v>0</v>
      </c>
      <c r="K25" s="128">
        <v>0</v>
      </c>
      <c r="L25" s="128">
        <v>0</v>
      </c>
      <c r="M25" s="128">
        <v>0</v>
      </c>
      <c r="N25" s="128">
        <v>0</v>
      </c>
      <c r="O25" s="129">
        <v>1</v>
      </c>
      <c r="P25" s="128">
        <v>0</v>
      </c>
      <c r="Q25" s="128">
        <v>0</v>
      </c>
      <c r="R25" s="128">
        <v>0</v>
      </c>
      <c r="S25" s="17">
        <v>0</v>
      </c>
      <c r="T25" s="17">
        <v>0</v>
      </c>
      <c r="U25" s="17">
        <v>0</v>
      </c>
      <c r="V25" s="65">
        <f t="shared" si="15"/>
        <v>0</v>
      </c>
      <c r="W25" s="358">
        <f t="shared" si="10"/>
        <v>2.0000000000000018</v>
      </c>
      <c r="AF25" s="27"/>
      <c r="AG25" s="9">
        <v>-0.01</v>
      </c>
      <c r="AH25" s="9">
        <v>1.7000000000000001E-2</v>
      </c>
      <c r="AI25" s="9">
        <v>0</v>
      </c>
      <c r="AJ25" s="78">
        <f t="shared" si="11"/>
        <v>-1.0000000000000009E-3</v>
      </c>
      <c r="AK25" s="9">
        <f t="shared" si="12"/>
        <v>1.0000000000000009E-3</v>
      </c>
      <c r="AL25" s="9">
        <f t="shared" si="13"/>
        <v>1E-3</v>
      </c>
      <c r="AM25" s="962"/>
      <c r="AN25" s="31"/>
      <c r="AO25" s="979">
        <f t="shared" si="14"/>
        <v>-3.7509424242841049E-5</v>
      </c>
      <c r="AP25" s="135"/>
      <c r="AQ25" s="977">
        <f t="shared" si="16"/>
        <v>-3.7509424242841049E-5</v>
      </c>
    </row>
    <row r="26" spans="1:43">
      <c r="A26" s="1"/>
      <c r="B26" s="6"/>
      <c r="C26" s="137">
        <v>1.5E-3</v>
      </c>
      <c r="D26" s="402">
        <v>1.5E-3</v>
      </c>
      <c r="E26" s="7">
        <v>3.077</v>
      </c>
      <c r="F26" s="8">
        <v>5.7000000000000002E-2</v>
      </c>
      <c r="G26" s="8">
        <v>0.03</v>
      </c>
      <c r="H26" s="8">
        <v>0.21</v>
      </c>
      <c r="I26" s="177">
        <f t="shared" si="9"/>
        <v>4.4999999999999984E-2</v>
      </c>
      <c r="J26" s="127">
        <v>-25</v>
      </c>
      <c r="K26" s="128">
        <v>25</v>
      </c>
      <c r="L26" s="128">
        <v>-15</v>
      </c>
      <c r="M26" s="128">
        <v>-39</v>
      </c>
      <c r="N26" s="128">
        <v>39</v>
      </c>
      <c r="O26" s="129">
        <v>15</v>
      </c>
      <c r="P26" s="128">
        <v>0</v>
      </c>
      <c r="Q26" s="128">
        <v>0</v>
      </c>
      <c r="R26" s="128">
        <v>0</v>
      </c>
      <c r="S26" s="17">
        <v>0</v>
      </c>
      <c r="T26" s="17">
        <v>1.5E-3</v>
      </c>
      <c r="U26" s="17">
        <v>0</v>
      </c>
      <c r="V26" s="65">
        <f t="shared" si="15"/>
        <v>50.736840000000008</v>
      </c>
      <c r="W26" s="358">
        <f t="shared" si="10"/>
        <v>5.7368400000000221</v>
      </c>
      <c r="AF26" s="27"/>
      <c r="AG26" s="9">
        <v>2.7E-2</v>
      </c>
      <c r="AH26" s="9">
        <v>1.4999999999999999E-2</v>
      </c>
      <c r="AI26" s="9">
        <v>-3.0000000000000001E-3</v>
      </c>
      <c r="AJ26" s="78">
        <f t="shared" si="11"/>
        <v>3.5999999999999997E-2</v>
      </c>
      <c r="AK26" s="9">
        <f t="shared" si="12"/>
        <v>-1.0000000000000009E-3</v>
      </c>
      <c r="AL26" s="9">
        <f t="shared" si="13"/>
        <v>-2E-3</v>
      </c>
      <c r="AM26" s="962"/>
      <c r="AN26" s="31"/>
      <c r="AO26" s="979">
        <f t="shared" si="14"/>
        <v>1.3503392727422766E-3</v>
      </c>
      <c r="AP26" s="135"/>
      <c r="AQ26" s="977">
        <f t="shared" si="16"/>
        <v>-1.4966072725772347E-4</v>
      </c>
    </row>
    <row r="27" spans="1:43">
      <c r="A27" s="1"/>
      <c r="B27" s="6"/>
      <c r="C27" s="137">
        <v>0</v>
      </c>
      <c r="D27" s="402">
        <v>0</v>
      </c>
      <c r="E27" s="7">
        <v>3.1019999999999999</v>
      </c>
      <c r="F27" s="8">
        <v>6.2E-2</v>
      </c>
      <c r="G27" s="8">
        <v>2.9000000000000001E-2</v>
      </c>
      <c r="H27" s="8">
        <v>0.16500000000000001</v>
      </c>
      <c r="I27" s="177">
        <f t="shared" si="9"/>
        <v>0</v>
      </c>
      <c r="J27" s="127">
        <v>0</v>
      </c>
      <c r="K27" s="128">
        <v>0</v>
      </c>
      <c r="L27" s="128">
        <v>0</v>
      </c>
      <c r="M27" s="128">
        <v>0</v>
      </c>
      <c r="N27" s="128">
        <v>0</v>
      </c>
      <c r="O27" s="129">
        <v>0</v>
      </c>
      <c r="P27" s="128">
        <v>1</v>
      </c>
      <c r="Q27" s="128">
        <v>0</v>
      </c>
      <c r="R27" s="128">
        <v>0</v>
      </c>
      <c r="S27" s="17">
        <v>0</v>
      </c>
      <c r="T27" s="17">
        <v>0</v>
      </c>
      <c r="U27" s="17">
        <v>0</v>
      </c>
      <c r="V27" s="65">
        <f t="shared" si="15"/>
        <v>0</v>
      </c>
      <c r="W27" s="358">
        <f t="shared" si="10"/>
        <v>0</v>
      </c>
      <c r="AF27" s="27"/>
      <c r="AG27" s="9">
        <v>-2E-3</v>
      </c>
      <c r="AH27" s="9">
        <v>0.02</v>
      </c>
      <c r="AI27" s="9">
        <v>0</v>
      </c>
      <c r="AJ27" s="78">
        <f t="shared" si="11"/>
        <v>6.9999999999999993E-3</v>
      </c>
      <c r="AK27" s="9">
        <f t="shared" si="12"/>
        <v>4.0000000000000001E-3</v>
      </c>
      <c r="AL27" s="9">
        <f t="shared" si="13"/>
        <v>1E-3</v>
      </c>
      <c r="AM27" s="962"/>
      <c r="AN27" s="31"/>
      <c r="AO27" s="979">
        <f t="shared" si="14"/>
        <v>2.6256596969988704E-4</v>
      </c>
      <c r="AP27" s="135"/>
      <c r="AQ27" s="977">
        <f>AO27-C27</f>
        <v>2.6256596969988704E-4</v>
      </c>
    </row>
    <row r="28" spans="1:43">
      <c r="A28" s="1"/>
      <c r="B28" s="6"/>
      <c r="C28" s="137">
        <v>-1.5E-3</v>
      </c>
      <c r="D28" s="402">
        <v>-1.5E-3</v>
      </c>
      <c r="E28" s="7">
        <v>3.1230000000000002</v>
      </c>
      <c r="F28" s="8">
        <v>6.2E-2</v>
      </c>
      <c r="G28" s="8">
        <v>3.1E-2</v>
      </c>
      <c r="H28" s="8">
        <v>0.11799999999999999</v>
      </c>
      <c r="I28" s="177">
        <f t="shared" si="9"/>
        <v>-4.7000000000000014E-2</v>
      </c>
      <c r="J28" s="127">
        <v>24</v>
      </c>
      <c r="K28" s="128">
        <v>-25</v>
      </c>
      <c r="L28" s="128">
        <v>15</v>
      </c>
      <c r="M28" s="128">
        <v>39</v>
      </c>
      <c r="N28" s="128">
        <v>-39</v>
      </c>
      <c r="O28" s="129">
        <v>-15</v>
      </c>
      <c r="P28" s="128">
        <v>0</v>
      </c>
      <c r="Q28" s="128">
        <v>0</v>
      </c>
      <c r="R28" s="128">
        <v>0</v>
      </c>
      <c r="S28" s="17">
        <v>0</v>
      </c>
      <c r="T28" s="17">
        <v>-1.5E-3</v>
      </c>
      <c r="U28" s="17">
        <v>0</v>
      </c>
      <c r="V28" s="65">
        <f t="shared" si="15"/>
        <v>-50.736840000000008</v>
      </c>
      <c r="W28" s="358">
        <f t="shared" si="10"/>
        <v>3.7368399999999937</v>
      </c>
      <c r="AF28" s="27"/>
      <c r="AG28" s="9">
        <v>-4.1000000000000002E-2</v>
      </c>
      <c r="AH28" s="9">
        <v>0.02</v>
      </c>
      <c r="AI28" s="9">
        <v>1E-3</v>
      </c>
      <c r="AJ28" s="78">
        <f t="shared" si="11"/>
        <v>-3.2000000000000001E-2</v>
      </c>
      <c r="AK28" s="9">
        <f t="shared" si="12"/>
        <v>4.0000000000000001E-3</v>
      </c>
      <c r="AL28" s="9">
        <f t="shared" si="13"/>
        <v>2E-3</v>
      </c>
      <c r="AM28" s="962"/>
      <c r="AN28" s="31"/>
      <c r="AO28" s="979">
        <f t="shared" si="14"/>
        <v>-1.2003015757709125E-3</v>
      </c>
      <c r="AP28" s="135"/>
      <c r="AQ28" s="977">
        <f>AO28-C28</f>
        <v>2.9969842422908756E-4</v>
      </c>
    </row>
    <row r="29" spans="1:43">
      <c r="A29" s="1"/>
      <c r="B29" s="6"/>
      <c r="C29" s="137">
        <v>0</v>
      </c>
      <c r="D29" s="402">
        <v>0</v>
      </c>
      <c r="E29" s="7">
        <v>3.0990000000000002</v>
      </c>
      <c r="F29" s="8">
        <v>5.6000000000000001E-2</v>
      </c>
      <c r="G29" s="8">
        <v>3.1E-2</v>
      </c>
      <c r="H29" s="8">
        <v>0.16200000000000001</v>
      </c>
      <c r="I29" s="177">
        <f t="shared" si="9"/>
        <v>-3.0000000000000027E-3</v>
      </c>
      <c r="J29" s="127">
        <v>0</v>
      </c>
      <c r="K29" s="128">
        <v>0</v>
      </c>
      <c r="L29" s="128">
        <v>0</v>
      </c>
      <c r="M29" s="128">
        <v>0</v>
      </c>
      <c r="N29" s="128">
        <v>0</v>
      </c>
      <c r="O29" s="129">
        <v>1</v>
      </c>
      <c r="P29" s="128">
        <v>0</v>
      </c>
      <c r="Q29" s="128">
        <v>0</v>
      </c>
      <c r="R29" s="128">
        <v>0</v>
      </c>
      <c r="S29" s="17">
        <v>0</v>
      </c>
      <c r="T29" s="17">
        <v>0</v>
      </c>
      <c r="U29" s="17">
        <v>0</v>
      </c>
      <c r="V29" s="65">
        <f t="shared" si="15"/>
        <v>0</v>
      </c>
      <c r="W29" s="358">
        <f t="shared" si="10"/>
        <v>3.0000000000000027</v>
      </c>
      <c r="AF29" s="27"/>
      <c r="AG29" s="9">
        <v>-0.01</v>
      </c>
      <c r="AH29" s="9">
        <v>1.7000000000000001E-2</v>
      </c>
      <c r="AI29" s="9">
        <v>-1E-3</v>
      </c>
      <c r="AJ29" s="78">
        <f t="shared" si="11"/>
        <v>-1.0000000000000009E-3</v>
      </c>
      <c r="AK29" s="9">
        <f t="shared" si="12"/>
        <v>1.0000000000000009E-3</v>
      </c>
      <c r="AL29" s="9">
        <f t="shared" si="13"/>
        <v>0</v>
      </c>
      <c r="AM29" s="962"/>
      <c r="AN29" s="31"/>
      <c r="AO29" s="979">
        <f t="shared" si="14"/>
        <v>-3.7509424242841049E-5</v>
      </c>
      <c r="AP29" s="135"/>
      <c r="AQ29" s="977">
        <f t="shared" si="16"/>
        <v>-3.7509424242841049E-5</v>
      </c>
    </row>
    <row r="30" spans="1:43">
      <c r="A30" s="1"/>
      <c r="B30" s="6"/>
      <c r="C30" s="137">
        <v>1.5E-3</v>
      </c>
      <c r="D30" s="402">
        <v>1.5E-3</v>
      </c>
      <c r="E30" s="7">
        <v>3.077</v>
      </c>
      <c r="F30" s="8">
        <v>5.7000000000000002E-2</v>
      </c>
      <c r="G30" s="8">
        <v>0.03</v>
      </c>
      <c r="H30" s="8">
        <v>0.21</v>
      </c>
      <c r="I30" s="177">
        <f t="shared" si="9"/>
        <v>4.4999999999999984E-2</v>
      </c>
      <c r="J30" s="127">
        <v>-25</v>
      </c>
      <c r="K30" s="128">
        <v>25</v>
      </c>
      <c r="L30" s="128">
        <v>-15</v>
      </c>
      <c r="M30" s="128">
        <v>-39</v>
      </c>
      <c r="N30" s="128">
        <v>39</v>
      </c>
      <c r="O30" s="129">
        <v>15</v>
      </c>
      <c r="P30" s="128">
        <v>0</v>
      </c>
      <c r="Q30" s="128">
        <v>-1</v>
      </c>
      <c r="R30" s="128">
        <v>0</v>
      </c>
      <c r="S30" s="17">
        <v>0</v>
      </c>
      <c r="T30" s="17">
        <v>1.5E-3</v>
      </c>
      <c r="U30" s="17">
        <v>0</v>
      </c>
      <c r="V30" s="65">
        <f t="shared" si="15"/>
        <v>50.736840000000008</v>
      </c>
      <c r="W30" s="358">
        <f t="shared" si="10"/>
        <v>5.7368400000000221</v>
      </c>
      <c r="AF30" s="27"/>
      <c r="AG30" s="9">
        <v>2.5999999999999999E-2</v>
      </c>
      <c r="AH30" s="9">
        <v>1.4E-2</v>
      </c>
      <c r="AI30" s="9">
        <v>-3.0000000000000001E-3</v>
      </c>
      <c r="AJ30" s="78">
        <f t="shared" si="11"/>
        <v>3.4999999999999996E-2</v>
      </c>
      <c r="AK30" s="9">
        <f t="shared" si="12"/>
        <v>-2E-3</v>
      </c>
      <c r="AL30" s="9">
        <f t="shared" si="13"/>
        <v>-2E-3</v>
      </c>
      <c r="AM30" s="962"/>
      <c r="AN30" s="31"/>
      <c r="AO30" s="979">
        <f t="shared" si="14"/>
        <v>1.3128298484994354E-3</v>
      </c>
      <c r="AP30" s="135"/>
      <c r="AQ30" s="977">
        <f t="shared" si="16"/>
        <v>-1.8717015150056466E-4</v>
      </c>
    </row>
    <row r="31" spans="1:43">
      <c r="A31" s="1"/>
      <c r="B31" s="6"/>
      <c r="C31" s="137">
        <v>0</v>
      </c>
      <c r="D31" s="402">
        <v>0</v>
      </c>
      <c r="E31" s="7">
        <v>3.1019999999999999</v>
      </c>
      <c r="F31" s="8">
        <v>6.2E-2</v>
      </c>
      <c r="G31" s="8">
        <v>0.03</v>
      </c>
      <c r="H31" s="8">
        <v>0.16500000000000001</v>
      </c>
      <c r="I31" s="177">
        <f t="shared" si="9"/>
        <v>0</v>
      </c>
      <c r="J31" s="127">
        <v>0</v>
      </c>
      <c r="K31" s="128">
        <v>0</v>
      </c>
      <c r="L31" s="128">
        <v>0</v>
      </c>
      <c r="M31" s="128">
        <v>0</v>
      </c>
      <c r="N31" s="128">
        <v>0</v>
      </c>
      <c r="O31" s="129">
        <v>0</v>
      </c>
      <c r="P31" s="128">
        <v>1</v>
      </c>
      <c r="Q31" s="128">
        <v>0</v>
      </c>
      <c r="R31" s="128">
        <v>0</v>
      </c>
      <c r="S31" s="17">
        <v>0</v>
      </c>
      <c r="T31" s="17">
        <v>0</v>
      </c>
      <c r="U31" s="17">
        <v>0</v>
      </c>
      <c r="V31" s="65">
        <f t="shared" si="15"/>
        <v>0</v>
      </c>
      <c r="W31" s="358">
        <f t="shared" si="10"/>
        <v>0</v>
      </c>
      <c r="AF31" s="27"/>
      <c r="AG31" s="9">
        <v>-3.0000000000000001E-3</v>
      </c>
      <c r="AH31" s="9">
        <v>0.02</v>
      </c>
      <c r="AI31" s="9">
        <v>1E-3</v>
      </c>
      <c r="AJ31" s="78">
        <f t="shared" si="11"/>
        <v>5.9999999999999993E-3</v>
      </c>
      <c r="AK31" s="9">
        <f t="shared" si="12"/>
        <v>4.0000000000000001E-3</v>
      </c>
      <c r="AL31" s="9">
        <f t="shared" si="13"/>
        <v>2E-3</v>
      </c>
      <c r="AM31" s="962"/>
      <c r="AN31" s="31"/>
      <c r="AO31" s="979">
        <f t="shared" si="14"/>
        <v>2.2505654545704605E-4</v>
      </c>
      <c r="AP31" s="135"/>
      <c r="AQ31" s="977">
        <f t="shared" si="16"/>
        <v>2.2505654545704605E-4</v>
      </c>
    </row>
    <row r="32" spans="1:43">
      <c r="A32" s="1"/>
      <c r="B32" s="6"/>
      <c r="C32" s="137">
        <v>-1.5E-3</v>
      </c>
      <c r="D32" s="402">
        <v>-1.5E-3</v>
      </c>
      <c r="E32" s="7">
        <v>3.1240000000000001</v>
      </c>
      <c r="F32" s="8">
        <v>6.2E-2</v>
      </c>
      <c r="G32" s="8">
        <v>3.2000000000000001E-2</v>
      </c>
      <c r="H32" s="8">
        <v>0.11700000000000001</v>
      </c>
      <c r="I32" s="177">
        <f t="shared" si="9"/>
        <v>-4.8000000000000001E-2</v>
      </c>
      <c r="J32" s="127">
        <v>24</v>
      </c>
      <c r="K32" s="128">
        <v>-25</v>
      </c>
      <c r="L32" s="128">
        <v>15</v>
      </c>
      <c r="M32" s="128">
        <v>39</v>
      </c>
      <c r="N32" s="128">
        <v>-39</v>
      </c>
      <c r="O32" s="129">
        <v>-15</v>
      </c>
      <c r="P32" s="151">
        <v>0</v>
      </c>
      <c r="Q32" s="151">
        <v>0</v>
      </c>
      <c r="R32" s="151">
        <v>0</v>
      </c>
      <c r="S32" s="147">
        <v>0</v>
      </c>
      <c r="T32" s="147">
        <v>-1.5E-3</v>
      </c>
      <c r="U32" s="147">
        <v>0</v>
      </c>
      <c r="V32" s="191">
        <f t="shared" si="15"/>
        <v>-50.736840000000008</v>
      </c>
      <c r="W32" s="358">
        <f t="shared" si="10"/>
        <v>2.7368400000000079</v>
      </c>
      <c r="AF32" s="27"/>
      <c r="AG32" s="9">
        <v>-3.7999999999999999E-2</v>
      </c>
      <c r="AH32" s="9">
        <v>0.02</v>
      </c>
      <c r="AI32" s="9">
        <v>0</v>
      </c>
      <c r="AJ32" s="78">
        <f t="shared" si="11"/>
        <v>-2.8999999999999998E-2</v>
      </c>
      <c r="AK32" s="9">
        <f t="shared" si="12"/>
        <v>4.0000000000000001E-3</v>
      </c>
      <c r="AL32" s="9">
        <f t="shared" si="13"/>
        <v>1E-3</v>
      </c>
      <c r="AM32" s="962"/>
      <c r="AN32" s="31"/>
      <c r="AO32" s="979">
        <f t="shared" si="14"/>
        <v>-1.0877733030423894E-3</v>
      </c>
      <c r="AP32" s="135"/>
      <c r="AQ32" s="977">
        <f t="shared" si="16"/>
        <v>4.1222669695761068E-4</v>
      </c>
    </row>
    <row r="33" spans="1:44">
      <c r="A33" s="1"/>
      <c r="B33" s="6"/>
      <c r="C33" s="137">
        <v>0</v>
      </c>
      <c r="D33" s="402">
        <v>0</v>
      </c>
      <c r="E33" s="7">
        <v>3.0990000000000002</v>
      </c>
      <c r="F33" s="8">
        <v>5.7000000000000002E-2</v>
      </c>
      <c r="G33" s="8">
        <v>3.1E-2</v>
      </c>
      <c r="H33" s="8">
        <v>0.16200000000000001</v>
      </c>
      <c r="I33" s="177">
        <f t="shared" si="9"/>
        <v>-3.0000000000000027E-3</v>
      </c>
      <c r="J33" s="127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v>1</v>
      </c>
      <c r="P33" s="151">
        <v>0</v>
      </c>
      <c r="Q33" s="151">
        <v>0</v>
      </c>
      <c r="R33" s="151">
        <v>0</v>
      </c>
      <c r="S33" s="147">
        <v>0</v>
      </c>
      <c r="T33" s="147">
        <v>0</v>
      </c>
      <c r="U33" s="147">
        <v>0</v>
      </c>
      <c r="V33" s="191">
        <f t="shared" si="15"/>
        <v>0</v>
      </c>
      <c r="W33" s="358">
        <f t="shared" si="10"/>
        <v>3.0000000000000027</v>
      </c>
      <c r="AF33" s="27"/>
      <c r="AG33" s="9">
        <v>-0.01</v>
      </c>
      <c r="AH33" s="9">
        <v>1.7000000000000001E-2</v>
      </c>
      <c r="AI33" s="9">
        <v>1E-3</v>
      </c>
      <c r="AJ33" s="78">
        <f t="shared" si="11"/>
        <v>-1.0000000000000009E-3</v>
      </c>
      <c r="AK33" s="9">
        <f t="shared" si="12"/>
        <v>1.0000000000000009E-3</v>
      </c>
      <c r="AL33" s="9">
        <f t="shared" si="13"/>
        <v>2E-3</v>
      </c>
      <c r="AM33" s="962"/>
      <c r="AN33" s="31"/>
      <c r="AO33" s="979">
        <f t="shared" si="14"/>
        <v>-3.7509424242841049E-5</v>
      </c>
      <c r="AP33" s="135"/>
      <c r="AQ33" s="977">
        <f t="shared" si="16"/>
        <v>-3.7509424242841049E-5</v>
      </c>
    </row>
    <row r="34" spans="1:44">
      <c r="A34" s="1"/>
      <c r="B34" s="6"/>
      <c r="C34" s="175"/>
      <c r="D34" s="131"/>
      <c r="E34" s="76" t="s">
        <v>237</v>
      </c>
      <c r="F34" s="415"/>
      <c r="G34" s="415"/>
      <c r="H34" s="415"/>
      <c r="I34" s="415"/>
      <c r="J34" s="125"/>
      <c r="K34" s="121"/>
      <c r="L34" s="121"/>
      <c r="M34" s="121"/>
      <c r="N34" s="980" t="s">
        <v>231</v>
      </c>
      <c r="O34" s="906" t="s">
        <v>228</v>
      </c>
      <c r="P34" s="906" t="s">
        <v>236</v>
      </c>
      <c r="Q34" s="83"/>
      <c r="R34" s="83" t="s">
        <v>232</v>
      </c>
      <c r="S34" s="83">
        <f>874.375*0.0024*3.1416/180</f>
        <v>3.6625820000000003E-2</v>
      </c>
      <c r="T34" s="83" t="s">
        <v>203</v>
      </c>
      <c r="U34" s="345" t="s">
        <v>209</v>
      </c>
      <c r="V34" s="203"/>
      <c r="W34" s="406"/>
      <c r="AF34" s="27"/>
      <c r="AJ34" s="6"/>
      <c r="AM34" s="962"/>
      <c r="AN34" s="31"/>
      <c r="AO34" s="2">
        <f>AVERAGE(AO22,-AO24,AO26,-AO28,AO30,-AO32)</f>
        <v>1.2315594293066132E-3</v>
      </c>
      <c r="AP34" s="4"/>
      <c r="AQ34" s="983">
        <f>AO34-0.0015</f>
        <v>-2.6844057069338686E-4</v>
      </c>
    </row>
    <row r="35" spans="1:44">
      <c r="A35" s="1"/>
      <c r="B35" s="6"/>
      <c r="C35" s="139" t="s">
        <v>199</v>
      </c>
      <c r="D35" s="417" t="s">
        <v>225</v>
      </c>
      <c r="E35" s="139" t="s">
        <v>243</v>
      </c>
      <c r="F35" s="416" t="s">
        <v>226</v>
      </c>
      <c r="G35" s="407" t="s">
        <v>1</v>
      </c>
      <c r="H35" s="407" t="s">
        <v>168</v>
      </c>
      <c r="I35" s="407" t="s">
        <v>173</v>
      </c>
      <c r="J35" s="126"/>
      <c r="K35" s="123"/>
      <c r="L35" s="123"/>
      <c r="M35" s="123"/>
      <c r="N35" s="123"/>
      <c r="O35" s="124"/>
      <c r="P35" s="123"/>
      <c r="Q35" s="123"/>
      <c r="R35" s="123"/>
      <c r="S35" s="13"/>
      <c r="T35" s="13"/>
      <c r="U35" s="13"/>
      <c r="V35" s="375" t="s">
        <v>227</v>
      </c>
      <c r="W35" s="411" t="s">
        <v>5</v>
      </c>
      <c r="Z35" s="13"/>
      <c r="AF35" s="27"/>
      <c r="AJ35" s="6"/>
      <c r="AM35" s="962"/>
      <c r="AN35" s="31"/>
      <c r="AO35" s="1"/>
      <c r="AP35" s="135"/>
      <c r="AQ35" s="977"/>
    </row>
    <row r="36" spans="1:44">
      <c r="A36" s="1"/>
      <c r="B36" s="2"/>
      <c r="C36" s="138">
        <v>0</v>
      </c>
      <c r="D36" s="133">
        <v>0</v>
      </c>
      <c r="E36" s="2">
        <v>0.16300000000000001</v>
      </c>
      <c r="F36" s="120"/>
      <c r="G36" s="120">
        <v>5.7000000000000002E-2</v>
      </c>
      <c r="H36" s="120">
        <v>3.1E-2</v>
      </c>
      <c r="I36" s="120">
        <v>3.0990000000000002</v>
      </c>
      <c r="J36" s="130">
        <v>0</v>
      </c>
      <c r="K36" s="118">
        <v>0</v>
      </c>
      <c r="L36" s="118">
        <v>0</v>
      </c>
      <c r="M36" s="118">
        <v>0</v>
      </c>
      <c r="N36" s="118">
        <v>0</v>
      </c>
      <c r="O36" s="119">
        <v>-1</v>
      </c>
      <c r="P36" s="173">
        <v>0</v>
      </c>
      <c r="Q36" s="171">
        <v>0</v>
      </c>
      <c r="R36" s="171">
        <v>0</v>
      </c>
      <c r="S36" s="152">
        <v>0</v>
      </c>
      <c r="T36" s="152">
        <v>0</v>
      </c>
      <c r="U36" s="152">
        <v>0</v>
      </c>
      <c r="V36" s="267">
        <v>0</v>
      </c>
      <c r="W36" s="356" t="s">
        <v>216</v>
      </c>
      <c r="Y36" s="905" t="s">
        <v>228</v>
      </c>
      <c r="Z36" s="906" t="s">
        <v>230</v>
      </c>
      <c r="AA36" s="83" t="s">
        <v>205</v>
      </c>
      <c r="AB36" s="83" t="s">
        <v>208</v>
      </c>
      <c r="AC36" s="83"/>
      <c r="AD36" s="83">
        <f>874.375*0.0024*3.1416/180</f>
        <v>3.6625820000000003E-2</v>
      </c>
      <c r="AE36" s="83" t="s">
        <v>209</v>
      </c>
      <c r="AF36" s="27"/>
      <c r="AG36" s="120">
        <v>-0.01</v>
      </c>
      <c r="AH36" s="120">
        <v>1.7000000000000001E-2</v>
      </c>
      <c r="AI36" s="120">
        <v>1E-3</v>
      </c>
      <c r="AJ36" s="959">
        <f>AG36--0.01</f>
        <v>0</v>
      </c>
      <c r="AK36" s="120">
        <f>AH36-0.017</f>
        <v>0</v>
      </c>
      <c r="AL36" s="120">
        <f>AI36-0.001</f>
        <v>0</v>
      </c>
      <c r="AM36" s="963"/>
      <c r="AN36" s="33"/>
      <c r="AO36" s="3"/>
      <c r="AP36" s="981">
        <f>AJ36*180/775/3.1416</f>
        <v>0</v>
      </c>
      <c r="AQ36" s="977"/>
    </row>
    <row r="37" spans="1:44">
      <c r="A37" s="1"/>
      <c r="C37" s="137">
        <v>1.5E-3</v>
      </c>
      <c r="D37" s="402">
        <v>1.5E-3</v>
      </c>
      <c r="E37" s="7">
        <v>0.189</v>
      </c>
      <c r="F37" s="75">
        <f>E37-RepRxRyRz012</f>
        <v>2.5999999999999995E-2</v>
      </c>
      <c r="G37" s="8">
        <v>5.8000000000000003E-2</v>
      </c>
      <c r="H37" s="8">
        <v>3.1E-2</v>
      </c>
      <c r="I37" s="8">
        <v>3.101</v>
      </c>
      <c r="J37" s="127">
        <v>11</v>
      </c>
      <c r="K37" s="128">
        <v>-11</v>
      </c>
      <c r="L37" s="128">
        <v>11</v>
      </c>
      <c r="M37" s="128">
        <v>-10</v>
      </c>
      <c r="N37" s="128">
        <v>10</v>
      </c>
      <c r="O37" s="129">
        <v>-11</v>
      </c>
      <c r="P37" s="157">
        <v>0</v>
      </c>
      <c r="Q37" s="151">
        <v>0</v>
      </c>
      <c r="R37" s="151">
        <v>0</v>
      </c>
      <c r="S37" s="147">
        <v>0</v>
      </c>
      <c r="T37" s="147">
        <v>0</v>
      </c>
      <c r="U37" s="147">
        <v>1.5E-3</v>
      </c>
      <c r="V37" s="191">
        <f>(D37*874.375*3.1416/180)*1000</f>
        <v>22.891137499999999</v>
      </c>
      <c r="W37" s="358">
        <f>ABS(F37*1000-V37)</f>
        <v>3.1088624999999972</v>
      </c>
      <c r="AF37" s="27"/>
      <c r="AG37" s="9">
        <v>1.4999999999999999E-2</v>
      </c>
      <c r="AH37" s="9">
        <v>1.7999999999999999E-2</v>
      </c>
      <c r="AI37" s="9">
        <v>0</v>
      </c>
      <c r="AJ37" s="78">
        <f t="shared" ref="AJ37:AJ48" si="17">AG37--0.01</f>
        <v>2.5000000000000001E-2</v>
      </c>
      <c r="AK37" s="9">
        <f t="shared" ref="AK37:AK48" si="18">AH37-0.017</f>
        <v>9.9999999999999742E-4</v>
      </c>
      <c r="AL37" s="9">
        <f t="shared" ref="AL37:AL48" si="19">AI37-0.001</f>
        <v>-1E-3</v>
      </c>
      <c r="AM37" s="962"/>
      <c r="AN37" s="31"/>
      <c r="AO37" s="1"/>
      <c r="AP37" s="982">
        <f t="shared" ref="AP37:AP48" si="20">AJ37*180/775/3.1416</f>
        <v>1.8482466300303113E-3</v>
      </c>
      <c r="AQ37" s="977">
        <f>AP37-C37</f>
        <v>3.4824663003031131E-4</v>
      </c>
    </row>
    <row r="38" spans="1:44">
      <c r="A38" s="1"/>
      <c r="B38" s="6"/>
      <c r="C38" s="137">
        <v>0</v>
      </c>
      <c r="D38" s="402">
        <v>0</v>
      </c>
      <c r="E38" s="7">
        <v>0.16</v>
      </c>
      <c r="F38" s="75">
        <f t="shared" ref="F38:F48" si="21">E38-RepRxRyRz012</f>
        <v>-3.0000000000000027E-3</v>
      </c>
      <c r="G38" s="8">
        <v>0.06</v>
      </c>
      <c r="H38" s="8">
        <v>3.1E-2</v>
      </c>
      <c r="I38" s="8">
        <v>3.1</v>
      </c>
      <c r="J38" s="127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v>0</v>
      </c>
      <c r="P38" s="157">
        <v>0</v>
      </c>
      <c r="Q38" s="151">
        <v>0</v>
      </c>
      <c r="R38" s="151">
        <v>0</v>
      </c>
      <c r="S38" s="147">
        <v>0</v>
      </c>
      <c r="T38" s="147">
        <v>0</v>
      </c>
      <c r="U38" s="147">
        <v>0</v>
      </c>
      <c r="V38" s="191">
        <f t="shared" ref="V38:V48" si="22">(D38*874.375*3.1416/180)*1000</f>
        <v>0</v>
      </c>
      <c r="W38" s="358">
        <f t="shared" ref="W38:W48" si="23">ABS(F38*1000-V38)</f>
        <v>3.0000000000000027</v>
      </c>
      <c r="AF38" s="27"/>
      <c r="AG38" s="9">
        <v>-0.01</v>
      </c>
      <c r="AH38" s="9">
        <v>1.7999999999999999E-2</v>
      </c>
      <c r="AI38" s="9">
        <v>0</v>
      </c>
      <c r="AJ38" s="78">
        <f t="shared" si="17"/>
        <v>0</v>
      </c>
      <c r="AK38" s="9">
        <f t="shared" si="18"/>
        <v>9.9999999999999742E-4</v>
      </c>
      <c r="AL38" s="9">
        <f t="shared" si="19"/>
        <v>-1E-3</v>
      </c>
      <c r="AM38" s="962"/>
      <c r="AN38" s="31"/>
      <c r="AO38" s="1"/>
      <c r="AP38" s="982">
        <f t="shared" si="20"/>
        <v>0</v>
      </c>
      <c r="AQ38" s="977">
        <f t="shared" ref="AQ38:AQ48" si="24">AP38-C38</f>
        <v>0</v>
      </c>
    </row>
    <row r="39" spans="1:44">
      <c r="A39" s="1"/>
      <c r="B39" s="6"/>
      <c r="C39" s="137">
        <v>-1.5E-3</v>
      </c>
      <c r="D39" s="402">
        <v>-1.5E-3</v>
      </c>
      <c r="E39" s="7">
        <v>0.13700000000000001</v>
      </c>
      <c r="F39" s="75">
        <f t="shared" si="21"/>
        <v>-2.5999999999999995E-2</v>
      </c>
      <c r="G39" s="8">
        <v>0.06</v>
      </c>
      <c r="H39" s="8">
        <v>3.2000000000000001E-2</v>
      </c>
      <c r="I39" s="8">
        <v>3.0990000000000002</v>
      </c>
      <c r="J39" s="127">
        <v>-11</v>
      </c>
      <c r="K39" s="128">
        <v>11</v>
      </c>
      <c r="L39" s="128">
        <v>-10</v>
      </c>
      <c r="M39" s="128">
        <v>10</v>
      </c>
      <c r="N39" s="128">
        <v>-11</v>
      </c>
      <c r="O39" s="129">
        <v>11</v>
      </c>
      <c r="P39" s="157">
        <v>0</v>
      </c>
      <c r="Q39" s="151">
        <v>-1</v>
      </c>
      <c r="R39" s="151">
        <v>0</v>
      </c>
      <c r="S39" s="147">
        <v>0</v>
      </c>
      <c r="T39" s="147">
        <v>0</v>
      </c>
      <c r="U39" s="147">
        <v>-1.5E-3</v>
      </c>
      <c r="V39" s="191">
        <f t="shared" si="22"/>
        <v>-22.891137499999999</v>
      </c>
      <c r="W39" s="358">
        <f t="shared" si="23"/>
        <v>3.1088624999999972</v>
      </c>
      <c r="AF39" s="27"/>
      <c r="AG39" s="9">
        <v>-2.9000000000000001E-2</v>
      </c>
      <c r="AH39" s="9">
        <v>1.6E-2</v>
      </c>
      <c r="AI39" s="9">
        <v>0</v>
      </c>
      <c r="AJ39" s="78">
        <f t="shared" si="17"/>
        <v>-1.9000000000000003E-2</v>
      </c>
      <c r="AK39" s="9">
        <f t="shared" si="18"/>
        <v>-1.0000000000000009E-3</v>
      </c>
      <c r="AL39" s="9">
        <f t="shared" si="19"/>
        <v>-1E-3</v>
      </c>
      <c r="AM39" s="962"/>
      <c r="AN39" s="31"/>
      <c r="AO39" s="1"/>
      <c r="AP39" s="982">
        <f t="shared" si="20"/>
        <v>-1.4046674388230366E-3</v>
      </c>
      <c r="AQ39" s="977">
        <f t="shared" si="24"/>
        <v>9.5332561176963461E-5</v>
      </c>
    </row>
    <row r="40" spans="1:44">
      <c r="A40" s="1"/>
      <c r="B40" s="6"/>
      <c r="C40" s="137">
        <v>0</v>
      </c>
      <c r="D40" s="402">
        <v>0</v>
      </c>
      <c r="E40" s="7">
        <v>0.16700000000000001</v>
      </c>
      <c r="F40" s="75">
        <f t="shared" si="21"/>
        <v>4.0000000000000036E-3</v>
      </c>
      <c r="G40" s="8">
        <v>6.0999999999999999E-2</v>
      </c>
      <c r="H40" s="8">
        <v>3.1E-2</v>
      </c>
      <c r="I40" s="8">
        <v>3.1019999999999999</v>
      </c>
      <c r="J40" s="127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v>0</v>
      </c>
      <c r="P40" s="157">
        <v>0</v>
      </c>
      <c r="Q40" s="151">
        <v>0</v>
      </c>
      <c r="R40" s="151">
        <v>0</v>
      </c>
      <c r="S40" s="147">
        <v>0</v>
      </c>
      <c r="T40" s="147">
        <v>0</v>
      </c>
      <c r="U40" s="147">
        <v>0</v>
      </c>
      <c r="V40" s="191">
        <f t="shared" si="22"/>
        <v>0</v>
      </c>
      <c r="W40" s="358">
        <f t="shared" si="23"/>
        <v>4.0000000000000036</v>
      </c>
      <c r="AF40" s="27"/>
      <c r="AG40" s="9">
        <v>-4.0000000000000001E-3</v>
      </c>
      <c r="AH40" s="9">
        <v>1.7999999999999999E-2</v>
      </c>
      <c r="AI40" s="9">
        <v>1E-3</v>
      </c>
      <c r="AJ40" s="78">
        <f t="shared" si="17"/>
        <v>6.0000000000000001E-3</v>
      </c>
      <c r="AK40" s="9">
        <f t="shared" si="18"/>
        <v>9.9999999999999742E-4</v>
      </c>
      <c r="AL40" s="9">
        <f t="shared" si="19"/>
        <v>0</v>
      </c>
      <c r="AM40" s="962"/>
      <c r="AN40" s="31"/>
      <c r="AO40" s="1"/>
      <c r="AP40" s="982">
        <f t="shared" si="20"/>
        <v>4.4357919120727472E-4</v>
      </c>
      <c r="AQ40" s="977">
        <f t="shared" si="24"/>
        <v>4.4357919120727472E-4</v>
      </c>
    </row>
    <row r="41" spans="1:44">
      <c r="A41" s="1"/>
      <c r="B41" s="6"/>
      <c r="C41" s="137">
        <v>1.5E-3</v>
      </c>
      <c r="D41" s="402">
        <v>1.5E-3</v>
      </c>
      <c r="E41" s="7">
        <v>0.19</v>
      </c>
      <c r="F41" s="75">
        <f t="shared" si="21"/>
        <v>2.6999999999999996E-2</v>
      </c>
      <c r="G41" s="8">
        <v>5.8999999999999997E-2</v>
      </c>
      <c r="H41" s="8">
        <v>3.2000000000000001E-2</v>
      </c>
      <c r="I41" s="8">
        <v>3.1019999999999999</v>
      </c>
      <c r="J41" s="127">
        <v>11</v>
      </c>
      <c r="K41" s="128">
        <v>-10</v>
      </c>
      <c r="L41" s="128">
        <v>10</v>
      </c>
      <c r="M41" s="128">
        <v>-10</v>
      </c>
      <c r="N41" s="128">
        <v>10</v>
      </c>
      <c r="O41" s="129">
        <v>-11</v>
      </c>
      <c r="P41" s="157">
        <v>0</v>
      </c>
      <c r="Q41" s="151">
        <v>0</v>
      </c>
      <c r="R41" s="151">
        <v>0</v>
      </c>
      <c r="S41" s="147">
        <v>0</v>
      </c>
      <c r="T41" s="147">
        <v>0</v>
      </c>
      <c r="U41" s="147">
        <v>1.5E-3</v>
      </c>
      <c r="V41" s="191">
        <f t="shared" si="22"/>
        <v>22.891137499999999</v>
      </c>
      <c r="W41" s="358">
        <f t="shared" si="23"/>
        <v>4.1088624999999972</v>
      </c>
      <c r="X41" t="s">
        <v>68</v>
      </c>
      <c r="AF41" s="27"/>
      <c r="AG41" s="9">
        <v>1.4999999999999999E-2</v>
      </c>
      <c r="AH41" s="9">
        <v>1.9E-2</v>
      </c>
      <c r="AI41" s="9">
        <v>1E-3</v>
      </c>
      <c r="AJ41" s="78">
        <f t="shared" si="17"/>
        <v>2.5000000000000001E-2</v>
      </c>
      <c r="AK41" s="9">
        <f t="shared" si="18"/>
        <v>1.9999999999999983E-3</v>
      </c>
      <c r="AL41" s="9">
        <f t="shared" si="19"/>
        <v>0</v>
      </c>
      <c r="AM41" s="962"/>
      <c r="AN41" s="31"/>
      <c r="AO41" s="1"/>
      <c r="AP41" s="982">
        <f t="shared" si="20"/>
        <v>1.8482466300303113E-3</v>
      </c>
      <c r="AQ41" s="977">
        <f t="shared" si="24"/>
        <v>3.4824663003031131E-4</v>
      </c>
    </row>
    <row r="42" spans="1:44">
      <c r="A42" s="1"/>
      <c r="B42" s="6"/>
      <c r="C42" s="137">
        <v>0</v>
      </c>
      <c r="D42" s="402">
        <v>0</v>
      </c>
      <c r="E42" s="7">
        <v>0.161</v>
      </c>
      <c r="F42" s="75">
        <f t="shared" si="21"/>
        <v>-2.0000000000000018E-3</v>
      </c>
      <c r="G42" s="8">
        <v>6.0999999999999999E-2</v>
      </c>
      <c r="H42" s="8">
        <v>3.2000000000000001E-2</v>
      </c>
      <c r="I42" s="8">
        <v>3.101</v>
      </c>
      <c r="J42" s="127">
        <v>0</v>
      </c>
      <c r="K42" s="128">
        <v>0</v>
      </c>
      <c r="L42" s="128">
        <v>0</v>
      </c>
      <c r="M42" s="128">
        <v>0</v>
      </c>
      <c r="N42" s="128">
        <v>0</v>
      </c>
      <c r="O42" s="129">
        <v>0</v>
      </c>
      <c r="P42" s="157">
        <v>0</v>
      </c>
      <c r="Q42" s="151">
        <v>0</v>
      </c>
      <c r="R42" s="151">
        <v>0</v>
      </c>
      <c r="S42" s="147">
        <v>0</v>
      </c>
      <c r="T42" s="147">
        <v>0</v>
      </c>
      <c r="U42" s="147">
        <v>0</v>
      </c>
      <c r="V42" s="191">
        <f t="shared" si="22"/>
        <v>0</v>
      </c>
      <c r="W42" s="358">
        <f t="shared" si="23"/>
        <v>2.0000000000000018</v>
      </c>
      <c r="X42" t="s">
        <v>69</v>
      </c>
      <c r="AF42" s="27"/>
      <c r="AG42" s="9">
        <v>-1.0999999999999999E-2</v>
      </c>
      <c r="AH42" s="9">
        <v>1.7999999999999999E-2</v>
      </c>
      <c r="AI42" s="9">
        <v>1E-3</v>
      </c>
      <c r="AJ42" s="78">
        <f t="shared" si="17"/>
        <v>-9.9999999999999915E-4</v>
      </c>
      <c r="AK42" s="9">
        <f t="shared" si="18"/>
        <v>9.9999999999999742E-4</v>
      </c>
      <c r="AL42" s="9">
        <f t="shared" si="19"/>
        <v>0</v>
      </c>
      <c r="AM42" s="962"/>
      <c r="AN42" s="31"/>
      <c r="AO42" s="1"/>
      <c r="AP42" s="982">
        <f t="shared" si="20"/>
        <v>-7.3929865201212395E-5</v>
      </c>
      <c r="AQ42" s="977">
        <f t="shared" si="24"/>
        <v>-7.3929865201212395E-5</v>
      </c>
    </row>
    <row r="43" spans="1:44">
      <c r="A43" s="1"/>
      <c r="B43" s="6"/>
      <c r="C43" s="137">
        <v>-1.5E-3</v>
      </c>
      <c r="D43" s="402">
        <v>-1.5E-3</v>
      </c>
      <c r="E43" s="7">
        <v>0.13700000000000001</v>
      </c>
      <c r="F43" s="75">
        <f t="shared" si="21"/>
        <v>-2.5999999999999995E-2</v>
      </c>
      <c r="G43" s="8">
        <v>6.2E-2</v>
      </c>
      <c r="H43" s="8">
        <v>3.3000000000000002E-2</v>
      </c>
      <c r="I43" s="8">
        <v>3.1</v>
      </c>
      <c r="J43" s="127">
        <v>-11</v>
      </c>
      <c r="K43" s="128">
        <v>11</v>
      </c>
      <c r="L43" s="128">
        <v>-11</v>
      </c>
      <c r="M43" s="128">
        <v>10</v>
      </c>
      <c r="N43" s="128">
        <v>-11</v>
      </c>
      <c r="O43" s="129">
        <v>11</v>
      </c>
      <c r="P43" s="157">
        <v>0</v>
      </c>
      <c r="Q43" s="151">
        <v>0</v>
      </c>
      <c r="R43" s="151">
        <v>0</v>
      </c>
      <c r="S43" s="147">
        <v>0</v>
      </c>
      <c r="T43" s="147">
        <v>0</v>
      </c>
      <c r="U43" s="147">
        <v>-1.5E-3</v>
      </c>
      <c r="V43" s="191">
        <f t="shared" si="22"/>
        <v>-22.891137499999999</v>
      </c>
      <c r="W43" s="358">
        <f t="shared" si="23"/>
        <v>3.1088624999999972</v>
      </c>
      <c r="AF43" s="27"/>
      <c r="AG43" s="9">
        <v>-0.03</v>
      </c>
      <c r="AH43" s="9">
        <v>1.6E-2</v>
      </c>
      <c r="AI43" s="9">
        <v>0</v>
      </c>
      <c r="AJ43" s="78">
        <f t="shared" si="17"/>
        <v>-1.9999999999999997E-2</v>
      </c>
      <c r="AK43" s="9">
        <f t="shared" si="18"/>
        <v>-1.0000000000000009E-3</v>
      </c>
      <c r="AL43" s="9">
        <f t="shared" si="19"/>
        <v>-1E-3</v>
      </c>
      <c r="AM43" s="962"/>
      <c r="AN43" s="31"/>
      <c r="AO43" s="1"/>
      <c r="AP43" s="982">
        <f t="shared" si="20"/>
        <v>-1.4785973040242488E-3</v>
      </c>
      <c r="AQ43" s="977">
        <f t="shared" si="24"/>
        <v>2.1402695975751215E-5</v>
      </c>
    </row>
    <row r="44" spans="1:44">
      <c r="A44" s="1"/>
      <c r="B44" s="6"/>
      <c r="C44" s="137">
        <v>0</v>
      </c>
      <c r="D44" s="402">
        <v>0</v>
      </c>
      <c r="E44" s="7">
        <v>0.16700000000000001</v>
      </c>
      <c r="F44" s="75">
        <f t="shared" si="21"/>
        <v>4.0000000000000036E-3</v>
      </c>
      <c r="G44" s="8">
        <v>6.2E-2</v>
      </c>
      <c r="H44" s="8">
        <v>3.2000000000000001E-2</v>
      </c>
      <c r="I44" s="8">
        <v>3.1019999999999999</v>
      </c>
      <c r="J44" s="127">
        <v>0</v>
      </c>
      <c r="K44" s="128">
        <v>0</v>
      </c>
      <c r="L44" s="128">
        <v>0</v>
      </c>
      <c r="M44" s="128">
        <v>0</v>
      </c>
      <c r="N44" s="128">
        <v>0</v>
      </c>
      <c r="O44" s="129">
        <v>0</v>
      </c>
      <c r="P44" s="157">
        <v>0</v>
      </c>
      <c r="Q44" s="151">
        <v>0</v>
      </c>
      <c r="R44" s="151">
        <v>0</v>
      </c>
      <c r="S44" s="147">
        <v>0</v>
      </c>
      <c r="T44" s="147">
        <v>0</v>
      </c>
      <c r="U44" s="147">
        <v>0</v>
      </c>
      <c r="V44" s="191">
        <f t="shared" si="22"/>
        <v>0</v>
      </c>
      <c r="W44" s="358">
        <f t="shared" si="23"/>
        <v>4.0000000000000036</v>
      </c>
      <c r="AF44" s="27"/>
      <c r="AG44" s="9">
        <v>-4.0000000000000001E-3</v>
      </c>
      <c r="AH44" s="9">
        <v>1.7999999999999999E-2</v>
      </c>
      <c r="AI44" s="9">
        <v>1E-3</v>
      </c>
      <c r="AJ44" s="78">
        <f t="shared" si="17"/>
        <v>6.0000000000000001E-3</v>
      </c>
      <c r="AK44" s="9">
        <f t="shared" si="18"/>
        <v>9.9999999999999742E-4</v>
      </c>
      <c r="AL44" s="9">
        <f t="shared" si="19"/>
        <v>0</v>
      </c>
      <c r="AM44" s="962"/>
      <c r="AN44" s="31"/>
      <c r="AO44" s="1"/>
      <c r="AP44" s="982">
        <f t="shared" si="20"/>
        <v>4.4357919120727472E-4</v>
      </c>
      <c r="AQ44" s="977">
        <f t="shared" si="24"/>
        <v>4.4357919120727472E-4</v>
      </c>
    </row>
    <row r="45" spans="1:44">
      <c r="A45" s="1"/>
      <c r="B45" s="6"/>
      <c r="C45" s="137">
        <v>1.5E-3</v>
      </c>
      <c r="D45" s="402">
        <v>1.5E-3</v>
      </c>
      <c r="E45" s="7">
        <v>0.19</v>
      </c>
      <c r="F45" s="75">
        <f t="shared" si="21"/>
        <v>2.6999999999999996E-2</v>
      </c>
      <c r="G45" s="8">
        <v>0.06</v>
      </c>
      <c r="H45" s="8">
        <v>3.2000000000000001E-2</v>
      </c>
      <c r="I45" s="8">
        <v>3.1019999999999999</v>
      </c>
      <c r="J45" s="127">
        <v>11</v>
      </c>
      <c r="K45" s="128">
        <v>-10</v>
      </c>
      <c r="L45" s="128">
        <v>10</v>
      </c>
      <c r="M45" s="128">
        <v>-10</v>
      </c>
      <c r="N45" s="128">
        <v>10</v>
      </c>
      <c r="O45" s="129">
        <v>-11</v>
      </c>
      <c r="P45" s="157">
        <v>0</v>
      </c>
      <c r="Q45" s="151">
        <v>0</v>
      </c>
      <c r="R45" s="151">
        <v>0</v>
      </c>
      <c r="S45" s="147">
        <v>0</v>
      </c>
      <c r="T45" s="147">
        <v>0</v>
      </c>
      <c r="U45" s="147">
        <v>1.5E-3</v>
      </c>
      <c r="V45" s="191">
        <f t="shared" si="22"/>
        <v>22.891137499999999</v>
      </c>
      <c r="W45" s="358">
        <f t="shared" si="23"/>
        <v>4.1088624999999972</v>
      </c>
      <c r="AF45" s="27"/>
      <c r="AG45" s="9">
        <v>1.4999999999999999E-2</v>
      </c>
      <c r="AH45" s="9">
        <v>1.9E-2</v>
      </c>
      <c r="AI45" s="9">
        <v>0</v>
      </c>
      <c r="AJ45" s="78">
        <f t="shared" si="17"/>
        <v>2.5000000000000001E-2</v>
      </c>
      <c r="AK45" s="9">
        <f t="shared" si="18"/>
        <v>1.9999999999999983E-3</v>
      </c>
      <c r="AL45" s="9">
        <f t="shared" si="19"/>
        <v>-1E-3</v>
      </c>
      <c r="AM45" s="962"/>
      <c r="AN45" s="31"/>
      <c r="AO45" s="1"/>
      <c r="AP45" s="982">
        <f t="shared" si="20"/>
        <v>1.8482466300303113E-3</v>
      </c>
      <c r="AQ45" s="977">
        <f t="shared" si="24"/>
        <v>3.4824663003031131E-4</v>
      </c>
    </row>
    <row r="46" spans="1:44">
      <c r="A46" s="1"/>
      <c r="B46" s="6"/>
      <c r="C46" s="137">
        <v>0</v>
      </c>
      <c r="D46" s="402">
        <v>0</v>
      </c>
      <c r="E46" s="7">
        <v>0.161</v>
      </c>
      <c r="F46" s="75">
        <f t="shared" si="21"/>
        <v>-2.0000000000000018E-3</v>
      </c>
      <c r="G46" s="8">
        <v>6.0999999999999999E-2</v>
      </c>
      <c r="H46" s="8">
        <v>3.3000000000000002E-2</v>
      </c>
      <c r="I46" s="8">
        <v>3.1019999999999999</v>
      </c>
      <c r="J46" s="127">
        <v>0</v>
      </c>
      <c r="K46" s="128">
        <v>0</v>
      </c>
      <c r="L46" s="128">
        <v>0</v>
      </c>
      <c r="M46" s="128">
        <v>0</v>
      </c>
      <c r="N46" s="128">
        <v>0</v>
      </c>
      <c r="O46" s="129">
        <v>0</v>
      </c>
      <c r="P46" s="157">
        <v>0</v>
      </c>
      <c r="Q46" s="151">
        <v>0</v>
      </c>
      <c r="R46" s="151">
        <v>0</v>
      </c>
      <c r="S46" s="147">
        <v>0</v>
      </c>
      <c r="T46" s="147">
        <v>0</v>
      </c>
      <c r="U46" s="147">
        <v>0</v>
      </c>
      <c r="V46" s="191">
        <f t="shared" si="22"/>
        <v>0</v>
      </c>
      <c r="W46" s="358">
        <f t="shared" si="23"/>
        <v>2.0000000000000018</v>
      </c>
      <c r="AF46" s="27"/>
      <c r="AG46" s="9">
        <v>-0.01</v>
      </c>
      <c r="AH46" s="9">
        <v>1.9E-2</v>
      </c>
      <c r="AI46" s="9">
        <v>1E-3</v>
      </c>
      <c r="AJ46" s="78">
        <f t="shared" si="17"/>
        <v>0</v>
      </c>
      <c r="AK46" s="9">
        <f t="shared" si="18"/>
        <v>1.9999999999999983E-3</v>
      </c>
      <c r="AL46" s="9">
        <f t="shared" si="19"/>
        <v>0</v>
      </c>
      <c r="AM46" s="962"/>
      <c r="AN46" s="31"/>
      <c r="AO46" s="1"/>
      <c r="AP46" s="982">
        <f t="shared" si="20"/>
        <v>0</v>
      </c>
      <c r="AQ46" s="977">
        <f t="shared" si="24"/>
        <v>0</v>
      </c>
    </row>
    <row r="47" spans="1:44">
      <c r="A47" s="1"/>
      <c r="B47" s="6"/>
      <c r="C47" s="137">
        <v>-1.5E-3</v>
      </c>
      <c r="D47" s="402">
        <v>-1.5E-3</v>
      </c>
      <c r="E47" s="7">
        <v>0.13600000000000001</v>
      </c>
      <c r="F47" s="75">
        <f t="shared" si="21"/>
        <v>-2.6999999999999996E-2</v>
      </c>
      <c r="G47" s="8">
        <v>6.2E-2</v>
      </c>
      <c r="H47" s="8">
        <v>3.4000000000000002E-2</v>
      </c>
      <c r="I47" s="8">
        <v>3.1</v>
      </c>
      <c r="J47" s="127">
        <v>-11</v>
      </c>
      <c r="K47" s="128">
        <v>11</v>
      </c>
      <c r="L47" s="128">
        <v>-11</v>
      </c>
      <c r="M47" s="128">
        <v>10</v>
      </c>
      <c r="N47" s="128">
        <v>-11</v>
      </c>
      <c r="O47" s="129">
        <v>11</v>
      </c>
      <c r="P47" s="157">
        <v>0</v>
      </c>
      <c r="Q47" s="151">
        <v>-1</v>
      </c>
      <c r="R47" s="151">
        <v>0</v>
      </c>
      <c r="S47" s="147">
        <v>0</v>
      </c>
      <c r="T47" s="147">
        <v>0</v>
      </c>
      <c r="U47" s="147">
        <v>-1.5E-3</v>
      </c>
      <c r="V47" s="191">
        <f t="shared" si="22"/>
        <v>-22.891137499999999</v>
      </c>
      <c r="W47" s="358">
        <f t="shared" si="23"/>
        <v>4.1088624999999972</v>
      </c>
      <c r="Z47" s="370" t="s">
        <v>219</v>
      </c>
      <c r="AA47" s="77"/>
      <c r="AB47" s="77"/>
      <c r="AC47" s="77"/>
      <c r="AD47" s="77"/>
      <c r="AE47" s="77"/>
      <c r="AF47" s="27"/>
      <c r="AG47" s="9">
        <v>-2.8000000000000001E-2</v>
      </c>
      <c r="AH47" s="9">
        <v>1.7000000000000001E-2</v>
      </c>
      <c r="AI47" s="9">
        <v>0</v>
      </c>
      <c r="AJ47" s="78">
        <f t="shared" si="17"/>
        <v>-1.8000000000000002E-2</v>
      </c>
      <c r="AK47" s="9">
        <f t="shared" si="18"/>
        <v>0</v>
      </c>
      <c r="AL47" s="9">
        <f t="shared" si="19"/>
        <v>-1E-3</v>
      </c>
      <c r="AM47" s="962"/>
      <c r="AN47" s="31"/>
      <c r="AO47" s="1"/>
      <c r="AP47" s="982">
        <f t="shared" si="20"/>
        <v>-1.3307375736218241E-3</v>
      </c>
      <c r="AQ47" s="977">
        <f t="shared" si="24"/>
        <v>1.6926242637817592E-4</v>
      </c>
      <c r="AR47" s="192"/>
    </row>
    <row r="48" spans="1:44">
      <c r="A48" s="1"/>
      <c r="B48" s="12"/>
      <c r="C48" s="139">
        <v>0</v>
      </c>
      <c r="D48" s="400">
        <v>0</v>
      </c>
      <c r="E48" s="68">
        <v>0.16600000000000001</v>
      </c>
      <c r="F48" s="81">
        <f t="shared" si="21"/>
        <v>3.0000000000000027E-3</v>
      </c>
      <c r="G48" s="69">
        <v>6.2E-2</v>
      </c>
      <c r="H48" s="69">
        <v>3.3000000000000002E-2</v>
      </c>
      <c r="I48" s="69">
        <v>3.1030000000000002</v>
      </c>
      <c r="J48" s="126">
        <v>0</v>
      </c>
      <c r="K48" s="123">
        <v>0</v>
      </c>
      <c r="L48" s="123">
        <v>0</v>
      </c>
      <c r="M48" s="123">
        <v>0</v>
      </c>
      <c r="N48" s="123">
        <v>0</v>
      </c>
      <c r="O48" s="124">
        <v>0</v>
      </c>
      <c r="P48" s="168">
        <v>0</v>
      </c>
      <c r="Q48" s="169">
        <v>0</v>
      </c>
      <c r="R48" s="169">
        <v>0</v>
      </c>
      <c r="S48" s="164">
        <v>0</v>
      </c>
      <c r="T48" s="164">
        <v>0</v>
      </c>
      <c r="U48" s="164">
        <v>0</v>
      </c>
      <c r="V48" s="196">
        <f t="shared" si="22"/>
        <v>0</v>
      </c>
      <c r="W48" s="360">
        <f t="shared" si="23"/>
        <v>3.0000000000000027</v>
      </c>
      <c r="Z48" s="405" t="s">
        <v>59</v>
      </c>
      <c r="AA48" s="82" t="s">
        <v>202</v>
      </c>
      <c r="AB48" s="82" t="s">
        <v>212</v>
      </c>
      <c r="AC48" s="82">
        <f>874.375*0.0015*3.1416/180</f>
        <v>2.2891137499999999E-2</v>
      </c>
      <c r="AD48" s="82" t="s">
        <v>203</v>
      </c>
      <c r="AE48" s="960" t="s">
        <v>218</v>
      </c>
      <c r="AF48" s="38"/>
      <c r="AG48" s="9">
        <v>-4.0000000000000001E-3</v>
      </c>
      <c r="AH48" s="9">
        <v>1.9E-2</v>
      </c>
      <c r="AI48" s="9">
        <v>1E-3</v>
      </c>
      <c r="AJ48" s="78">
        <f t="shared" si="17"/>
        <v>6.0000000000000001E-3</v>
      </c>
      <c r="AK48" s="9">
        <f t="shared" si="18"/>
        <v>1.9999999999999983E-3</v>
      </c>
      <c r="AL48" s="9">
        <f t="shared" si="19"/>
        <v>0</v>
      </c>
      <c r="AM48" s="964"/>
      <c r="AN48" s="967"/>
      <c r="AO48" s="13"/>
      <c r="AP48" s="982">
        <f t="shared" si="20"/>
        <v>4.4357919120727472E-4</v>
      </c>
      <c r="AQ48" s="977">
        <f t="shared" si="24"/>
        <v>4.4357919120727472E-4</v>
      </c>
    </row>
    <row r="49" spans="1:43">
      <c r="A49" s="1"/>
      <c r="B49" s="145"/>
      <c r="C49" s="1"/>
      <c r="D49" s="1"/>
      <c r="E49" s="8"/>
      <c r="F49" s="128"/>
      <c r="G49" s="128"/>
      <c r="H49" s="128"/>
      <c r="I49" s="128"/>
      <c r="J49" s="128"/>
      <c r="K49" s="128"/>
      <c r="L49" s="128"/>
      <c r="M49" s="128"/>
      <c r="N49" s="128"/>
      <c r="O49" s="1"/>
      <c r="AP49" s="2">
        <f>AVERAGE(AP37,-AP39,AP41,-AP43,AP45,-AP47)</f>
        <v>1.6264570344266737E-3</v>
      </c>
      <c r="AQ49" s="983">
        <f>AP49-0.0015</f>
        <v>1.2645703442667371E-4</v>
      </c>
    </row>
    <row r="50" spans="1:4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4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64" spans="1:43">
      <c r="L6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list Moog 3.3.1_+other_07062021</vt:lpstr>
      <vt:lpstr>Pos.3.3.1_Accuracy_Range_300322</vt:lpstr>
      <vt:lpstr>ResZ 20210614</vt:lpstr>
      <vt:lpstr>ResY 20210615</vt:lpstr>
      <vt:lpstr>ResX COR -2758400um</vt:lpstr>
      <vt:lpstr>ResRx COR -2758400um</vt:lpstr>
      <vt:lpstr>ResRy COR -2758400um</vt:lpstr>
      <vt:lpstr>ResRz COR -2758400um</vt:lpstr>
      <vt:lpstr>Repeat.RXRYRZ -2758400um</vt:lpstr>
      <vt:lpstr>RepeatXYZ COR -2758400um</vt:lpstr>
      <vt:lpstr>hexapod summry</vt:lpstr>
      <vt:lpstr>COR from March and June2021</vt:lpstr>
      <vt:lpstr>COR march 2022_comcam mounted</vt:lpstr>
      <vt:lpstr>averXY</vt:lpstr>
      <vt:lpstr>avlaserX0</vt:lpstr>
      <vt:lpstr>avlaserY0</vt:lpstr>
      <vt:lpstr>avlaserZ0</vt:lpstr>
      <vt:lpstr>errX0</vt:lpstr>
      <vt:lpstr>errX01</vt:lpstr>
      <vt:lpstr>errX03</vt:lpstr>
      <vt:lpstr>errX04</vt:lpstr>
      <vt:lpstr>errY0</vt:lpstr>
      <vt:lpstr>errY0.1</vt:lpstr>
      <vt:lpstr>errY0.4</vt:lpstr>
      <vt:lpstr>errY01</vt:lpstr>
      <vt:lpstr>errZ0</vt:lpstr>
      <vt:lpstr>errZ01</vt:lpstr>
      <vt:lpstr>laserX0</vt:lpstr>
      <vt:lpstr>laserY0</vt:lpstr>
      <vt:lpstr>laserZ0</vt:lpstr>
      <vt:lpstr>offCOR</vt:lpstr>
      <vt:lpstr>OffRad</vt:lpstr>
      <vt:lpstr>offset</vt:lpstr>
      <vt:lpstr>offset1</vt:lpstr>
      <vt:lpstr>offset3</vt:lpstr>
      <vt:lpstr>offset4</vt:lpstr>
      <vt:lpstr>offsetRot</vt:lpstr>
      <vt:lpstr>Offsety4</vt:lpstr>
      <vt:lpstr>Offsety5</vt:lpstr>
      <vt:lpstr>Offsety6</vt:lpstr>
      <vt:lpstr>offx1</vt:lpstr>
      <vt:lpstr>offx2</vt:lpstr>
      <vt:lpstr>offy1</vt:lpstr>
      <vt:lpstr>offy2</vt:lpstr>
      <vt:lpstr>offz1</vt:lpstr>
      <vt:lpstr>offz2</vt:lpstr>
      <vt:lpstr>Pos.3.3.1_Accuracy_Range_300322!pivot</vt:lpstr>
      <vt:lpstr>Pos.3.3.1_Accuracy_Range_300322!radius</vt:lpstr>
      <vt:lpstr>repRx</vt:lpstr>
      <vt:lpstr>RepRxRyRz010</vt:lpstr>
      <vt:lpstr>RepRxRyRz011</vt:lpstr>
      <vt:lpstr>RepRxRyRz012</vt:lpstr>
      <vt:lpstr>RepRy</vt:lpstr>
      <vt:lpstr>RepX110</vt:lpstr>
      <vt:lpstr>RepY110</vt:lpstr>
      <vt:lpstr>RepZ110</vt:lpstr>
      <vt:lpstr>resAngle</vt:lpstr>
      <vt:lpstr>ResRx20</vt:lpstr>
      <vt:lpstr>resRx21</vt:lpstr>
      <vt:lpstr>resRx22</vt:lpstr>
      <vt:lpstr>resRX23</vt:lpstr>
      <vt:lpstr>ResRy010</vt:lpstr>
      <vt:lpstr>ResRy011</vt:lpstr>
      <vt:lpstr>ResRy012</vt:lpstr>
      <vt:lpstr>ResRy013</vt:lpstr>
      <vt:lpstr>ResRz010</vt:lpstr>
      <vt:lpstr>ResRz011</vt:lpstr>
      <vt:lpstr>ResRz012</vt:lpstr>
      <vt:lpstr>ResRz013</vt:lpstr>
      <vt:lpstr>ResX100</vt:lpstr>
      <vt:lpstr>ResX101</vt:lpstr>
      <vt:lpstr>Pos.3.3.1_Accuracy_Range_300322!zerox1</vt:lpstr>
      <vt:lpstr>Pos.3.3.1_Accuracy_Range_300322!zerox12</vt:lpstr>
      <vt:lpstr>Pos.3.3.1_Accuracy_Range_300322!zerox13</vt:lpstr>
      <vt:lpstr>Pos.3.3.1_Accuracy_Range_300322!zerox14</vt:lpstr>
      <vt:lpstr>Pos.3.3.1_Accuracy_Range_300322!zerox15</vt:lpstr>
      <vt:lpstr>Pos.3.3.1_Accuracy_Range_300322!zerox2</vt:lpstr>
      <vt:lpstr>Pos.3.3.1_Accuracy_Range_300322!zerox22</vt:lpstr>
      <vt:lpstr>Pos.3.3.1_Accuracy_Range_300322!zerox23</vt:lpstr>
      <vt:lpstr>Pos.3.3.1_Accuracy_Range_300322!zerox24</vt:lpstr>
      <vt:lpstr>Pos.3.3.1_Accuracy_Range_300322!zerox25</vt:lpstr>
      <vt:lpstr>Pos.3.3.1_Accuracy_Range_300322!zerox3</vt:lpstr>
      <vt:lpstr>Pos.3.3.1_Accuracy_Range_300322!zerox32</vt:lpstr>
      <vt:lpstr>Pos.3.3.1_Accuracy_Range_300322!zerox33</vt:lpstr>
      <vt:lpstr>Pos.3.3.1_Accuracy_Range_300322!zerox34</vt:lpstr>
      <vt:lpstr>Pos.3.3.1_Accuracy_Range_300322!zerox35</vt:lpstr>
      <vt:lpstr>Pos.3.3.1_Accuracy_Range_300322!zeroy1</vt:lpstr>
      <vt:lpstr>Pos.3.3.1_Accuracy_Range_300322!zeroy12</vt:lpstr>
      <vt:lpstr>Pos.3.3.1_Accuracy_Range_300322!zeroy13</vt:lpstr>
      <vt:lpstr>Pos.3.3.1_Accuracy_Range_300322!zeroy14</vt:lpstr>
      <vt:lpstr>Pos.3.3.1_Accuracy_Range_300322!zeroy15</vt:lpstr>
      <vt:lpstr>Pos.3.3.1_Accuracy_Range_300322!zeroy2</vt:lpstr>
      <vt:lpstr>Pos.3.3.1_Accuracy_Range_300322!zeroy22</vt:lpstr>
      <vt:lpstr>Pos.3.3.1_Accuracy_Range_300322!zeroy23</vt:lpstr>
      <vt:lpstr>Pos.3.3.1_Accuracy_Range_300322!zeroy24</vt:lpstr>
      <vt:lpstr>Pos.3.3.1_Accuracy_Range_300322!zeroy25</vt:lpstr>
      <vt:lpstr>Pos.3.3.1_Accuracy_Range_300322!zeroy3</vt:lpstr>
      <vt:lpstr>Pos.3.3.1_Accuracy_Range_300322!zeroy32</vt:lpstr>
      <vt:lpstr>Pos.3.3.1_Accuracy_Range_300322!zeroy33</vt:lpstr>
      <vt:lpstr>Pos.3.3.1_Accuracy_Range_300322!zeroy34</vt:lpstr>
      <vt:lpstr>Pos.3.3.1_Accuracy_Range_300322!zeroy35</vt:lpstr>
      <vt:lpstr>Pos.3.3.1_Accuracy_Range_300322!zeroz1</vt:lpstr>
      <vt:lpstr>Pos.3.3.1_Accuracy_Range_300322!zeroz12</vt:lpstr>
      <vt:lpstr>Pos.3.3.1_Accuracy_Range_300322!zeroz13</vt:lpstr>
      <vt:lpstr>Pos.3.3.1_Accuracy_Range_300322!zeroz14</vt:lpstr>
      <vt:lpstr>Pos.3.3.1_Accuracy_Range_300322!zeroz15</vt:lpstr>
      <vt:lpstr>Pos.3.3.1_Accuracy_Range_300322!zeroz2</vt:lpstr>
      <vt:lpstr>Pos.3.3.1_Accuracy_Range_300322!zeroz22</vt:lpstr>
      <vt:lpstr>Pos.3.3.1_Accuracy_Range_300322!zeroz23</vt:lpstr>
      <vt:lpstr>Pos.3.3.1_Accuracy_Range_300322!zeroz24</vt:lpstr>
      <vt:lpstr>Pos.3.3.1_Accuracy_Range_300322!zeroz25</vt:lpstr>
      <vt:lpstr>Pos.3.3.1_Accuracy_Range_300322!zeroz3</vt:lpstr>
      <vt:lpstr>Pos.3.3.1_Accuracy_Range_300322!zeroz32</vt:lpstr>
      <vt:lpstr>Pos.3.3.1_Accuracy_Range_300322!zeroz33</vt:lpstr>
      <vt:lpstr>Pos.3.3.1_Accuracy_Range_300322!zeroz34</vt:lpstr>
      <vt:lpstr>Pos.3.3.1_Accuracy_Range_300322!zeroz35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tighe</dc:creator>
  <cp:lastModifiedBy>Roberto Tighe</cp:lastModifiedBy>
  <cp:lastPrinted>2021-06-14T18:45:50Z</cp:lastPrinted>
  <dcterms:created xsi:type="dcterms:W3CDTF">2021-03-03T18:56:20Z</dcterms:created>
  <dcterms:modified xsi:type="dcterms:W3CDTF">2022-05-16T20:07:18Z</dcterms:modified>
</cp:coreProperties>
</file>