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425" tabRatio="950" firstSheet="10" activeTab="24"/>
  </bookViews>
  <sheets>
    <sheet name="Explanations of the table" sheetId="2" r:id="rId1"/>
    <sheet name="Alfa Laval" sheetId="5" r:id="rId2"/>
    <sheet name="ASSA ABLOY B" sheetId="6" r:id="rId3"/>
    <sheet name="Atlas Copco" sheetId="7" r:id="rId4"/>
    <sheet name="Boliden" sheetId="9" r:id="rId5"/>
    <sheet name="Electrolux B" sheetId="10" r:id="rId6"/>
    <sheet name="Ericsson B" sheetId="1" r:id="rId7"/>
    <sheet name="Getinge B" sheetId="11" r:id="rId8"/>
    <sheet name="Hennes and Mauritz B" sheetId="12" r:id="rId9"/>
    <sheet name="Lundin Petroleum" sheetId="15" r:id="rId10"/>
    <sheet name="Modern times group B" sheetId="16" r:id="rId11"/>
    <sheet name="Sandvik" sheetId="17" r:id="rId12"/>
    <sheet name="SCA B" sheetId="18" r:id="rId13"/>
    <sheet name="Securitas B" sheetId="19" r:id="rId14"/>
    <sheet name="Skanska B" sheetId="20" r:id="rId15"/>
    <sheet name="SKF B" sheetId="21" r:id="rId16"/>
    <sheet name="SSAB A" sheetId="22" r:id="rId17"/>
    <sheet name="Swedish match" sheetId="23" r:id="rId18"/>
    <sheet name="Tele2 B" sheetId="24" r:id="rId19"/>
    <sheet name="TeliaSonera" sheetId="25" r:id="rId20"/>
    <sheet name="Volvo " sheetId="26" r:id="rId21"/>
    <sheet name="Total" sheetId="27" r:id="rId22"/>
    <sheet name="AAK" sheetId="4" r:id="rId23"/>
    <sheet name="Active Biotech" sheetId="13" r:id="rId24"/>
    <sheet name="Addtech" sheetId="14" r:id="rId25"/>
    <sheet name="ÅF B" sheetId="8" r:id="rId26"/>
  </sheets>
  <calcPr calcId="144525"/>
</workbook>
</file>

<file path=xl/calcChain.xml><?xml version="1.0" encoding="utf-8"?>
<calcChain xmlns="http://schemas.openxmlformats.org/spreadsheetml/2006/main">
  <c r="C16" i="13" l="1"/>
  <c r="D16" i="13"/>
  <c r="E16" i="13"/>
  <c r="F16" i="13"/>
  <c r="G16" i="13"/>
  <c r="H16" i="13"/>
  <c r="I16" i="13"/>
  <c r="B16" i="13"/>
  <c r="C14" i="13"/>
  <c r="D14" i="13"/>
  <c r="E14" i="13"/>
  <c r="F14" i="13"/>
  <c r="G14" i="13"/>
  <c r="H14" i="13"/>
  <c r="I14" i="13"/>
  <c r="B14" i="13"/>
  <c r="C3" i="13"/>
  <c r="D3" i="13"/>
  <c r="E3" i="13"/>
  <c r="F3" i="13"/>
  <c r="G3" i="13"/>
  <c r="H3" i="13"/>
  <c r="I3" i="13"/>
  <c r="B3" i="13"/>
  <c r="C13" i="13"/>
  <c r="D13" i="13"/>
  <c r="E13" i="13"/>
  <c r="F13" i="13"/>
  <c r="G13" i="13"/>
  <c r="H13" i="13"/>
  <c r="I13" i="13"/>
  <c r="B13" i="13"/>
  <c r="C15" i="13"/>
  <c r="D15" i="13"/>
  <c r="E15" i="13"/>
  <c r="F15" i="13"/>
  <c r="G15" i="13"/>
  <c r="H15" i="13"/>
  <c r="I15" i="13"/>
  <c r="B15" i="13"/>
  <c r="C17" i="13"/>
  <c r="D17" i="13"/>
  <c r="E17" i="13"/>
  <c r="F17" i="13"/>
  <c r="G17" i="13"/>
  <c r="H17" i="13"/>
  <c r="I17" i="13"/>
  <c r="B17" i="13"/>
  <c r="C11" i="13"/>
  <c r="D11" i="13"/>
  <c r="E11" i="13"/>
  <c r="F11" i="13"/>
  <c r="G11" i="13"/>
  <c r="H11" i="13"/>
  <c r="I11" i="13"/>
  <c r="B11" i="13"/>
  <c r="C8" i="13"/>
  <c r="D8" i="13"/>
  <c r="E8" i="13"/>
  <c r="F8" i="13"/>
  <c r="G8" i="13"/>
  <c r="H8" i="13"/>
  <c r="I8" i="13"/>
  <c r="B8" i="13"/>
  <c r="C6" i="13"/>
  <c r="D6" i="13"/>
  <c r="E6" i="13"/>
  <c r="F6" i="13"/>
  <c r="G6" i="13"/>
  <c r="H6" i="13"/>
  <c r="I6" i="13"/>
  <c r="B6" i="13"/>
  <c r="M14" i="13"/>
  <c r="N14" i="13"/>
  <c r="O14" i="13"/>
  <c r="P14" i="13"/>
  <c r="Q14" i="13"/>
  <c r="R14" i="13"/>
  <c r="S14" i="13"/>
  <c r="L14" i="13"/>
  <c r="C8" i="25" l="1"/>
  <c r="D8" i="25"/>
  <c r="E8" i="25"/>
  <c r="F8" i="25"/>
  <c r="G8" i="25"/>
  <c r="H8" i="25"/>
  <c r="I8" i="25"/>
  <c r="B8" i="25"/>
  <c r="C11" i="25"/>
  <c r="D11" i="25"/>
  <c r="E11" i="25"/>
  <c r="F11" i="25"/>
  <c r="G11" i="25"/>
  <c r="H11" i="25"/>
  <c r="I11" i="25"/>
  <c r="B11" i="25"/>
  <c r="C14" i="25"/>
  <c r="D14" i="25"/>
  <c r="E14" i="25"/>
  <c r="F14" i="25"/>
  <c r="G14" i="25"/>
  <c r="H14" i="25"/>
  <c r="I14" i="25"/>
  <c r="B14" i="25"/>
  <c r="C15" i="25"/>
  <c r="D15" i="25"/>
  <c r="E15" i="25"/>
  <c r="F15" i="25"/>
  <c r="G15" i="25"/>
  <c r="H15" i="25"/>
  <c r="I15" i="25"/>
  <c r="B15" i="25"/>
  <c r="C3" i="25"/>
  <c r="D3" i="25"/>
  <c r="E3" i="25"/>
  <c r="F3" i="25"/>
  <c r="G3" i="25"/>
  <c r="H3" i="25"/>
  <c r="I3" i="25"/>
  <c r="B3" i="25"/>
  <c r="C13" i="25"/>
  <c r="D13" i="25"/>
  <c r="E13" i="25"/>
  <c r="F13" i="25"/>
  <c r="G13" i="25"/>
  <c r="H13" i="25"/>
  <c r="I13" i="25"/>
  <c r="B13" i="25"/>
  <c r="I16" i="25"/>
  <c r="C16" i="25"/>
  <c r="D16" i="25"/>
  <c r="E16" i="25"/>
  <c r="F16" i="25"/>
  <c r="G16" i="25"/>
  <c r="H16" i="25"/>
  <c r="B16" i="25"/>
  <c r="C17" i="25"/>
  <c r="D17" i="25"/>
  <c r="E17" i="25"/>
  <c r="F17" i="25"/>
  <c r="G17" i="25"/>
  <c r="H17" i="25"/>
  <c r="I17" i="25"/>
  <c r="B17" i="25"/>
  <c r="C6" i="25"/>
  <c r="D6" i="25"/>
  <c r="E6" i="25"/>
  <c r="F6" i="25"/>
  <c r="G6" i="25"/>
  <c r="H6" i="25"/>
  <c r="I6" i="25"/>
  <c r="B6" i="25"/>
  <c r="L14" i="25"/>
  <c r="M14" i="25"/>
  <c r="N14" i="25"/>
  <c r="O14" i="25"/>
  <c r="P14" i="25"/>
  <c r="Q14" i="25"/>
  <c r="R14" i="25"/>
  <c r="S14" i="25"/>
  <c r="C14" i="24"/>
  <c r="D14" i="24"/>
  <c r="E14" i="24"/>
  <c r="F14" i="24"/>
  <c r="G14" i="24"/>
  <c r="H14" i="24"/>
  <c r="I14" i="24"/>
  <c r="B14" i="24"/>
  <c r="C15" i="24"/>
  <c r="D15" i="24"/>
  <c r="E15" i="24"/>
  <c r="F15" i="24"/>
  <c r="G15" i="24"/>
  <c r="H15" i="24"/>
  <c r="I15" i="24"/>
  <c r="B15" i="24"/>
  <c r="C16" i="24"/>
  <c r="D16" i="24"/>
  <c r="E16" i="24"/>
  <c r="F16" i="24"/>
  <c r="G16" i="24"/>
  <c r="H16" i="24"/>
  <c r="I16" i="24"/>
  <c r="B16" i="24"/>
  <c r="C17" i="24"/>
  <c r="D17" i="24"/>
  <c r="E17" i="24"/>
  <c r="F17" i="24"/>
  <c r="G17" i="24"/>
  <c r="H17" i="24"/>
  <c r="I17" i="24"/>
  <c r="B17" i="24"/>
  <c r="C13" i="24"/>
  <c r="D13" i="24"/>
  <c r="E13" i="24"/>
  <c r="F13" i="24"/>
  <c r="G13" i="24"/>
  <c r="H13" i="24"/>
  <c r="I13" i="24"/>
  <c r="B13" i="24"/>
  <c r="C11" i="24"/>
  <c r="D11" i="24"/>
  <c r="E11" i="24"/>
  <c r="F11" i="24"/>
  <c r="G11" i="24"/>
  <c r="H11" i="24"/>
  <c r="I11" i="24"/>
  <c r="B11" i="24"/>
  <c r="C6" i="24"/>
  <c r="D6" i="24"/>
  <c r="E6" i="24"/>
  <c r="F6" i="24"/>
  <c r="G6" i="24"/>
  <c r="H6" i="24"/>
  <c r="I6" i="24"/>
  <c r="B6" i="24"/>
  <c r="C3" i="24"/>
  <c r="D3" i="24"/>
  <c r="E3" i="24"/>
  <c r="F3" i="24"/>
  <c r="G3" i="24"/>
  <c r="H3" i="24"/>
  <c r="I3" i="24"/>
  <c r="B3" i="24"/>
  <c r="C8" i="24"/>
  <c r="D8" i="24"/>
  <c r="E8" i="24"/>
  <c r="F8" i="24"/>
  <c r="G8" i="24"/>
  <c r="H8" i="24"/>
  <c r="I8" i="24"/>
  <c r="B8" i="24"/>
  <c r="M14" i="24"/>
  <c r="N14" i="24"/>
  <c r="O14" i="24"/>
  <c r="P14" i="24"/>
  <c r="Q14" i="24"/>
  <c r="R14" i="24"/>
  <c r="S14" i="24"/>
  <c r="L14" i="24"/>
  <c r="C3" i="23"/>
  <c r="D3" i="23"/>
  <c r="E3" i="23"/>
  <c r="F3" i="23"/>
  <c r="G3" i="23"/>
  <c r="H3" i="23"/>
  <c r="I3" i="23"/>
  <c r="B3" i="23"/>
  <c r="C8" i="23"/>
  <c r="D8" i="23"/>
  <c r="E8" i="23"/>
  <c r="F8" i="23"/>
  <c r="G8" i="23"/>
  <c r="H8" i="23"/>
  <c r="I8" i="23"/>
  <c r="B8" i="23"/>
  <c r="C17" i="23"/>
  <c r="D17" i="23"/>
  <c r="E17" i="23"/>
  <c r="F17" i="23"/>
  <c r="G17" i="23"/>
  <c r="H17" i="23"/>
  <c r="I17" i="23"/>
  <c r="B17" i="23"/>
  <c r="C16" i="23"/>
  <c r="D16" i="23"/>
  <c r="E16" i="23"/>
  <c r="F16" i="23"/>
  <c r="G16" i="23"/>
  <c r="H16" i="23"/>
  <c r="I16" i="23"/>
  <c r="B16" i="23"/>
  <c r="C15" i="23"/>
  <c r="D15" i="23"/>
  <c r="E15" i="23"/>
  <c r="F15" i="23"/>
  <c r="G15" i="23"/>
  <c r="H15" i="23"/>
  <c r="I15" i="23"/>
  <c r="B15" i="23"/>
  <c r="C14" i="23"/>
  <c r="D14" i="23"/>
  <c r="E14" i="23"/>
  <c r="F14" i="23"/>
  <c r="G14" i="23"/>
  <c r="H14" i="23"/>
  <c r="I14" i="23"/>
  <c r="B14" i="23"/>
  <c r="C13" i="23"/>
  <c r="D13" i="23"/>
  <c r="E13" i="23"/>
  <c r="F13" i="23"/>
  <c r="G13" i="23"/>
  <c r="H13" i="23"/>
  <c r="I13" i="23"/>
  <c r="B13" i="23"/>
  <c r="C11" i="23" l="1"/>
  <c r="D11" i="23"/>
  <c r="E11" i="23"/>
  <c r="F11" i="23"/>
  <c r="G11" i="23"/>
  <c r="H11" i="23"/>
  <c r="I11" i="23"/>
  <c r="B11" i="23"/>
  <c r="C6" i="23"/>
  <c r="D6" i="23"/>
  <c r="E6" i="23"/>
  <c r="F6" i="23"/>
  <c r="G6" i="23"/>
  <c r="H6" i="23"/>
  <c r="I6" i="23"/>
  <c r="B6" i="23"/>
  <c r="C17" i="22" l="1"/>
  <c r="D17" i="22"/>
  <c r="E17" i="22"/>
  <c r="F17" i="22"/>
  <c r="G17" i="22"/>
  <c r="H17" i="22"/>
  <c r="I17" i="22"/>
  <c r="B17" i="22"/>
  <c r="C15" i="22"/>
  <c r="D15" i="22"/>
  <c r="E15" i="22"/>
  <c r="F15" i="22"/>
  <c r="G15" i="22"/>
  <c r="H15" i="22"/>
  <c r="I15" i="22"/>
  <c r="B15" i="22"/>
  <c r="C14" i="22"/>
  <c r="D14" i="22"/>
  <c r="E14" i="22"/>
  <c r="F14" i="22"/>
  <c r="G14" i="22"/>
  <c r="H14" i="22"/>
  <c r="I14" i="22"/>
  <c r="B14" i="22"/>
  <c r="C13" i="22"/>
  <c r="D13" i="22"/>
  <c r="E13" i="22"/>
  <c r="F13" i="22"/>
  <c r="G13" i="22"/>
  <c r="H13" i="22"/>
  <c r="I13" i="22"/>
  <c r="B13" i="22"/>
  <c r="C11" i="22"/>
  <c r="D11" i="22"/>
  <c r="E11" i="22"/>
  <c r="F11" i="22"/>
  <c r="G11" i="22"/>
  <c r="H11" i="22"/>
  <c r="I11" i="22"/>
  <c r="B11" i="22"/>
  <c r="C8" i="22"/>
  <c r="D8" i="22"/>
  <c r="E8" i="22"/>
  <c r="F8" i="22"/>
  <c r="G8" i="22"/>
  <c r="H8" i="22"/>
  <c r="I8" i="22"/>
  <c r="B8" i="22"/>
  <c r="C3" i="22"/>
  <c r="D3" i="22"/>
  <c r="E3" i="22"/>
  <c r="F3" i="22"/>
  <c r="G3" i="22"/>
  <c r="H3" i="22"/>
  <c r="I3" i="22"/>
  <c r="B3" i="22"/>
  <c r="C6" i="22"/>
  <c r="D6" i="22"/>
  <c r="E6" i="22"/>
  <c r="F6" i="22"/>
  <c r="G6" i="22"/>
  <c r="H6" i="22"/>
  <c r="I6" i="22"/>
  <c r="B6" i="22"/>
  <c r="C16" i="22"/>
  <c r="D16" i="22"/>
  <c r="E16" i="22"/>
  <c r="F16" i="22"/>
  <c r="G16" i="22"/>
  <c r="H16" i="22"/>
  <c r="I16" i="22"/>
  <c r="B16" i="22"/>
  <c r="M14" i="22"/>
  <c r="N14" i="22"/>
  <c r="O14" i="22"/>
  <c r="P14" i="22"/>
  <c r="Q14" i="22"/>
  <c r="R14" i="22"/>
  <c r="S14" i="22"/>
  <c r="L14" i="22"/>
  <c r="C8" i="21"/>
  <c r="D8" i="21"/>
  <c r="E8" i="21"/>
  <c r="F8" i="21"/>
  <c r="G8" i="21"/>
  <c r="H8" i="21"/>
  <c r="I8" i="21"/>
  <c r="B8" i="21"/>
  <c r="C6" i="21"/>
  <c r="D6" i="21"/>
  <c r="E6" i="21"/>
  <c r="F6" i="21"/>
  <c r="G6" i="21"/>
  <c r="H6" i="21"/>
  <c r="I6" i="21"/>
  <c r="B6" i="21"/>
  <c r="C17" i="21"/>
  <c r="D17" i="21"/>
  <c r="E17" i="21"/>
  <c r="F17" i="21"/>
  <c r="G17" i="21"/>
  <c r="H17" i="21"/>
  <c r="I17" i="21"/>
  <c r="B17" i="21"/>
  <c r="C16" i="21"/>
  <c r="D16" i="21"/>
  <c r="E16" i="21"/>
  <c r="F16" i="21"/>
  <c r="G16" i="21"/>
  <c r="H16" i="21"/>
  <c r="I16" i="21"/>
  <c r="B16" i="21"/>
  <c r="C15" i="21"/>
  <c r="D15" i="21"/>
  <c r="E15" i="21"/>
  <c r="F15" i="21"/>
  <c r="G15" i="21"/>
  <c r="H15" i="21"/>
  <c r="I15" i="21"/>
  <c r="B15" i="21"/>
  <c r="C14" i="21"/>
  <c r="D14" i="21"/>
  <c r="E14" i="21"/>
  <c r="F14" i="21"/>
  <c r="G14" i="21"/>
  <c r="H14" i="21"/>
  <c r="I14" i="21"/>
  <c r="B14" i="21"/>
  <c r="C13" i="21"/>
  <c r="D13" i="21"/>
  <c r="E13" i="21"/>
  <c r="F13" i="21"/>
  <c r="G13" i="21"/>
  <c r="H13" i="21"/>
  <c r="I13" i="21"/>
  <c r="B13" i="21"/>
  <c r="C11" i="21"/>
  <c r="D11" i="21"/>
  <c r="E11" i="21"/>
  <c r="F11" i="21"/>
  <c r="G11" i="21"/>
  <c r="H11" i="21"/>
  <c r="I11" i="21"/>
  <c r="B11" i="21"/>
  <c r="C3" i="21"/>
  <c r="D3" i="21"/>
  <c r="E3" i="21"/>
  <c r="F3" i="21"/>
  <c r="G3" i="21"/>
  <c r="H3" i="21"/>
  <c r="I3" i="21"/>
  <c r="B3" i="21"/>
  <c r="M14" i="21"/>
  <c r="N14" i="21"/>
  <c r="O14" i="21"/>
  <c r="P14" i="21"/>
  <c r="Q14" i="21"/>
  <c r="R14" i="21"/>
  <c r="S14" i="21"/>
  <c r="L14" i="21"/>
  <c r="C8" i="20" l="1"/>
  <c r="D8" i="20"/>
  <c r="E8" i="20"/>
  <c r="F8" i="20"/>
  <c r="G8" i="20"/>
  <c r="H8" i="20"/>
  <c r="I8" i="20"/>
  <c r="B8" i="20"/>
  <c r="C17" i="20"/>
  <c r="D17" i="20"/>
  <c r="E17" i="20"/>
  <c r="F17" i="20"/>
  <c r="G17" i="20"/>
  <c r="H17" i="20"/>
  <c r="I17" i="20"/>
  <c r="B17" i="20"/>
  <c r="C16" i="20"/>
  <c r="D16" i="20"/>
  <c r="E16" i="20"/>
  <c r="F16" i="20"/>
  <c r="G16" i="20"/>
  <c r="H16" i="20"/>
  <c r="I16" i="20"/>
  <c r="B16" i="20"/>
  <c r="C15" i="20"/>
  <c r="D15" i="20"/>
  <c r="E15" i="20"/>
  <c r="F15" i="20"/>
  <c r="G15" i="20"/>
  <c r="H15" i="20"/>
  <c r="I15" i="20"/>
  <c r="B15" i="20"/>
  <c r="C14" i="20"/>
  <c r="D14" i="20"/>
  <c r="E14" i="20"/>
  <c r="F14" i="20"/>
  <c r="G14" i="20"/>
  <c r="H14" i="20"/>
  <c r="I14" i="20"/>
  <c r="B14" i="20"/>
  <c r="C13" i="20"/>
  <c r="D13" i="20"/>
  <c r="E13" i="20"/>
  <c r="F13" i="20"/>
  <c r="G13" i="20"/>
  <c r="H13" i="20"/>
  <c r="I13" i="20"/>
  <c r="B13" i="20"/>
  <c r="C11" i="20"/>
  <c r="D11" i="20"/>
  <c r="E11" i="20"/>
  <c r="F11" i="20"/>
  <c r="G11" i="20"/>
  <c r="H11" i="20"/>
  <c r="I11" i="20"/>
  <c r="B11" i="20"/>
  <c r="C6" i="20"/>
  <c r="D6" i="20"/>
  <c r="E6" i="20"/>
  <c r="F6" i="20"/>
  <c r="G6" i="20"/>
  <c r="H6" i="20"/>
  <c r="I6" i="20"/>
  <c r="B6" i="20"/>
  <c r="C3" i="20"/>
  <c r="D3" i="20"/>
  <c r="E3" i="20"/>
  <c r="F3" i="20"/>
  <c r="G3" i="20"/>
  <c r="H3" i="20"/>
  <c r="I3" i="20"/>
  <c r="B3" i="20"/>
  <c r="C8" i="19" l="1"/>
  <c r="D8" i="19"/>
  <c r="E8" i="19"/>
  <c r="F8" i="19"/>
  <c r="G8" i="19"/>
  <c r="H8" i="19"/>
  <c r="I8" i="19"/>
  <c r="B8" i="19"/>
  <c r="C14" i="19"/>
  <c r="D14" i="19"/>
  <c r="E14" i="19"/>
  <c r="F14" i="19"/>
  <c r="G14" i="19"/>
  <c r="H14" i="19"/>
  <c r="I14" i="19"/>
  <c r="B14" i="19"/>
  <c r="C15" i="19"/>
  <c r="D15" i="19"/>
  <c r="E15" i="19"/>
  <c r="F15" i="19"/>
  <c r="G15" i="19"/>
  <c r="H15" i="19"/>
  <c r="I15" i="19"/>
  <c r="B15" i="19"/>
  <c r="C16" i="19"/>
  <c r="D16" i="19"/>
  <c r="E16" i="19"/>
  <c r="F16" i="19"/>
  <c r="G16" i="19"/>
  <c r="H16" i="19"/>
  <c r="I16" i="19"/>
  <c r="B16" i="19"/>
  <c r="C3" i="19"/>
  <c r="D3" i="19"/>
  <c r="E3" i="19"/>
  <c r="F3" i="19"/>
  <c r="G3" i="19"/>
  <c r="H3" i="19"/>
  <c r="I3" i="19"/>
  <c r="B3" i="19"/>
  <c r="C13" i="19"/>
  <c r="D13" i="19"/>
  <c r="E13" i="19"/>
  <c r="F13" i="19"/>
  <c r="G13" i="19"/>
  <c r="H13" i="19"/>
  <c r="I13" i="19"/>
  <c r="B13" i="19"/>
  <c r="C11" i="19"/>
  <c r="D11" i="19"/>
  <c r="E11" i="19"/>
  <c r="F11" i="19"/>
  <c r="G11" i="19"/>
  <c r="H11" i="19"/>
  <c r="I11" i="19"/>
  <c r="B11" i="19"/>
  <c r="C17" i="19"/>
  <c r="D17" i="19"/>
  <c r="E17" i="19"/>
  <c r="F17" i="19"/>
  <c r="G17" i="19"/>
  <c r="H17" i="19"/>
  <c r="I17" i="19"/>
  <c r="B17" i="19"/>
  <c r="C6" i="19"/>
  <c r="D6" i="19"/>
  <c r="E6" i="19"/>
  <c r="F6" i="19"/>
  <c r="G6" i="19"/>
  <c r="H6" i="19"/>
  <c r="I6" i="19"/>
  <c r="B6" i="19"/>
  <c r="M14" i="19"/>
  <c r="N14" i="19"/>
  <c r="O14" i="19"/>
  <c r="P14" i="19"/>
  <c r="Q14" i="19"/>
  <c r="R14" i="19"/>
  <c r="S14" i="19"/>
  <c r="L14" i="19"/>
  <c r="C8" i="17"/>
  <c r="D8" i="17"/>
  <c r="E8" i="17"/>
  <c r="F8" i="17"/>
  <c r="G8" i="17"/>
  <c r="H8" i="17"/>
  <c r="I8" i="17"/>
  <c r="C14" i="17"/>
  <c r="D14" i="17"/>
  <c r="E14" i="17"/>
  <c r="F14" i="17"/>
  <c r="G14" i="17"/>
  <c r="H14" i="17"/>
  <c r="I14" i="17"/>
  <c r="B14" i="17"/>
  <c r="C15" i="17"/>
  <c r="D15" i="17"/>
  <c r="E15" i="17"/>
  <c r="F15" i="17"/>
  <c r="G15" i="17"/>
  <c r="H15" i="17"/>
  <c r="I15" i="17"/>
  <c r="B15" i="17"/>
  <c r="C17" i="17"/>
  <c r="D17" i="17"/>
  <c r="E17" i="17"/>
  <c r="F17" i="17"/>
  <c r="G17" i="17"/>
  <c r="H17" i="17"/>
  <c r="I17" i="17"/>
  <c r="B17" i="17"/>
  <c r="C16" i="17"/>
  <c r="D16" i="17"/>
  <c r="E16" i="17"/>
  <c r="F16" i="17"/>
  <c r="G16" i="17"/>
  <c r="H16" i="17"/>
  <c r="I16" i="17"/>
  <c r="B16" i="17"/>
  <c r="C13" i="17"/>
  <c r="D13" i="17"/>
  <c r="E13" i="17"/>
  <c r="F13" i="17"/>
  <c r="G13" i="17"/>
  <c r="H13" i="17"/>
  <c r="I13" i="17"/>
  <c r="B13" i="17"/>
  <c r="C11" i="17"/>
  <c r="D11" i="17"/>
  <c r="E11" i="17"/>
  <c r="F11" i="17"/>
  <c r="G11" i="17"/>
  <c r="H11" i="17"/>
  <c r="I11" i="17"/>
  <c r="B11" i="17"/>
  <c r="C3" i="17"/>
  <c r="D3" i="17"/>
  <c r="E3" i="17"/>
  <c r="F3" i="17"/>
  <c r="G3" i="17"/>
  <c r="H3" i="17"/>
  <c r="I3" i="17"/>
  <c r="B3" i="17"/>
  <c r="C6" i="17"/>
  <c r="D6" i="17"/>
  <c r="E6" i="17"/>
  <c r="F6" i="17"/>
  <c r="G6" i="17"/>
  <c r="H6" i="17"/>
  <c r="I6" i="17"/>
  <c r="B6" i="17"/>
  <c r="M14" i="17"/>
  <c r="N14" i="17"/>
  <c r="O14" i="17"/>
  <c r="P14" i="17"/>
  <c r="Q14" i="17"/>
  <c r="R14" i="17"/>
  <c r="S14" i="17"/>
  <c r="L14" i="17"/>
  <c r="B8" i="17" s="1"/>
  <c r="C8" i="18"/>
  <c r="D8" i="18"/>
  <c r="E8" i="18"/>
  <c r="F8" i="18"/>
  <c r="G8" i="18"/>
  <c r="H8" i="18"/>
  <c r="I8" i="18"/>
  <c r="B8" i="18"/>
  <c r="C17" i="18"/>
  <c r="D17" i="18"/>
  <c r="E17" i="18"/>
  <c r="F17" i="18"/>
  <c r="G17" i="18"/>
  <c r="H17" i="18"/>
  <c r="I17" i="18"/>
  <c r="B17" i="18"/>
  <c r="C16" i="18"/>
  <c r="D16" i="18"/>
  <c r="E16" i="18"/>
  <c r="F16" i="18"/>
  <c r="G16" i="18"/>
  <c r="H16" i="18"/>
  <c r="I16" i="18"/>
  <c r="B16" i="18"/>
  <c r="C15" i="18"/>
  <c r="D15" i="18"/>
  <c r="E15" i="18"/>
  <c r="F15" i="18"/>
  <c r="G15" i="18"/>
  <c r="H15" i="18"/>
  <c r="I15" i="18"/>
  <c r="B15" i="18"/>
  <c r="C14" i="18"/>
  <c r="D14" i="18"/>
  <c r="E14" i="18"/>
  <c r="F14" i="18"/>
  <c r="G14" i="18"/>
  <c r="H14" i="18"/>
  <c r="I14" i="18"/>
  <c r="B14" i="18"/>
  <c r="C13" i="18"/>
  <c r="D13" i="18"/>
  <c r="E13" i="18"/>
  <c r="F13" i="18"/>
  <c r="G13" i="18"/>
  <c r="H13" i="18"/>
  <c r="I13" i="18"/>
  <c r="B13" i="18"/>
  <c r="C11" i="18"/>
  <c r="D11" i="18"/>
  <c r="E11" i="18"/>
  <c r="F11" i="18"/>
  <c r="G11" i="18"/>
  <c r="H11" i="18"/>
  <c r="I11" i="18"/>
  <c r="B11" i="18"/>
  <c r="C3" i="18"/>
  <c r="D3" i="18"/>
  <c r="E3" i="18"/>
  <c r="F3" i="18"/>
  <c r="G3" i="18"/>
  <c r="H3" i="18"/>
  <c r="I3" i="18"/>
  <c r="B3" i="18"/>
  <c r="I6" i="18"/>
  <c r="C6" i="18"/>
  <c r="D6" i="18"/>
  <c r="E6" i="18"/>
  <c r="F6" i="18"/>
  <c r="G6" i="18"/>
  <c r="H6" i="18"/>
  <c r="B6" i="18"/>
  <c r="M14" i="18"/>
  <c r="N14" i="18"/>
  <c r="O14" i="18"/>
  <c r="P14" i="18"/>
  <c r="Q14" i="18"/>
  <c r="R14" i="18"/>
  <c r="S14" i="18"/>
  <c r="L14" i="18"/>
  <c r="I8" i="16"/>
  <c r="C8" i="16"/>
  <c r="D8" i="16"/>
  <c r="E8" i="16"/>
  <c r="F8" i="16"/>
  <c r="G8" i="16"/>
  <c r="H8" i="16"/>
  <c r="B8" i="16"/>
  <c r="C14" i="16"/>
  <c r="D14" i="16"/>
  <c r="E14" i="16"/>
  <c r="F14" i="16"/>
  <c r="G14" i="16"/>
  <c r="H14" i="16"/>
  <c r="I14" i="16"/>
  <c r="B14" i="16"/>
  <c r="C15" i="16"/>
  <c r="D15" i="16"/>
  <c r="E15" i="16"/>
  <c r="F15" i="16"/>
  <c r="G15" i="16"/>
  <c r="H15" i="16"/>
  <c r="I15" i="16"/>
  <c r="B15" i="16"/>
  <c r="C17" i="16"/>
  <c r="D17" i="16"/>
  <c r="E17" i="16"/>
  <c r="F17" i="16"/>
  <c r="G17" i="16"/>
  <c r="H17" i="16"/>
  <c r="I17" i="16"/>
  <c r="B17" i="16"/>
  <c r="C16" i="16"/>
  <c r="D16" i="16"/>
  <c r="E16" i="16"/>
  <c r="F16" i="16"/>
  <c r="G16" i="16"/>
  <c r="H16" i="16"/>
  <c r="I16" i="16"/>
  <c r="B16" i="16"/>
  <c r="C13" i="16"/>
  <c r="D13" i="16"/>
  <c r="E13" i="16"/>
  <c r="F13" i="16"/>
  <c r="G13" i="16"/>
  <c r="H13" i="16"/>
  <c r="I13" i="16"/>
  <c r="B13" i="16"/>
  <c r="C3" i="16"/>
  <c r="D3" i="16"/>
  <c r="E3" i="16"/>
  <c r="F3" i="16"/>
  <c r="G3" i="16"/>
  <c r="H3" i="16"/>
  <c r="I3" i="16"/>
  <c r="B3" i="16"/>
  <c r="C11" i="16"/>
  <c r="D11" i="16"/>
  <c r="E11" i="16"/>
  <c r="F11" i="16"/>
  <c r="G11" i="16"/>
  <c r="H11" i="16"/>
  <c r="I11" i="16"/>
  <c r="B11" i="16"/>
  <c r="C6" i="16"/>
  <c r="D6" i="16"/>
  <c r="E6" i="16"/>
  <c r="F6" i="16"/>
  <c r="G6" i="16"/>
  <c r="H6" i="16"/>
  <c r="I6" i="16"/>
  <c r="B6" i="16"/>
  <c r="L13" i="16"/>
  <c r="M13" i="16"/>
  <c r="N13" i="16"/>
  <c r="O13" i="16"/>
  <c r="P13" i="16"/>
  <c r="Q13" i="16"/>
  <c r="R13" i="16"/>
  <c r="S13" i="16"/>
  <c r="C8" i="15" l="1"/>
  <c r="D8" i="15"/>
  <c r="E8" i="15"/>
  <c r="F8" i="15"/>
  <c r="G8" i="15"/>
  <c r="H8" i="15"/>
  <c r="I8" i="15"/>
  <c r="B8" i="15"/>
  <c r="C14" i="15"/>
  <c r="D14" i="15"/>
  <c r="E14" i="15"/>
  <c r="F14" i="15"/>
  <c r="G14" i="15"/>
  <c r="H14" i="15"/>
  <c r="I14" i="15"/>
  <c r="B14" i="15"/>
  <c r="C17" i="15"/>
  <c r="D17" i="15"/>
  <c r="E17" i="15"/>
  <c r="F17" i="15"/>
  <c r="G17" i="15"/>
  <c r="H17" i="15"/>
  <c r="I17" i="15"/>
  <c r="B17" i="15"/>
  <c r="C16" i="15"/>
  <c r="D16" i="15"/>
  <c r="E16" i="15"/>
  <c r="F16" i="15"/>
  <c r="G16" i="15"/>
  <c r="H16" i="15"/>
  <c r="I16" i="15"/>
  <c r="B16" i="15"/>
  <c r="C15" i="15"/>
  <c r="D15" i="15"/>
  <c r="E15" i="15"/>
  <c r="F15" i="15"/>
  <c r="G15" i="15"/>
  <c r="H15" i="15"/>
  <c r="I15" i="15"/>
  <c r="B15" i="15"/>
  <c r="C13" i="15"/>
  <c r="D13" i="15"/>
  <c r="E13" i="15"/>
  <c r="F13" i="15"/>
  <c r="G13" i="15"/>
  <c r="H13" i="15"/>
  <c r="I13" i="15"/>
  <c r="B13" i="15"/>
  <c r="C11" i="15"/>
  <c r="D11" i="15"/>
  <c r="E11" i="15"/>
  <c r="F11" i="15"/>
  <c r="G11" i="15"/>
  <c r="H11" i="15"/>
  <c r="I11" i="15"/>
  <c r="B11" i="15"/>
  <c r="P14" i="15"/>
  <c r="S3" i="15"/>
  <c r="R3" i="15"/>
  <c r="H6" i="15" s="1"/>
  <c r="Q3" i="15"/>
  <c r="G6" i="15" s="1"/>
  <c r="P3" i="15"/>
  <c r="O3" i="15"/>
  <c r="E6" i="15" s="1"/>
  <c r="N3" i="15"/>
  <c r="D6" i="15" s="1"/>
  <c r="M3" i="15"/>
  <c r="C6" i="15" s="1"/>
  <c r="F6" i="15"/>
  <c r="I6" i="15"/>
  <c r="B6" i="15"/>
  <c r="C3" i="15"/>
  <c r="D3" i="15"/>
  <c r="E3" i="15"/>
  <c r="F3" i="15"/>
  <c r="G3" i="15"/>
  <c r="H3" i="15"/>
  <c r="I3" i="15"/>
  <c r="B3" i="15"/>
  <c r="S9" i="15"/>
  <c r="R9" i="15"/>
  <c r="Q9" i="15"/>
  <c r="P9" i="15"/>
  <c r="L3" i="15"/>
  <c r="P8" i="15"/>
  <c r="Q8" i="15"/>
  <c r="R8" i="15"/>
  <c r="S8" i="15"/>
  <c r="P11" i="15"/>
  <c r="Q11" i="15"/>
  <c r="R11" i="15"/>
  <c r="S11" i="15"/>
  <c r="P5" i="15"/>
  <c r="Q5" i="15"/>
  <c r="R5" i="15"/>
  <c r="S5" i="15"/>
  <c r="P4" i="15"/>
  <c r="Q4" i="15"/>
  <c r="R4" i="15"/>
  <c r="S4" i="15"/>
  <c r="P2" i="15"/>
  <c r="Q2" i="15"/>
  <c r="R2" i="15"/>
  <c r="S2" i="15"/>
  <c r="F20" i="15"/>
  <c r="G20" i="15"/>
  <c r="H20" i="15"/>
  <c r="I20" i="15"/>
  <c r="P10" i="15"/>
  <c r="Q10" i="15"/>
  <c r="R10" i="15"/>
  <c r="S10" i="15"/>
  <c r="F4" i="15"/>
  <c r="G4" i="15"/>
  <c r="I4" i="15"/>
  <c r="H4" i="15"/>
  <c r="M14" i="15"/>
  <c r="N14" i="15"/>
  <c r="O14" i="15"/>
  <c r="Q14" i="15"/>
  <c r="R14" i="15"/>
  <c r="S14" i="15"/>
  <c r="L14" i="15"/>
  <c r="C14" i="12" l="1"/>
  <c r="D14" i="12"/>
  <c r="E14" i="12"/>
  <c r="F14" i="12"/>
  <c r="G14" i="12"/>
  <c r="H14" i="12"/>
  <c r="I14" i="12"/>
  <c r="B14" i="12"/>
  <c r="C15" i="12"/>
  <c r="D15" i="12"/>
  <c r="E15" i="12"/>
  <c r="F15" i="12"/>
  <c r="G15" i="12"/>
  <c r="H15" i="12"/>
  <c r="I15" i="12"/>
  <c r="B15" i="12"/>
  <c r="C16" i="12"/>
  <c r="D16" i="12"/>
  <c r="E16" i="12"/>
  <c r="F16" i="12"/>
  <c r="G16" i="12"/>
  <c r="H16" i="12"/>
  <c r="I16" i="12"/>
  <c r="B16" i="12"/>
  <c r="C17" i="12"/>
  <c r="D17" i="12"/>
  <c r="E17" i="12"/>
  <c r="F17" i="12"/>
  <c r="G17" i="12"/>
  <c r="H17" i="12"/>
  <c r="I17" i="12"/>
  <c r="B17" i="12"/>
  <c r="C13" i="12"/>
  <c r="D13" i="12"/>
  <c r="E13" i="12"/>
  <c r="F13" i="12"/>
  <c r="G13" i="12"/>
  <c r="H13" i="12"/>
  <c r="I13" i="12"/>
  <c r="B13" i="12"/>
  <c r="C11" i="12"/>
  <c r="D11" i="12"/>
  <c r="E11" i="12"/>
  <c r="F11" i="12"/>
  <c r="G11" i="12"/>
  <c r="H11" i="12"/>
  <c r="I11" i="12"/>
  <c r="B11" i="12"/>
  <c r="C8" i="12"/>
  <c r="D8" i="12"/>
  <c r="E8" i="12"/>
  <c r="F8" i="12"/>
  <c r="G8" i="12"/>
  <c r="H8" i="12"/>
  <c r="I8" i="12"/>
  <c r="B8" i="12"/>
  <c r="C6" i="12"/>
  <c r="D6" i="12"/>
  <c r="E6" i="12"/>
  <c r="F6" i="12"/>
  <c r="G6" i="12"/>
  <c r="H6" i="12"/>
  <c r="I6" i="12"/>
  <c r="B6" i="12"/>
  <c r="C3" i="12"/>
  <c r="D3" i="12"/>
  <c r="E3" i="12"/>
  <c r="F3" i="12"/>
  <c r="G3" i="12"/>
  <c r="H3" i="12"/>
  <c r="I3" i="12"/>
  <c r="B3" i="12"/>
  <c r="M14" i="12"/>
  <c r="N14" i="12"/>
  <c r="O14" i="12"/>
  <c r="P14" i="12"/>
  <c r="Q14" i="12"/>
  <c r="R14" i="12"/>
  <c r="S14" i="12"/>
  <c r="L14" i="12"/>
  <c r="B14" i="5"/>
  <c r="C14" i="11"/>
  <c r="D14" i="11"/>
  <c r="E14" i="11"/>
  <c r="F14" i="11"/>
  <c r="G14" i="11"/>
  <c r="H14" i="11"/>
  <c r="I14" i="11"/>
  <c r="B14" i="11"/>
  <c r="C15" i="11"/>
  <c r="D15" i="11"/>
  <c r="E15" i="11"/>
  <c r="F15" i="11"/>
  <c r="G15" i="11"/>
  <c r="H15" i="11"/>
  <c r="I15" i="11"/>
  <c r="B15" i="11"/>
  <c r="C16" i="11"/>
  <c r="D16" i="11"/>
  <c r="E16" i="11"/>
  <c r="F16" i="11"/>
  <c r="G16" i="11"/>
  <c r="H16" i="11"/>
  <c r="I16" i="11"/>
  <c r="B16" i="11"/>
  <c r="C13" i="11"/>
  <c r="D13" i="11"/>
  <c r="E13" i="11"/>
  <c r="F13" i="11"/>
  <c r="G13" i="11"/>
  <c r="H13" i="11"/>
  <c r="I13" i="11"/>
  <c r="B13" i="11"/>
  <c r="C11" i="11"/>
  <c r="D11" i="11"/>
  <c r="E11" i="11"/>
  <c r="F11" i="11"/>
  <c r="G11" i="11"/>
  <c r="H11" i="11"/>
  <c r="I11" i="11"/>
  <c r="B11" i="11"/>
  <c r="C8" i="11"/>
  <c r="D8" i="11"/>
  <c r="E8" i="11"/>
  <c r="F8" i="11"/>
  <c r="G8" i="11"/>
  <c r="H8" i="11"/>
  <c r="I8" i="11"/>
  <c r="B8" i="11"/>
  <c r="C6" i="11"/>
  <c r="D6" i="11"/>
  <c r="E6" i="11"/>
  <c r="F6" i="11"/>
  <c r="G6" i="11"/>
  <c r="H6" i="11"/>
  <c r="I6" i="11"/>
  <c r="B6" i="11"/>
  <c r="C3" i="11"/>
  <c r="D3" i="11"/>
  <c r="E3" i="11"/>
  <c r="F3" i="11"/>
  <c r="G3" i="11"/>
  <c r="H3" i="11"/>
  <c r="I3" i="11"/>
  <c r="B3" i="11"/>
  <c r="C17" i="11"/>
  <c r="D17" i="11"/>
  <c r="E17" i="11"/>
  <c r="F17" i="11"/>
  <c r="G17" i="11"/>
  <c r="H17" i="11"/>
  <c r="I17" i="11"/>
  <c r="B17" i="11"/>
  <c r="P14" i="11"/>
  <c r="Q14" i="11"/>
  <c r="R14" i="11"/>
  <c r="S14" i="11"/>
  <c r="M14" i="11"/>
  <c r="N14" i="11"/>
  <c r="O14" i="11"/>
  <c r="L14" i="11"/>
  <c r="C8" i="1" l="1"/>
  <c r="D8" i="1"/>
  <c r="E8" i="1"/>
  <c r="F8" i="1"/>
  <c r="G8" i="1"/>
  <c r="H8" i="1"/>
  <c r="I8" i="1"/>
  <c r="B8" i="1"/>
  <c r="C14" i="1"/>
  <c r="D14" i="1"/>
  <c r="E14" i="1"/>
  <c r="F14" i="1"/>
  <c r="G14" i="1"/>
  <c r="H14" i="1"/>
  <c r="I14" i="1"/>
  <c r="B14" i="1"/>
  <c r="C17" i="1"/>
  <c r="D17" i="1"/>
  <c r="E17" i="1"/>
  <c r="F17" i="1"/>
  <c r="G17" i="1"/>
  <c r="H17" i="1"/>
  <c r="I17" i="1"/>
  <c r="B17" i="1"/>
  <c r="C16" i="1"/>
  <c r="D16" i="1"/>
  <c r="E16" i="1"/>
  <c r="F16" i="1"/>
  <c r="G16" i="1"/>
  <c r="H16" i="1"/>
  <c r="I16" i="1"/>
  <c r="B16" i="1"/>
  <c r="C15" i="1"/>
  <c r="D15" i="1"/>
  <c r="E15" i="1"/>
  <c r="F15" i="1"/>
  <c r="G15" i="1"/>
  <c r="H15" i="1"/>
  <c r="I15" i="1"/>
  <c r="B15" i="1"/>
  <c r="C13" i="1"/>
  <c r="D13" i="1"/>
  <c r="E13" i="1"/>
  <c r="F13" i="1"/>
  <c r="G13" i="1"/>
  <c r="H13" i="1"/>
  <c r="I13" i="1"/>
  <c r="B13" i="1"/>
  <c r="C11" i="1"/>
  <c r="D11" i="1"/>
  <c r="E11" i="1"/>
  <c r="F11" i="1"/>
  <c r="G11" i="1"/>
  <c r="H11" i="1"/>
  <c r="I11" i="1"/>
  <c r="B11" i="1"/>
  <c r="C6" i="1"/>
  <c r="D6" i="1"/>
  <c r="E6" i="1"/>
  <c r="F6" i="1"/>
  <c r="G6" i="1"/>
  <c r="H6" i="1"/>
  <c r="I6" i="1"/>
  <c r="B6" i="1"/>
  <c r="C3" i="1"/>
  <c r="D3" i="1"/>
  <c r="E3" i="1"/>
  <c r="F3" i="1"/>
  <c r="G3" i="1"/>
  <c r="H3" i="1"/>
  <c r="I3" i="1"/>
  <c r="B3" i="1"/>
  <c r="M14" i="1"/>
  <c r="N14" i="1"/>
  <c r="O14" i="1"/>
  <c r="P14" i="1"/>
  <c r="Q14" i="1"/>
  <c r="R14" i="1"/>
  <c r="S14" i="1"/>
  <c r="L14" i="1"/>
  <c r="C8" i="10" l="1"/>
  <c r="D8" i="10"/>
  <c r="E8" i="10"/>
  <c r="F8" i="10"/>
  <c r="G8" i="10"/>
  <c r="H8" i="10"/>
  <c r="I8" i="10"/>
  <c r="B8" i="10"/>
  <c r="C17" i="10"/>
  <c r="D17" i="10"/>
  <c r="E17" i="10"/>
  <c r="F17" i="10"/>
  <c r="G17" i="10"/>
  <c r="H17" i="10"/>
  <c r="I17" i="10"/>
  <c r="B17" i="10"/>
  <c r="I14" i="10"/>
  <c r="C14" i="10"/>
  <c r="D14" i="10"/>
  <c r="E14" i="10"/>
  <c r="F14" i="10"/>
  <c r="G14" i="10"/>
  <c r="H14" i="10"/>
  <c r="B14" i="10"/>
  <c r="C15" i="10"/>
  <c r="D15" i="10"/>
  <c r="E15" i="10"/>
  <c r="F15" i="10"/>
  <c r="G15" i="10"/>
  <c r="H15" i="10"/>
  <c r="I15" i="10"/>
  <c r="B15" i="10"/>
  <c r="C13" i="10"/>
  <c r="D13" i="10"/>
  <c r="E13" i="10"/>
  <c r="F13" i="10"/>
  <c r="G13" i="10"/>
  <c r="H13" i="10"/>
  <c r="I13" i="10"/>
  <c r="B13" i="10"/>
  <c r="C11" i="10"/>
  <c r="D11" i="10"/>
  <c r="E11" i="10"/>
  <c r="F11" i="10"/>
  <c r="G11" i="10"/>
  <c r="H11" i="10"/>
  <c r="I11" i="10"/>
  <c r="B11" i="10"/>
  <c r="C6" i="10"/>
  <c r="D6" i="10"/>
  <c r="E6" i="10"/>
  <c r="F6" i="10"/>
  <c r="G6" i="10"/>
  <c r="H6" i="10"/>
  <c r="I6" i="10"/>
  <c r="B6" i="10"/>
  <c r="C3" i="10"/>
  <c r="D3" i="10"/>
  <c r="E3" i="10"/>
  <c r="F3" i="10"/>
  <c r="G3" i="10"/>
  <c r="H3" i="10"/>
  <c r="I3" i="10"/>
  <c r="B3" i="10"/>
  <c r="M14" i="10"/>
  <c r="N14" i="10"/>
  <c r="O14" i="10"/>
  <c r="P14" i="10"/>
  <c r="Q14" i="10"/>
  <c r="R14" i="10"/>
  <c r="S14" i="10"/>
  <c r="L14" i="10"/>
  <c r="C6" i="26"/>
  <c r="D6" i="26"/>
  <c r="E6" i="26"/>
  <c r="F6" i="26"/>
  <c r="G6" i="26"/>
  <c r="H6" i="26"/>
  <c r="I6" i="26"/>
  <c r="R6" i="26"/>
  <c r="C8" i="9"/>
  <c r="D8" i="9"/>
  <c r="E8" i="9"/>
  <c r="F8" i="9"/>
  <c r="G8" i="9"/>
  <c r="H8" i="9"/>
  <c r="I8" i="9"/>
  <c r="B8" i="9"/>
  <c r="C14" i="9"/>
  <c r="D14" i="9"/>
  <c r="E14" i="9"/>
  <c r="F14" i="9"/>
  <c r="G14" i="9"/>
  <c r="H14" i="9"/>
  <c r="I14" i="9"/>
  <c r="B14" i="9"/>
  <c r="C15" i="9"/>
  <c r="D15" i="9"/>
  <c r="E15" i="9"/>
  <c r="F15" i="9"/>
  <c r="G15" i="9"/>
  <c r="H15" i="9"/>
  <c r="I15" i="9"/>
  <c r="B15" i="9"/>
  <c r="C17" i="9"/>
  <c r="D17" i="9"/>
  <c r="E17" i="9"/>
  <c r="F17" i="9"/>
  <c r="G17" i="9"/>
  <c r="H17" i="9"/>
  <c r="I17" i="9"/>
  <c r="B17" i="9"/>
  <c r="C16" i="9"/>
  <c r="D16" i="9"/>
  <c r="E16" i="9"/>
  <c r="F16" i="9"/>
  <c r="G16" i="9"/>
  <c r="H16" i="9"/>
  <c r="I16" i="9"/>
  <c r="B16" i="9"/>
  <c r="C13" i="9"/>
  <c r="D13" i="9"/>
  <c r="E13" i="9"/>
  <c r="F13" i="9"/>
  <c r="G13" i="9"/>
  <c r="H13" i="9"/>
  <c r="I13" i="9"/>
  <c r="B13" i="9"/>
  <c r="C11" i="9"/>
  <c r="D11" i="9"/>
  <c r="E11" i="9"/>
  <c r="F11" i="9"/>
  <c r="G11" i="9"/>
  <c r="H11" i="9"/>
  <c r="I11" i="9"/>
  <c r="B11" i="9"/>
  <c r="C6" i="9"/>
  <c r="D6" i="9"/>
  <c r="E6" i="9"/>
  <c r="F6" i="9"/>
  <c r="G6" i="9"/>
  <c r="H6" i="9"/>
  <c r="I6" i="9"/>
  <c r="B6" i="9"/>
  <c r="I3" i="9"/>
  <c r="H3" i="9"/>
  <c r="G3" i="9"/>
  <c r="F3" i="9"/>
  <c r="E3" i="9"/>
  <c r="D3" i="9"/>
  <c r="C3" i="9"/>
  <c r="B3" i="9"/>
  <c r="M14" i="9"/>
  <c r="N14" i="9"/>
  <c r="O14" i="9"/>
  <c r="P14" i="9"/>
  <c r="Q14" i="9"/>
  <c r="R14" i="9"/>
  <c r="S14" i="9"/>
  <c r="L14" i="9"/>
  <c r="B8" i="7" l="1"/>
  <c r="C8" i="7"/>
  <c r="D8" i="7"/>
  <c r="E8" i="7"/>
  <c r="F8" i="7"/>
  <c r="G8" i="7"/>
  <c r="H8" i="7"/>
  <c r="I8" i="7"/>
  <c r="C14" i="7"/>
  <c r="D14" i="7"/>
  <c r="E14" i="7"/>
  <c r="F14" i="7"/>
  <c r="G14" i="7"/>
  <c r="H14" i="7"/>
  <c r="I14" i="7"/>
  <c r="B14" i="7"/>
  <c r="C15" i="7"/>
  <c r="D15" i="7"/>
  <c r="E15" i="7"/>
  <c r="F15" i="7"/>
  <c r="G15" i="7"/>
  <c r="H15" i="7"/>
  <c r="I15" i="7"/>
  <c r="B15" i="7"/>
  <c r="C17" i="7"/>
  <c r="D17" i="7"/>
  <c r="E17" i="7"/>
  <c r="F17" i="7"/>
  <c r="G17" i="7"/>
  <c r="H17" i="7"/>
  <c r="I17" i="7"/>
  <c r="B17" i="7"/>
  <c r="C16" i="7"/>
  <c r="D16" i="7"/>
  <c r="E16" i="7"/>
  <c r="F16" i="7"/>
  <c r="G16" i="7"/>
  <c r="H16" i="7"/>
  <c r="I16" i="7"/>
  <c r="B16" i="7"/>
  <c r="C13" i="7"/>
  <c r="D13" i="7"/>
  <c r="E13" i="7"/>
  <c r="F13" i="7"/>
  <c r="G13" i="7"/>
  <c r="H13" i="7"/>
  <c r="I13" i="7"/>
  <c r="B13" i="7"/>
  <c r="C11" i="7"/>
  <c r="D11" i="7"/>
  <c r="E11" i="7"/>
  <c r="F11" i="7"/>
  <c r="G11" i="7"/>
  <c r="H11" i="7"/>
  <c r="I11" i="7"/>
  <c r="B11" i="7"/>
  <c r="C10" i="7"/>
  <c r="D10" i="7"/>
  <c r="E10" i="7"/>
  <c r="F10" i="7"/>
  <c r="G10" i="7"/>
  <c r="H10" i="7"/>
  <c r="I10" i="7"/>
  <c r="B10" i="7"/>
  <c r="C6" i="7"/>
  <c r="D6" i="7"/>
  <c r="E6" i="7"/>
  <c r="F6" i="7"/>
  <c r="G6" i="7"/>
  <c r="H6" i="7"/>
  <c r="I6" i="7"/>
  <c r="B6" i="7"/>
  <c r="C3" i="7"/>
  <c r="D3" i="7"/>
  <c r="E3" i="7"/>
  <c r="F3" i="7"/>
  <c r="G3" i="7"/>
  <c r="H3" i="7"/>
  <c r="I3" i="7"/>
  <c r="B3" i="7"/>
  <c r="C8" i="6" l="1"/>
  <c r="D8" i="6"/>
  <c r="E8" i="6"/>
  <c r="F8" i="6"/>
  <c r="G8" i="6"/>
  <c r="H8" i="6"/>
  <c r="I8" i="6"/>
  <c r="B8" i="6"/>
  <c r="I14" i="6"/>
  <c r="C14" i="6"/>
  <c r="D14" i="6"/>
  <c r="E14" i="6"/>
  <c r="F14" i="6"/>
  <c r="G14" i="6"/>
  <c r="H14" i="6"/>
  <c r="B14" i="6"/>
  <c r="C15" i="6"/>
  <c r="D15" i="6"/>
  <c r="E15" i="6"/>
  <c r="F15" i="6"/>
  <c r="G15" i="6"/>
  <c r="H15" i="6"/>
  <c r="I15" i="6"/>
  <c r="B15" i="6"/>
  <c r="C17" i="6"/>
  <c r="D17" i="6"/>
  <c r="E17" i="6"/>
  <c r="F17" i="6"/>
  <c r="G17" i="6"/>
  <c r="H17" i="6"/>
  <c r="I17" i="6"/>
  <c r="B17" i="6"/>
  <c r="C16" i="6"/>
  <c r="D16" i="6"/>
  <c r="E16" i="6"/>
  <c r="F16" i="6"/>
  <c r="G16" i="6"/>
  <c r="H16" i="6"/>
  <c r="I16" i="6"/>
  <c r="B16" i="6"/>
  <c r="C13" i="6"/>
  <c r="D13" i="6"/>
  <c r="E13" i="6"/>
  <c r="F13" i="6"/>
  <c r="G13" i="6"/>
  <c r="H13" i="6"/>
  <c r="I13" i="6"/>
  <c r="B13" i="6"/>
  <c r="C11" i="6"/>
  <c r="D11" i="6"/>
  <c r="E11" i="6"/>
  <c r="F11" i="6"/>
  <c r="G11" i="6"/>
  <c r="H11" i="6"/>
  <c r="I11" i="6"/>
  <c r="B11" i="6"/>
  <c r="C10" i="6"/>
  <c r="D10" i="6"/>
  <c r="E10" i="6"/>
  <c r="F10" i="6"/>
  <c r="G10" i="6"/>
  <c r="H10" i="6"/>
  <c r="I10" i="6"/>
  <c r="B10" i="6"/>
  <c r="C6" i="6"/>
  <c r="D6" i="6"/>
  <c r="E6" i="6"/>
  <c r="F6" i="6"/>
  <c r="G6" i="6"/>
  <c r="H6" i="6"/>
  <c r="I6" i="6"/>
  <c r="B6" i="6"/>
  <c r="C3" i="6"/>
  <c r="D3" i="6"/>
  <c r="E3" i="6"/>
  <c r="F3" i="6"/>
  <c r="G3" i="6"/>
  <c r="H3" i="6"/>
  <c r="I3" i="6"/>
  <c r="B3" i="6"/>
  <c r="M14" i="6"/>
  <c r="N14" i="6"/>
  <c r="O14" i="6"/>
  <c r="P14" i="6"/>
  <c r="Q14" i="6"/>
  <c r="R14" i="6"/>
  <c r="S14" i="6"/>
  <c r="L14" i="6"/>
  <c r="C8" i="5" l="1"/>
  <c r="D8" i="5"/>
  <c r="E8" i="5"/>
  <c r="F8" i="5"/>
  <c r="G8" i="5"/>
  <c r="H8" i="5"/>
  <c r="I8" i="5"/>
  <c r="B8" i="5"/>
  <c r="C17" i="5"/>
  <c r="D17" i="5"/>
  <c r="E17" i="5"/>
  <c r="F17" i="5"/>
  <c r="G17" i="5"/>
  <c r="H17" i="5"/>
  <c r="I17" i="5"/>
  <c r="B17" i="5"/>
  <c r="C16" i="5"/>
  <c r="D16" i="5"/>
  <c r="E16" i="5"/>
  <c r="F16" i="5"/>
  <c r="G16" i="5"/>
  <c r="H16" i="5"/>
  <c r="I16" i="5"/>
  <c r="B16" i="5"/>
  <c r="C15" i="5"/>
  <c r="D15" i="5"/>
  <c r="E15" i="5"/>
  <c r="F15" i="5"/>
  <c r="G15" i="5"/>
  <c r="H15" i="5"/>
  <c r="I15" i="5"/>
  <c r="B15" i="5"/>
  <c r="C14" i="5"/>
  <c r="D14" i="5"/>
  <c r="E14" i="5"/>
  <c r="F14" i="5"/>
  <c r="G14" i="5"/>
  <c r="H14" i="5"/>
  <c r="I14" i="5"/>
  <c r="C13" i="5"/>
  <c r="D13" i="5"/>
  <c r="E13" i="5"/>
  <c r="F13" i="5"/>
  <c r="G13" i="5"/>
  <c r="H13" i="5"/>
  <c r="I13" i="5"/>
  <c r="B13" i="5"/>
  <c r="C17" i="26"/>
  <c r="D17" i="26"/>
  <c r="E17" i="26"/>
  <c r="F17" i="26"/>
  <c r="G17" i="26"/>
  <c r="H17" i="26"/>
  <c r="I17" i="26"/>
  <c r="C13" i="26"/>
  <c r="D13" i="26"/>
  <c r="E13" i="26"/>
  <c r="F13" i="26"/>
  <c r="G13" i="26"/>
  <c r="H13" i="26"/>
  <c r="I13" i="26"/>
  <c r="B13" i="26"/>
  <c r="C10" i="26"/>
  <c r="D10" i="26"/>
  <c r="E10" i="26"/>
  <c r="E11" i="26" s="1"/>
  <c r="F10" i="26"/>
  <c r="G10" i="26"/>
  <c r="G11" i="26" s="1"/>
  <c r="H10" i="26"/>
  <c r="H11" i="26" s="1"/>
  <c r="I10" i="26"/>
  <c r="I11" i="26" s="1"/>
  <c r="B10" i="26"/>
  <c r="C11" i="26"/>
  <c r="D11" i="26"/>
  <c r="F11" i="26"/>
  <c r="B11" i="26"/>
  <c r="C11" i="5"/>
  <c r="D11" i="5"/>
  <c r="E11" i="5"/>
  <c r="F11" i="5"/>
  <c r="G11" i="5"/>
  <c r="H11" i="5"/>
  <c r="I11" i="5"/>
  <c r="B11" i="5"/>
  <c r="C10" i="5"/>
  <c r="D10" i="5"/>
  <c r="E10" i="5"/>
  <c r="F10" i="5"/>
  <c r="G10" i="5"/>
  <c r="H10" i="5"/>
  <c r="I10" i="5"/>
  <c r="B10" i="5"/>
  <c r="B6" i="26"/>
  <c r="C6" i="5"/>
  <c r="D6" i="5"/>
  <c r="E6" i="5"/>
  <c r="F6" i="5"/>
  <c r="G6" i="5"/>
  <c r="H6" i="5"/>
  <c r="I6" i="5"/>
  <c r="B6" i="5"/>
  <c r="C3" i="5"/>
  <c r="D3" i="5"/>
  <c r="E3" i="5"/>
  <c r="F3" i="5"/>
  <c r="G3" i="5"/>
  <c r="H3" i="5"/>
  <c r="I3" i="5"/>
  <c r="B3" i="5"/>
  <c r="M14" i="5"/>
  <c r="N14" i="5"/>
  <c r="O14" i="5"/>
  <c r="P14" i="5"/>
  <c r="Q14" i="5"/>
  <c r="R14" i="5"/>
  <c r="S14" i="5"/>
  <c r="L14" i="5"/>
  <c r="D4" i="27" l="1"/>
  <c r="D5" i="27"/>
  <c r="D6" i="27"/>
  <c r="D8" i="27"/>
  <c r="D9" i="27"/>
  <c r="D10" i="27"/>
  <c r="D11" i="27"/>
  <c r="D13" i="27"/>
  <c r="D14" i="27"/>
  <c r="D16" i="27"/>
  <c r="D17" i="27"/>
  <c r="D18" i="27"/>
  <c r="D19" i="27"/>
  <c r="D3" i="27"/>
  <c r="F4" i="27"/>
  <c r="F5" i="27"/>
  <c r="F6" i="27"/>
  <c r="F8" i="27"/>
  <c r="F9" i="27"/>
  <c r="F10" i="27"/>
  <c r="F11" i="27"/>
  <c r="F13" i="27"/>
  <c r="F14" i="27"/>
  <c r="F16" i="27"/>
  <c r="F17" i="27"/>
  <c r="F18" i="27"/>
  <c r="F19" i="27"/>
  <c r="F3" i="27"/>
  <c r="E4" i="27"/>
  <c r="E5" i="27"/>
  <c r="E6" i="27"/>
  <c r="E8" i="27"/>
  <c r="E9" i="27"/>
  <c r="E10" i="27"/>
  <c r="E11" i="27"/>
  <c r="E13" i="27"/>
  <c r="E14" i="27"/>
  <c r="E16" i="27"/>
  <c r="E17" i="27"/>
  <c r="E18" i="27"/>
  <c r="E19" i="27"/>
  <c r="E3" i="27"/>
  <c r="C4" i="27"/>
  <c r="C5" i="27"/>
  <c r="C6" i="27"/>
  <c r="C8" i="27"/>
  <c r="C9" i="27"/>
  <c r="C10" i="27"/>
  <c r="C11" i="27"/>
  <c r="C13" i="27"/>
  <c r="C14" i="27"/>
  <c r="C16" i="27"/>
  <c r="C17" i="27"/>
  <c r="C18" i="27"/>
  <c r="C19" i="27"/>
  <c r="C3" i="27"/>
  <c r="C8" i="4"/>
  <c r="D8" i="4"/>
  <c r="E8" i="4"/>
  <c r="F8" i="4"/>
  <c r="G8" i="4"/>
  <c r="H8" i="4"/>
  <c r="I8" i="4"/>
  <c r="B8" i="4"/>
  <c r="B8" i="27" s="1"/>
  <c r="B5" i="27"/>
  <c r="B6" i="27"/>
  <c r="B9" i="27"/>
  <c r="B10" i="27"/>
  <c r="B11" i="27"/>
  <c r="B13" i="27"/>
  <c r="B14" i="27"/>
  <c r="B16" i="27"/>
  <c r="B17" i="27"/>
  <c r="B18" i="27"/>
  <c r="B19" i="27"/>
  <c r="B4" i="27"/>
  <c r="B3" i="27"/>
  <c r="C17" i="4"/>
  <c r="D17" i="4"/>
  <c r="E17" i="4"/>
  <c r="F17" i="4"/>
  <c r="G17" i="4"/>
  <c r="H17" i="4"/>
  <c r="I17" i="4"/>
  <c r="B17" i="4"/>
  <c r="C16" i="4"/>
  <c r="D16" i="4"/>
  <c r="E16" i="4"/>
  <c r="F16" i="4"/>
  <c r="G16" i="4"/>
  <c r="H16" i="4"/>
  <c r="I16" i="4"/>
  <c r="B16" i="4"/>
  <c r="C15" i="4"/>
  <c r="D15" i="4"/>
  <c r="E15" i="4"/>
  <c r="F15" i="4"/>
  <c r="G15" i="4"/>
  <c r="H15" i="4"/>
  <c r="I15" i="4"/>
  <c r="B15" i="4"/>
  <c r="C14" i="4"/>
  <c r="D14" i="4"/>
  <c r="E14" i="4"/>
  <c r="F14" i="4"/>
  <c r="G14" i="4"/>
  <c r="H14" i="4"/>
  <c r="I14" i="4"/>
  <c r="B14" i="4"/>
  <c r="C13" i="4"/>
  <c r="D13" i="4"/>
  <c r="E13" i="4"/>
  <c r="F13" i="4"/>
  <c r="G13" i="4"/>
  <c r="H13" i="4"/>
  <c r="I13" i="4"/>
  <c r="B13" i="4"/>
  <c r="C11" i="4"/>
  <c r="D11" i="4"/>
  <c r="E11" i="4"/>
  <c r="F11" i="4"/>
  <c r="G11" i="4"/>
  <c r="H11" i="4"/>
  <c r="I11" i="4"/>
  <c r="B11" i="4"/>
  <c r="C6" i="4"/>
  <c r="D6" i="4"/>
  <c r="E6" i="4"/>
  <c r="F6" i="4"/>
  <c r="G6" i="4"/>
  <c r="H6" i="4"/>
  <c r="I6" i="4"/>
  <c r="B6" i="4"/>
  <c r="C3" i="4"/>
  <c r="D3" i="4"/>
  <c r="E3" i="4"/>
  <c r="F3" i="4"/>
  <c r="G3" i="4"/>
  <c r="H3" i="4"/>
  <c r="I3" i="4"/>
  <c r="B3" i="4"/>
  <c r="L14" i="4" l="1"/>
  <c r="M14" i="4"/>
  <c r="N14" i="4"/>
  <c r="O14" i="4"/>
  <c r="P14" i="4"/>
  <c r="Q14" i="4"/>
  <c r="R14" i="4"/>
  <c r="S14" i="4"/>
  <c r="C16" i="26" l="1"/>
  <c r="B16" i="26"/>
  <c r="C15" i="26"/>
  <c r="D15" i="26"/>
  <c r="E15" i="26"/>
  <c r="F15" i="26"/>
  <c r="G15" i="26"/>
  <c r="H15" i="26"/>
  <c r="I15" i="26"/>
  <c r="B15" i="26"/>
  <c r="C14" i="26"/>
  <c r="D14" i="26"/>
  <c r="E14" i="26"/>
  <c r="F14" i="26"/>
  <c r="G14" i="26"/>
  <c r="H14" i="26"/>
  <c r="I14" i="26"/>
  <c r="B14" i="26"/>
  <c r="M14" i="26"/>
  <c r="C8" i="26" s="1"/>
  <c r="N14" i="26"/>
  <c r="D8" i="26" s="1"/>
  <c r="O14" i="26"/>
  <c r="E8" i="26" s="1"/>
  <c r="P14" i="26"/>
  <c r="F8" i="26" s="1"/>
  <c r="Q14" i="26"/>
  <c r="G8" i="26" s="1"/>
  <c r="R14" i="26"/>
  <c r="H8" i="26" s="1"/>
  <c r="S14" i="26"/>
  <c r="I8" i="26" s="1"/>
  <c r="L14" i="26"/>
  <c r="B8" i="26" s="1"/>
  <c r="F15" i="27" l="1"/>
  <c r="D15" i="27"/>
  <c r="C15" i="27"/>
  <c r="E15" i="27"/>
  <c r="B15" i="27"/>
  <c r="F3" i="26"/>
  <c r="G3" i="26"/>
  <c r="H3" i="26"/>
  <c r="I3" i="26"/>
  <c r="E3" i="26"/>
  <c r="C3" i="26"/>
  <c r="D3" i="26"/>
  <c r="B3" i="26"/>
  <c r="B17" i="26"/>
  <c r="I4" i="26"/>
  <c r="I16" i="26" s="1"/>
  <c r="H4" i="26"/>
  <c r="H16" i="26" s="1"/>
  <c r="G4" i="26"/>
  <c r="G16" i="26" s="1"/>
  <c r="F4" i="26"/>
  <c r="F16" i="26" s="1"/>
  <c r="E4" i="26"/>
  <c r="E16" i="26" s="1"/>
  <c r="D4" i="26"/>
  <c r="D16" i="26" s="1"/>
</calcChain>
</file>

<file path=xl/sharedStrings.xml><?xml version="1.0" encoding="utf-8"?>
<sst xmlns="http://schemas.openxmlformats.org/spreadsheetml/2006/main" count="929" uniqueCount="79">
  <si>
    <t>Controls</t>
  </si>
  <si>
    <t xml:space="preserve">ROA is the  net income divided by total assets. </t>
  </si>
  <si>
    <t>SIZE is the natural logarithm of the firm's total assets</t>
  </si>
  <si>
    <t>FSTS is the ratio of foreign sales to total sales.</t>
  </si>
  <si>
    <t>FSD</t>
  </si>
  <si>
    <t>Gross FXD</t>
  </si>
  <si>
    <t>FXD</t>
  </si>
  <si>
    <t>DERIV</t>
  </si>
  <si>
    <t>Tobin's Q</t>
  </si>
  <si>
    <t xml:space="preserve">ROA </t>
  </si>
  <si>
    <t>SIZE</t>
  </si>
  <si>
    <t>FSTS</t>
  </si>
  <si>
    <t>Year/indexes</t>
  </si>
  <si>
    <t>Sales</t>
  </si>
  <si>
    <t xml:space="preserve">This table presents summary statistics for my sample of non-financial  firms </t>
  </si>
  <si>
    <t>Leverage</t>
  </si>
  <si>
    <t>Capex/sales</t>
  </si>
  <si>
    <t>R&amp;D/sales</t>
  </si>
  <si>
    <t xml:space="preserve">Advertisement/sales </t>
  </si>
  <si>
    <t>Leverage is the ratio of total debt to shareholder equity</t>
  </si>
  <si>
    <t>Capex/sales is capital expenditures scaled by sales</t>
  </si>
  <si>
    <t>Advertising/sales is the ratio of advertising expenses to sales</t>
  </si>
  <si>
    <t>R&amp;D/sales is research and development expenses scaled by sales.</t>
  </si>
  <si>
    <t>The FXD dummy equals I if the company reports currency derivatives.</t>
  </si>
  <si>
    <t>Hedging</t>
  </si>
  <si>
    <t>Total sales in millions.</t>
  </si>
  <si>
    <t>The (FSD) foreign sales dummy equals I if the company reports any foreign sales, 0 otherwise.</t>
  </si>
  <si>
    <t>Characteristics</t>
  </si>
  <si>
    <t xml:space="preserve">(book value of assets less book value of equity plus the market value of equity) divided by the book value of assets. </t>
  </si>
  <si>
    <t>Gross value of FXD is defined as the gross national value of the use of any foreign curnency instruments</t>
  </si>
  <si>
    <t>Foreign sales</t>
  </si>
  <si>
    <t>BV equity</t>
  </si>
  <si>
    <t>Capitalization</t>
  </si>
  <si>
    <t>R&amp;D expenses</t>
  </si>
  <si>
    <t>Capex</t>
  </si>
  <si>
    <t>Net income</t>
  </si>
  <si>
    <t>Total Assets</t>
  </si>
  <si>
    <t>Total debt</t>
  </si>
  <si>
    <t>Outstanding derivatives/other financial receivables</t>
  </si>
  <si>
    <t>DERIV is defined as the notional amount of FXD divided by total assets</t>
  </si>
  <si>
    <t>Firm's investment opportunities</t>
  </si>
  <si>
    <t>Positive relationship with Q</t>
  </si>
  <si>
    <t>Firm's size</t>
  </si>
  <si>
    <t>Capital structure</t>
  </si>
  <si>
    <t xml:space="preserve">Profitability </t>
  </si>
  <si>
    <t>Quick ratio</t>
  </si>
  <si>
    <t>Financial distress</t>
  </si>
  <si>
    <t>Control</t>
  </si>
  <si>
    <t>Access to financial markets</t>
  </si>
  <si>
    <t>DD</t>
  </si>
  <si>
    <t>Dividend dummy; 1 for paid dividend and 0 for no dividend</t>
  </si>
  <si>
    <t>Industrial diversification</t>
  </si>
  <si>
    <t>Geographic diversification</t>
  </si>
  <si>
    <t>ID</t>
  </si>
  <si>
    <t>1 if the firm operates in more than one sector and 0 if operates only to one</t>
  </si>
  <si>
    <t>Negative relationship with Q</t>
  </si>
  <si>
    <t>No of shares (millions)</t>
  </si>
  <si>
    <t>Share price 31/12 (est = x cost of EQ - dividend)</t>
  </si>
  <si>
    <t>Cash</t>
  </si>
  <si>
    <t>Short term liabilities</t>
  </si>
  <si>
    <t xml:space="preserve">Interest bearing + provisions </t>
  </si>
  <si>
    <t>Median</t>
  </si>
  <si>
    <t>variables/statistics</t>
  </si>
  <si>
    <t>Mean</t>
  </si>
  <si>
    <t>Min</t>
  </si>
  <si>
    <t>Max</t>
  </si>
  <si>
    <t>MAD</t>
  </si>
  <si>
    <t>Observations</t>
  </si>
  <si>
    <t>Investments in fixed assets</t>
  </si>
  <si>
    <t>Gross national value</t>
  </si>
  <si>
    <t>Foreign exchange forwards</t>
  </si>
  <si>
    <t xml:space="preserve"> </t>
  </si>
  <si>
    <t>DE</t>
  </si>
  <si>
    <t>DDE</t>
  </si>
  <si>
    <t>Gains and losses on derivatives used to hedge foreign cash flow exposure</t>
  </si>
  <si>
    <t xml:space="preserve"> Notional value;outstanding derivative instruments</t>
  </si>
  <si>
    <t>Dummy variable that takes 1 if there are gains from hedging derivatives and 0 otherwise.</t>
  </si>
  <si>
    <t>Cash/short term liabilities</t>
  </si>
  <si>
    <t>Outstanding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</si>
</sst>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0.000"/>
    <numFmt numFmtId="165" formatCode="0.00000"/>
    <numFmt numFmtId="166" formatCode="0.0000"/>
    <numFmt numFmtId="167" formatCode="0.0"/>
    <numFmt numFmtId="168" formatCode="#,##0.0000"/>
  </numFmts>
  <fonts count="1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u/>
      <sz val="14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i/>
      <sz val="13"/>
      <color rgb="FF000000"/>
      <name val="Calibri"/>
      <family val="2"/>
      <charset val="161"/>
    </font>
    <font>
      <b/>
      <u/>
      <sz val="12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b/>
      <sz val="11"/>
      <color rgb="FF000000"/>
      <name val="Calibri"/>
      <family val="2"/>
      <charset val="161"/>
    </font>
    <font>
      <sz val="9"/>
      <color theme="1"/>
      <name val="Calibri"/>
      <family val="2"/>
      <charset val="161"/>
      <scheme val="minor"/>
    </font>
    <font>
      <b/>
      <i/>
      <sz val="10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i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10"/>
      <color rgb="FF000000"/>
      <name val="Calibri"/>
      <family val="2"/>
      <charset val="161"/>
    </font>
    <font>
      <sz val="9"/>
      <color rgb="FF000000"/>
      <name val="Calibri"/>
      <family val="2"/>
      <charset val="161"/>
    </font>
    <font>
      <sz val="13"/>
      <color rgb="FF111111"/>
      <name val="Arial"/>
      <family val="2"/>
      <charset val="161"/>
    </font>
    <font>
      <b/>
      <sz val="9"/>
      <color rgb="FF333333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indent="33"/>
    </xf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3" fillId="0" borderId="0" xfId="0" applyFont="1" applyFill="1"/>
    <xf numFmtId="3" fontId="3" fillId="0" borderId="0" xfId="0" applyNumberFormat="1" applyFont="1" applyFill="1" applyProtection="1">
      <protection locked="0"/>
    </xf>
    <xf numFmtId="1" fontId="3" fillId="0" borderId="0" xfId="1" applyNumberFormat="1" applyFont="1" applyFill="1" applyAlignment="1" applyProtection="1">
      <alignment horizontal="right"/>
      <protection locked="0"/>
    </xf>
    <xf numFmtId="3" fontId="3" fillId="2" borderId="0" xfId="0" applyNumberFormat="1" applyFont="1" applyFill="1" applyBorder="1" applyAlignment="1">
      <alignment horizontal="right" vertical="center"/>
    </xf>
    <xf numFmtId="164" fontId="0" fillId="0" borderId="0" xfId="0" applyNumberFormat="1"/>
    <xf numFmtId="2" fontId="0" fillId="0" borderId="0" xfId="0" applyNumberFormat="1"/>
    <xf numFmtId="1" fontId="3" fillId="0" borderId="0" xfId="0" applyNumberFormat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2" fontId="0" fillId="0" borderId="0" xfId="2" applyNumberFormat="1" applyFont="1"/>
    <xf numFmtId="1" fontId="0" fillId="0" borderId="0" xfId="2" applyNumberFormat="1" applyFont="1"/>
    <xf numFmtId="1" fontId="0" fillId="0" borderId="0" xfId="0" applyNumberFormat="1"/>
    <xf numFmtId="0" fontId="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6" fillId="0" borderId="3" xfId="0" applyFont="1" applyBorder="1" applyAlignment="1">
      <alignment vertical="top"/>
    </xf>
    <xf numFmtId="0" fontId="6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/>
    </xf>
    <xf numFmtId="0" fontId="0" fillId="0" borderId="0" xfId="0" applyAlignme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6" fillId="0" borderId="0" xfId="0" applyFont="1"/>
    <xf numFmtId="2" fontId="3" fillId="0" borderId="0" xfId="0" applyNumberFormat="1" applyFont="1" applyAlignment="1">
      <alignment horizontal="right" vertical="center"/>
    </xf>
    <xf numFmtId="166" fontId="0" fillId="0" borderId="0" xfId="2" applyNumberFormat="1" applyFont="1"/>
    <xf numFmtId="1" fontId="3" fillId="0" borderId="0" xfId="1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/>
    <xf numFmtId="0" fontId="17" fillId="2" borderId="4" xfId="0" applyFont="1" applyFill="1" applyBorder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4" workbookViewId="0">
      <selection activeCell="B15" sqref="B15"/>
    </sheetView>
  </sheetViews>
  <sheetFormatPr defaultRowHeight="15" x14ac:dyDescent="0.25"/>
  <cols>
    <col min="1" max="1" width="19.5703125" customWidth="1"/>
    <col min="2" max="2" width="10.7109375" customWidth="1"/>
    <col min="10" max="10" width="9.140625" customWidth="1"/>
    <col min="11" max="11" width="12.5703125" customWidth="1"/>
  </cols>
  <sheetData>
    <row r="1" spans="1:19" ht="18.75" x14ac:dyDescent="0.3">
      <c r="B1" s="2" t="s">
        <v>14</v>
      </c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13" t="s">
        <v>10</v>
      </c>
      <c r="B2" s="12" t="s">
        <v>2</v>
      </c>
      <c r="K2" s="28"/>
    </row>
    <row r="3" spans="1:19" x14ac:dyDescent="0.25">
      <c r="A3" s="13" t="s">
        <v>13</v>
      </c>
      <c r="B3" s="12" t="s">
        <v>25</v>
      </c>
      <c r="K3" s="28"/>
      <c r="M3" s="21" t="s">
        <v>42</v>
      </c>
      <c r="P3" t="s">
        <v>41</v>
      </c>
    </row>
    <row r="4" spans="1:19" x14ac:dyDescent="0.25">
      <c r="A4" s="13" t="s">
        <v>4</v>
      </c>
      <c r="B4" s="12" t="s">
        <v>26</v>
      </c>
      <c r="K4" s="28"/>
      <c r="M4" s="22" t="s">
        <v>10</v>
      </c>
    </row>
    <row r="5" spans="1:19" x14ac:dyDescent="0.25">
      <c r="A5" s="13" t="s">
        <v>11</v>
      </c>
      <c r="B5" s="12" t="s">
        <v>3</v>
      </c>
      <c r="K5" s="28"/>
      <c r="M5" s="21" t="s">
        <v>46</v>
      </c>
      <c r="P5" t="s">
        <v>41</v>
      </c>
    </row>
    <row r="6" spans="1:19" x14ac:dyDescent="0.25">
      <c r="A6" s="13" t="s">
        <v>8</v>
      </c>
      <c r="B6" s="12" t="s">
        <v>28</v>
      </c>
      <c r="K6" s="29"/>
      <c r="M6" t="s">
        <v>45</v>
      </c>
    </row>
    <row r="7" spans="1:19" x14ac:dyDescent="0.25">
      <c r="A7" s="13" t="s">
        <v>6</v>
      </c>
      <c r="B7" s="12" t="s">
        <v>23</v>
      </c>
      <c r="K7" s="28"/>
      <c r="M7" s="21" t="s">
        <v>48</v>
      </c>
      <c r="P7" t="s">
        <v>55</v>
      </c>
    </row>
    <row r="8" spans="1:19" x14ac:dyDescent="0.25">
      <c r="A8" s="13" t="s">
        <v>5</v>
      </c>
      <c r="B8" s="12" t="s">
        <v>29</v>
      </c>
      <c r="K8" s="28"/>
      <c r="M8" s="3" t="s">
        <v>49</v>
      </c>
    </row>
    <row r="9" spans="1:19" x14ac:dyDescent="0.25">
      <c r="A9" s="13" t="s">
        <v>7</v>
      </c>
      <c r="B9" s="12" t="s">
        <v>39</v>
      </c>
      <c r="K9" s="28"/>
      <c r="M9" s="21" t="s">
        <v>43</v>
      </c>
      <c r="P9" t="s">
        <v>41</v>
      </c>
    </row>
    <row r="10" spans="1:19" x14ac:dyDescent="0.25">
      <c r="A10" s="13" t="s">
        <v>17</v>
      </c>
      <c r="B10" s="12" t="s">
        <v>22</v>
      </c>
      <c r="K10" s="28"/>
      <c r="M10" s="22" t="s">
        <v>15</v>
      </c>
    </row>
    <row r="11" spans="1:19" x14ac:dyDescent="0.25">
      <c r="A11" s="13" t="s">
        <v>15</v>
      </c>
      <c r="B11" s="12" t="s">
        <v>19</v>
      </c>
      <c r="K11" s="28"/>
      <c r="M11" s="21" t="s">
        <v>44</v>
      </c>
      <c r="P11" t="s">
        <v>41</v>
      </c>
    </row>
    <row r="12" spans="1:19" x14ac:dyDescent="0.25">
      <c r="A12" s="13" t="s">
        <v>18</v>
      </c>
      <c r="B12" s="12" t="s">
        <v>21</v>
      </c>
      <c r="K12" s="28"/>
      <c r="M12" s="22" t="s">
        <v>9</v>
      </c>
    </row>
    <row r="13" spans="1:19" x14ac:dyDescent="0.25">
      <c r="A13" s="13" t="s">
        <v>16</v>
      </c>
      <c r="B13" s="12" t="s">
        <v>20</v>
      </c>
      <c r="K13" s="28"/>
      <c r="M13" s="21" t="s">
        <v>51</v>
      </c>
      <c r="P13" t="s">
        <v>55</v>
      </c>
    </row>
    <row r="14" spans="1:19" x14ac:dyDescent="0.25">
      <c r="A14" s="13" t="s">
        <v>9</v>
      </c>
      <c r="B14" s="12" t="s">
        <v>1</v>
      </c>
      <c r="K14" s="28"/>
      <c r="M14" s="22" t="s">
        <v>53</v>
      </c>
    </row>
    <row r="15" spans="1:19" x14ac:dyDescent="0.25">
      <c r="A15" s="13" t="s">
        <v>45</v>
      </c>
      <c r="B15" s="12" t="s">
        <v>77</v>
      </c>
      <c r="M15" s="21" t="s">
        <v>52</v>
      </c>
      <c r="P15" t="s">
        <v>41</v>
      </c>
    </row>
    <row r="16" spans="1:19" x14ac:dyDescent="0.25">
      <c r="A16" s="13" t="s">
        <v>49</v>
      </c>
      <c r="B16" s="12" t="s">
        <v>50</v>
      </c>
      <c r="M16" s="22" t="s">
        <v>11</v>
      </c>
    </row>
    <row r="17" spans="1:16" x14ac:dyDescent="0.25">
      <c r="A17" s="13" t="s">
        <v>53</v>
      </c>
      <c r="B17" s="12" t="s">
        <v>54</v>
      </c>
      <c r="M17" s="21" t="s">
        <v>40</v>
      </c>
      <c r="P17" t="s">
        <v>41</v>
      </c>
    </row>
    <row r="18" spans="1:16" x14ac:dyDescent="0.25">
      <c r="A18" s="6"/>
      <c r="B18" s="12"/>
      <c r="M18" s="22"/>
    </row>
    <row r="19" spans="1:16" ht="15.75" x14ac:dyDescent="0.25">
      <c r="A19" s="13" t="s">
        <v>37</v>
      </c>
      <c r="B19" s="12" t="s">
        <v>60</v>
      </c>
      <c r="M19" s="5" t="s">
        <v>27</v>
      </c>
    </row>
    <row r="20" spans="1:16" x14ac:dyDescent="0.25">
      <c r="A20" s="13" t="s">
        <v>34</v>
      </c>
      <c r="B20" t="s">
        <v>68</v>
      </c>
      <c r="M20" s="6" t="s">
        <v>10</v>
      </c>
    </row>
    <row r="21" spans="1:16" ht="16.5" x14ac:dyDescent="0.25">
      <c r="A21" s="13" t="s">
        <v>5</v>
      </c>
      <c r="B21" s="41" t="s">
        <v>75</v>
      </c>
      <c r="M21" s="6" t="s">
        <v>13</v>
      </c>
    </row>
    <row r="22" spans="1:16" x14ac:dyDescent="0.25">
      <c r="A22" s="13" t="s">
        <v>72</v>
      </c>
      <c r="B22" t="s">
        <v>74</v>
      </c>
      <c r="M22" s="6" t="s">
        <v>4</v>
      </c>
    </row>
    <row r="23" spans="1:16" x14ac:dyDescent="0.25">
      <c r="A23" s="13" t="s">
        <v>73</v>
      </c>
      <c r="B23" t="s">
        <v>76</v>
      </c>
      <c r="M23" s="6" t="s">
        <v>11</v>
      </c>
    </row>
    <row r="24" spans="1:16" ht="15.75" x14ac:dyDescent="0.25">
      <c r="A24" s="28"/>
      <c r="M24" s="5" t="s">
        <v>24</v>
      </c>
    </row>
    <row r="25" spans="1:16" x14ac:dyDescent="0.25">
      <c r="A25" s="29"/>
      <c r="M25" s="6" t="s">
        <v>8</v>
      </c>
    </row>
    <row r="26" spans="1:16" x14ac:dyDescent="0.25">
      <c r="A26" s="28"/>
      <c r="M26" s="6" t="s">
        <v>6</v>
      </c>
    </row>
    <row r="27" spans="1:16" x14ac:dyDescent="0.25">
      <c r="A27" s="28"/>
      <c r="M27" s="6" t="s">
        <v>5</v>
      </c>
    </row>
    <row r="28" spans="1:16" x14ac:dyDescent="0.25">
      <c r="A28" s="28"/>
      <c r="M28" s="6" t="s">
        <v>7</v>
      </c>
    </row>
    <row r="29" spans="1:16" ht="15.75" x14ac:dyDescent="0.25">
      <c r="A29" s="28"/>
      <c r="M29" s="5" t="s">
        <v>47</v>
      </c>
    </row>
    <row r="30" spans="1:16" x14ac:dyDescent="0.25">
      <c r="A30" s="28"/>
      <c r="M30" s="6" t="s">
        <v>24</v>
      </c>
    </row>
    <row r="31" spans="1:16" x14ac:dyDescent="0.25">
      <c r="A31" s="28"/>
      <c r="M31" s="6" t="s">
        <v>33</v>
      </c>
    </row>
    <row r="32" spans="1:16" ht="15.75" x14ac:dyDescent="0.25">
      <c r="A32" s="28"/>
      <c r="B32" s="5"/>
      <c r="M32" s="6" t="s">
        <v>45</v>
      </c>
    </row>
    <row r="33" spans="1:13" x14ac:dyDescent="0.25">
      <c r="A33" s="28"/>
      <c r="B33" s="6"/>
      <c r="M33" s="6" t="s">
        <v>16</v>
      </c>
    </row>
    <row r="34" spans="1:13" x14ac:dyDescent="0.25">
      <c r="B34" s="6"/>
      <c r="M34" s="6" t="s">
        <v>9</v>
      </c>
    </row>
    <row r="35" spans="1:13" x14ac:dyDescent="0.25">
      <c r="M35" s="23" t="s">
        <v>45</v>
      </c>
    </row>
    <row r="36" spans="1:13" x14ac:dyDescent="0.25">
      <c r="M36" s="23" t="s">
        <v>49</v>
      </c>
    </row>
    <row r="37" spans="1:13" x14ac:dyDescent="0.25">
      <c r="M37" s="23" t="s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21" sqref="K21"/>
    </sheetView>
  </sheetViews>
  <sheetFormatPr defaultRowHeight="15" x14ac:dyDescent="0.25"/>
  <cols>
    <col min="1" max="1" width="19.5703125" customWidth="1"/>
    <col min="2" max="2" width="9.7109375" customWidth="1"/>
    <col min="11" max="11" width="12.5703125" customWidth="1"/>
    <col min="12" max="12" width="9.5703125" bestFit="1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31" t="s">
        <v>36</v>
      </c>
      <c r="L2">
        <v>18750</v>
      </c>
      <c r="M2">
        <v>23238</v>
      </c>
      <c r="N2">
        <v>29032</v>
      </c>
      <c r="O2">
        <v>26206</v>
      </c>
      <c r="P2">
        <v>27169</v>
      </c>
      <c r="Q2">
        <v>34503</v>
      </c>
      <c r="R2">
        <v>34988</v>
      </c>
      <c r="S2">
        <v>34938</v>
      </c>
    </row>
    <row r="3" spans="1:19" x14ac:dyDescent="0.25">
      <c r="A3" s="6" t="s">
        <v>10</v>
      </c>
      <c r="B3" s="19">
        <f>LN(L2)</f>
        <v>9.8389490313985561</v>
      </c>
      <c r="C3" s="19">
        <f t="shared" ref="C3:I3" si="0">LN(M2)</f>
        <v>10.053544148742807</v>
      </c>
      <c r="D3" s="19">
        <f t="shared" si="0"/>
        <v>10.276153948892906</v>
      </c>
      <c r="E3" s="19">
        <f t="shared" si="0"/>
        <v>10.17374367116453</v>
      </c>
      <c r="F3" s="19">
        <f t="shared" si="0"/>
        <v>10.209831896443099</v>
      </c>
      <c r="G3" s="19">
        <f t="shared" si="0"/>
        <v>10.44880155576069</v>
      </c>
      <c r="H3" s="19">
        <f t="shared" si="0"/>
        <v>10.462760424539745</v>
      </c>
      <c r="I3" s="19">
        <f t="shared" si="0"/>
        <v>10.461330341065175</v>
      </c>
      <c r="K3" s="31" t="s">
        <v>30</v>
      </c>
      <c r="L3">
        <v>18947</v>
      </c>
      <c r="M3">
        <v>23862</v>
      </c>
      <c r="N3">
        <v>26889</v>
      </c>
      <c r="O3">
        <v>25199</v>
      </c>
      <c r="P3">
        <v>23871</v>
      </c>
      <c r="Q3">
        <v>27710</v>
      </c>
      <c r="R3">
        <v>28957</v>
      </c>
      <c r="S3">
        <v>29018</v>
      </c>
    </row>
    <row r="4" spans="1:19" x14ac:dyDescent="0.25">
      <c r="A4" s="6" t="s">
        <v>13</v>
      </c>
      <c r="B4">
        <v>19802</v>
      </c>
      <c r="C4">
        <v>24849</v>
      </c>
      <c r="D4">
        <v>27850</v>
      </c>
      <c r="E4">
        <v>26039</v>
      </c>
      <c r="F4">
        <v>24720</v>
      </c>
      <c r="G4">
        <v>28652</v>
      </c>
      <c r="H4">
        <v>29813</v>
      </c>
      <c r="I4">
        <v>29934</v>
      </c>
      <c r="K4" s="31" t="s">
        <v>31</v>
      </c>
      <c r="L4">
        <v>6831</v>
      </c>
      <c r="M4">
        <v>7937</v>
      </c>
      <c r="N4">
        <v>10493</v>
      </c>
      <c r="O4">
        <v>12229</v>
      </c>
      <c r="P4">
        <v>13582</v>
      </c>
      <c r="Q4">
        <v>15144</v>
      </c>
      <c r="R4">
        <v>14453</v>
      </c>
      <c r="S4">
        <v>16162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31" t="s">
        <v>58</v>
      </c>
      <c r="L5">
        <v>546</v>
      </c>
      <c r="M5">
        <v>856</v>
      </c>
      <c r="N5">
        <v>1083</v>
      </c>
      <c r="O5">
        <v>1112</v>
      </c>
      <c r="P5">
        <v>1328</v>
      </c>
      <c r="Q5">
        <v>1564</v>
      </c>
      <c r="R5">
        <v>1404</v>
      </c>
      <c r="S5">
        <v>1454</v>
      </c>
    </row>
    <row r="6" spans="1:19" x14ac:dyDescent="0.25">
      <c r="A6" s="6" t="s">
        <v>11</v>
      </c>
      <c r="B6" s="19">
        <f>L3/B4</f>
        <v>0.95682254317745685</v>
      </c>
      <c r="C6" s="19">
        <f t="shared" ref="C6:I6" si="1">M3/C4</f>
        <v>0.96028009175419538</v>
      </c>
      <c r="D6" s="19">
        <f t="shared" si="1"/>
        <v>0.96549371633752246</v>
      </c>
      <c r="E6" s="19">
        <f t="shared" si="1"/>
        <v>0.96774069664733664</v>
      </c>
      <c r="F6" s="19">
        <f t="shared" si="1"/>
        <v>0.9656553398058253</v>
      </c>
      <c r="G6" s="19">
        <f t="shared" si="1"/>
        <v>0.96712271394667038</v>
      </c>
      <c r="H6" s="19">
        <f t="shared" si="1"/>
        <v>0.97128769328816289</v>
      </c>
      <c r="I6" s="19">
        <f t="shared" si="1"/>
        <v>0.96939934522616422</v>
      </c>
      <c r="K6" s="32" t="s">
        <v>38</v>
      </c>
      <c r="L6">
        <v>6379</v>
      </c>
      <c r="M6">
        <v>7179</v>
      </c>
      <c r="N6">
        <v>10001</v>
      </c>
      <c r="O6">
        <v>7711</v>
      </c>
      <c r="P6">
        <v>6660</v>
      </c>
      <c r="Q6">
        <v>6500</v>
      </c>
      <c r="R6">
        <v>6069</v>
      </c>
      <c r="S6">
        <v>9111</v>
      </c>
    </row>
    <row r="7" spans="1:19" ht="15.75" x14ac:dyDescent="0.25">
      <c r="A7" s="5" t="s">
        <v>24</v>
      </c>
      <c r="K7" s="31" t="s">
        <v>33</v>
      </c>
      <c r="L7">
        <v>526</v>
      </c>
      <c r="M7">
        <v>643</v>
      </c>
      <c r="N7">
        <v>718</v>
      </c>
      <c r="O7">
        <v>654</v>
      </c>
      <c r="P7">
        <v>625</v>
      </c>
      <c r="Q7">
        <v>648</v>
      </c>
      <c r="R7">
        <v>707</v>
      </c>
      <c r="S7">
        <v>732</v>
      </c>
    </row>
    <row r="8" spans="1:19" x14ac:dyDescent="0.25">
      <c r="A8" s="6" t="s">
        <v>8</v>
      </c>
      <c r="B8" s="19">
        <f>(L2-L4+L14)/L2</f>
        <v>1.0958840000000001</v>
      </c>
      <c r="C8" s="19">
        <f t="shared" ref="C8:I8" si="2">(M2-M4+M14)/M2</f>
        <v>1.089990532748085</v>
      </c>
      <c r="D8" s="19">
        <f t="shared" si="2"/>
        <v>1.6369351060898318</v>
      </c>
      <c r="E8" s="19">
        <f t="shared" si="2"/>
        <v>2.1275662062123177</v>
      </c>
      <c r="F8" s="19">
        <f t="shared" si="2"/>
        <v>2.7010342669954728</v>
      </c>
      <c r="G8" s="19">
        <f t="shared" si="2"/>
        <v>2.1453163493029592</v>
      </c>
      <c r="H8" s="19">
        <f t="shared" si="2"/>
        <v>2.2091388476048932</v>
      </c>
      <c r="I8" s="19">
        <f t="shared" si="2"/>
        <v>2.5185614517144654</v>
      </c>
      <c r="K8" s="31" t="s">
        <v>37</v>
      </c>
      <c r="L8">
        <v>2203</v>
      </c>
      <c r="M8">
        <v>3456</v>
      </c>
      <c r="N8">
        <v>3701</v>
      </c>
      <c r="O8">
        <v>1947</v>
      </c>
      <c r="P8">
        <v>1352</v>
      </c>
      <c r="Q8">
        <v>5311</v>
      </c>
      <c r="R8">
        <v>6101</v>
      </c>
      <c r="S8">
        <v>4662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31" t="s">
        <v>34</v>
      </c>
      <c r="L9">
        <v>373</v>
      </c>
      <c r="M9">
        <v>556</v>
      </c>
      <c r="N9">
        <v>747</v>
      </c>
      <c r="O9">
        <v>451</v>
      </c>
      <c r="P9">
        <v>429</v>
      </c>
      <c r="Q9">
        <v>555</v>
      </c>
      <c r="R9">
        <v>531</v>
      </c>
      <c r="S9">
        <v>495</v>
      </c>
    </row>
    <row r="10" spans="1:19" x14ac:dyDescent="0.25">
      <c r="A10" s="6" t="s">
        <v>5</v>
      </c>
      <c r="B10">
        <f>L6</f>
        <v>6379</v>
      </c>
      <c r="C10">
        <f t="shared" ref="C10:I10" si="3">M6</f>
        <v>7179</v>
      </c>
      <c r="D10">
        <f t="shared" si="3"/>
        <v>10001</v>
      </c>
      <c r="E10">
        <f t="shared" si="3"/>
        <v>7711</v>
      </c>
      <c r="F10">
        <f t="shared" si="3"/>
        <v>6660</v>
      </c>
      <c r="G10">
        <f t="shared" si="3"/>
        <v>6500</v>
      </c>
      <c r="H10">
        <f t="shared" si="3"/>
        <v>6069</v>
      </c>
      <c r="I10">
        <f t="shared" si="3"/>
        <v>9111</v>
      </c>
      <c r="K10" s="31" t="s">
        <v>35</v>
      </c>
      <c r="L10">
        <v>1725</v>
      </c>
      <c r="M10">
        <v>3180</v>
      </c>
      <c r="N10">
        <v>3807</v>
      </c>
      <c r="O10">
        <v>2737</v>
      </c>
      <c r="P10">
        <v>3116</v>
      </c>
      <c r="Q10">
        <v>3251</v>
      </c>
      <c r="R10">
        <v>3223</v>
      </c>
      <c r="S10">
        <v>3040</v>
      </c>
    </row>
    <row r="11" spans="1:19" x14ac:dyDescent="0.25">
      <c r="A11" s="6" t="s">
        <v>7</v>
      </c>
      <c r="B11" s="19">
        <f>B10/L2</f>
        <v>0.34021333333333331</v>
      </c>
      <c r="C11" s="19">
        <f t="shared" ref="C11:I11" si="4">C10/M2</f>
        <v>0.30893364317066874</v>
      </c>
      <c r="D11" s="19">
        <f t="shared" si="4"/>
        <v>0.34448195095067513</v>
      </c>
      <c r="E11" s="19">
        <f t="shared" si="4"/>
        <v>0.29424559261237887</v>
      </c>
      <c r="F11" s="19">
        <f t="shared" si="4"/>
        <v>0.24513231992344217</v>
      </c>
      <c r="G11" s="19">
        <f t="shared" si="4"/>
        <v>0.18838941541315249</v>
      </c>
      <c r="H11" s="19">
        <f t="shared" si="4"/>
        <v>0.17345947181890933</v>
      </c>
      <c r="I11" s="19">
        <f t="shared" si="4"/>
        <v>0.26077623218272367</v>
      </c>
      <c r="K11" s="31" t="s">
        <v>59</v>
      </c>
      <c r="L11">
        <v>6742</v>
      </c>
      <c r="M11">
        <v>8456</v>
      </c>
      <c r="N11">
        <v>10742</v>
      </c>
      <c r="O11">
        <v>7676</v>
      </c>
      <c r="P11">
        <v>7954</v>
      </c>
      <c r="Q11">
        <v>9385</v>
      </c>
      <c r="R11">
        <v>9407</v>
      </c>
      <c r="S11">
        <v>10022</v>
      </c>
    </row>
    <row r="12" spans="1:19" ht="15.75" x14ac:dyDescent="0.25">
      <c r="A12" s="5" t="s">
        <v>0</v>
      </c>
      <c r="K12" s="31" t="s">
        <v>56</v>
      </c>
      <c r="L12">
        <v>111.7</v>
      </c>
      <c r="M12">
        <v>110.2</v>
      </c>
      <c r="N12">
        <v>429.4</v>
      </c>
      <c r="O12">
        <v>422</v>
      </c>
      <c r="P12">
        <v>422</v>
      </c>
      <c r="Q12">
        <v>419.5</v>
      </c>
      <c r="R12">
        <v>419.5</v>
      </c>
      <c r="S12">
        <v>419.5</v>
      </c>
    </row>
    <row r="13" spans="1:19" x14ac:dyDescent="0.25">
      <c r="A13" s="6" t="s">
        <v>17</v>
      </c>
      <c r="B13" s="18">
        <f>L7/B4</f>
        <v>2.6562973437026564E-2</v>
      </c>
      <c r="C13" s="18">
        <f t="shared" ref="C13:I13" si="5">M7/C4</f>
        <v>2.5876292808563725E-2</v>
      </c>
      <c r="D13" s="18">
        <f t="shared" si="5"/>
        <v>2.5780969479353679E-2</v>
      </c>
      <c r="E13" s="18">
        <f t="shared" si="5"/>
        <v>2.5116171896002151E-2</v>
      </c>
      <c r="F13" s="18">
        <f t="shared" si="5"/>
        <v>2.52831715210356E-2</v>
      </c>
      <c r="G13" s="18">
        <f t="shared" si="5"/>
        <v>2.2616222253245846E-2</v>
      </c>
      <c r="H13" s="18">
        <f t="shared" si="5"/>
        <v>2.3714486968772014E-2</v>
      </c>
      <c r="I13" s="18">
        <f t="shared" si="5"/>
        <v>2.4453798356384046E-2</v>
      </c>
      <c r="K13" s="31" t="s">
        <v>57</v>
      </c>
      <c r="L13">
        <v>77.25</v>
      </c>
      <c r="M13">
        <v>91</v>
      </c>
      <c r="N13">
        <v>67.5</v>
      </c>
      <c r="O13">
        <v>99</v>
      </c>
      <c r="P13">
        <v>141.69999999999999</v>
      </c>
      <c r="Q13">
        <v>130.30000000000001</v>
      </c>
      <c r="R13">
        <v>135.30000000000001</v>
      </c>
      <c r="S13">
        <v>165</v>
      </c>
    </row>
    <row r="14" spans="1:19" x14ac:dyDescent="0.25">
      <c r="A14" s="6" t="s">
        <v>15</v>
      </c>
      <c r="B14" s="19">
        <f>L8/L4</f>
        <v>0.32250036597862686</v>
      </c>
      <c r="C14" s="19">
        <f t="shared" ref="C14:I14" si="6">M8/M4</f>
        <v>0.43542900340178908</v>
      </c>
      <c r="D14" s="19">
        <f t="shared" si="6"/>
        <v>0.35271133136376631</v>
      </c>
      <c r="E14" s="19">
        <f t="shared" si="6"/>
        <v>0.15921170986998121</v>
      </c>
      <c r="F14" s="19">
        <f t="shared" si="6"/>
        <v>9.9543513473715206E-2</v>
      </c>
      <c r="G14" s="19">
        <f t="shared" si="6"/>
        <v>0.35069994717379821</v>
      </c>
      <c r="H14" s="19">
        <f t="shared" si="6"/>
        <v>0.42212689407043519</v>
      </c>
      <c r="I14" s="19">
        <f t="shared" si="6"/>
        <v>0.2884543992080188</v>
      </c>
      <c r="K14" s="31" t="s">
        <v>32</v>
      </c>
      <c r="L14" s="40">
        <f>L13*L12</f>
        <v>8628.8250000000007</v>
      </c>
      <c r="M14" s="40">
        <f t="shared" ref="M14:S14" si="7">M13*M12</f>
        <v>10028.200000000001</v>
      </c>
      <c r="N14" s="40">
        <f t="shared" si="7"/>
        <v>28984.5</v>
      </c>
      <c r="O14" s="40">
        <f t="shared" si="7"/>
        <v>41778</v>
      </c>
      <c r="P14" s="40">
        <f t="shared" si="7"/>
        <v>59797.399999999994</v>
      </c>
      <c r="Q14" s="40">
        <f t="shared" si="7"/>
        <v>54660.850000000006</v>
      </c>
      <c r="R14" s="40">
        <f t="shared" si="7"/>
        <v>56758.350000000006</v>
      </c>
      <c r="S14" s="40">
        <f t="shared" si="7"/>
        <v>69217.5</v>
      </c>
    </row>
    <row r="15" spans="1:19" x14ac:dyDescent="0.25">
      <c r="A15" s="6" t="s">
        <v>45</v>
      </c>
      <c r="B15" s="18">
        <f>L5/L11</f>
        <v>8.0984870958172653E-2</v>
      </c>
      <c r="C15" s="18">
        <f t="shared" ref="C15:I15" si="8">M5/M11</f>
        <v>0.10122989593188268</v>
      </c>
      <c r="D15" s="18">
        <f t="shared" si="8"/>
        <v>0.10081921429901322</v>
      </c>
      <c r="E15" s="18">
        <f t="shared" si="8"/>
        <v>0.14486711829077645</v>
      </c>
      <c r="F15" s="18">
        <f t="shared" si="8"/>
        <v>0.16696002011566508</v>
      </c>
      <c r="G15" s="18">
        <f t="shared" si="8"/>
        <v>0.16664890783164624</v>
      </c>
      <c r="H15" s="18">
        <f t="shared" si="8"/>
        <v>0.14925055809503562</v>
      </c>
      <c r="I15" s="18">
        <f t="shared" si="8"/>
        <v>0.1450808221911794</v>
      </c>
    </row>
    <row r="16" spans="1:19" x14ac:dyDescent="0.25">
      <c r="A16" s="6" t="s">
        <v>16</v>
      </c>
      <c r="B16" s="18">
        <f>L9/B4</f>
        <v>1.8836481163518836E-2</v>
      </c>
      <c r="C16" s="18">
        <f t="shared" ref="C16:I16" si="9">M9/C4</f>
        <v>2.2375145881121977E-2</v>
      </c>
      <c r="D16" s="18">
        <f t="shared" si="9"/>
        <v>2.6822262118491921E-2</v>
      </c>
      <c r="E16" s="18">
        <f t="shared" si="9"/>
        <v>1.7320173585775183E-2</v>
      </c>
      <c r="F16" s="18">
        <f t="shared" si="9"/>
        <v>1.7354368932038833E-2</v>
      </c>
      <c r="G16" s="18">
        <f t="shared" si="9"/>
        <v>1.9370375540974451E-2</v>
      </c>
      <c r="H16" s="18">
        <f t="shared" si="9"/>
        <v>1.7811022037366248E-2</v>
      </c>
      <c r="I16" s="18">
        <f t="shared" si="9"/>
        <v>1.6536380036079375E-2</v>
      </c>
    </row>
    <row r="17" spans="1:9" x14ac:dyDescent="0.25">
      <c r="A17" s="6" t="s">
        <v>9</v>
      </c>
      <c r="B17" s="18">
        <f>L10/L2</f>
        <v>9.1999999999999998E-2</v>
      </c>
      <c r="C17" s="18">
        <f t="shared" ref="C17:I17" si="10">M10/M2</f>
        <v>0.13684482313452104</v>
      </c>
      <c r="D17" s="18">
        <f t="shared" si="10"/>
        <v>0.13113116561036098</v>
      </c>
      <c r="E17" s="18">
        <f t="shared" si="10"/>
        <v>0.10444173090132031</v>
      </c>
      <c r="F17" s="18">
        <f t="shared" si="10"/>
        <v>0.11468953586808495</v>
      </c>
      <c r="G17" s="18">
        <f t="shared" si="10"/>
        <v>9.4223690693562873E-2</v>
      </c>
      <c r="H17" s="18">
        <f t="shared" si="10"/>
        <v>9.2117297359094547E-2</v>
      </c>
      <c r="I17" s="18">
        <f t="shared" si="10"/>
        <v>8.701127711946878E-2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</row>
    <row r="21" spans="1:9" x14ac:dyDescent="0.25">
      <c r="A21" s="28" t="s">
        <v>73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16" sqref="K16"/>
    </sheetView>
  </sheetViews>
  <sheetFormatPr defaultRowHeight="15" x14ac:dyDescent="0.25"/>
  <cols>
    <col min="1" max="1" width="19.5703125" customWidth="1"/>
    <col min="11" max="11" width="12.5703125" customWidth="1"/>
    <col min="12" max="14" width="9.28515625" bestFit="1" customWidth="1"/>
    <col min="15" max="15" width="8.85546875" customWidth="1"/>
    <col min="16" max="18" width="9.28515625" bestFit="1" customWidth="1"/>
    <col min="19" max="19" width="9.5703125" bestFit="1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33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34" t="s">
        <v>36</v>
      </c>
      <c r="L2">
        <v>35557</v>
      </c>
      <c r="M2">
        <v>37732</v>
      </c>
      <c r="N2">
        <v>44960</v>
      </c>
      <c r="O2">
        <v>42618</v>
      </c>
      <c r="P2">
        <v>45389</v>
      </c>
      <c r="Q2">
        <v>55728</v>
      </c>
      <c r="R2">
        <v>60205</v>
      </c>
      <c r="S2">
        <v>65763</v>
      </c>
    </row>
    <row r="3" spans="1:19" x14ac:dyDescent="0.25">
      <c r="A3" s="6" t="s">
        <v>10</v>
      </c>
      <c r="B3" s="19">
        <f>LN(L2)</f>
        <v>10.478892321614516</v>
      </c>
      <c r="C3" s="19">
        <f t="shared" ref="C3:I3" si="0">LN(M2)</f>
        <v>10.538263819769744</v>
      </c>
      <c r="D3" s="19">
        <f t="shared" si="0"/>
        <v>10.713528484567572</v>
      </c>
      <c r="E3" s="19">
        <f t="shared" si="0"/>
        <v>10.660031978225865</v>
      </c>
      <c r="F3" s="19">
        <f t="shared" si="0"/>
        <v>10.723025063923394</v>
      </c>
      <c r="G3" s="19">
        <f t="shared" si="0"/>
        <v>10.928237992605782</v>
      </c>
      <c r="H3" s="19">
        <f t="shared" si="0"/>
        <v>11.005510684326319</v>
      </c>
      <c r="I3" s="19">
        <f t="shared" si="0"/>
        <v>11.093812649127438</v>
      </c>
      <c r="K3" s="34" t="s">
        <v>30</v>
      </c>
      <c r="L3">
        <v>29702</v>
      </c>
      <c r="M3">
        <v>32003</v>
      </c>
      <c r="N3">
        <v>33294</v>
      </c>
      <c r="O3">
        <v>33400</v>
      </c>
      <c r="P3">
        <v>35018</v>
      </c>
      <c r="Q3">
        <v>39134</v>
      </c>
      <c r="R3">
        <v>43633</v>
      </c>
      <c r="S3">
        <v>45407</v>
      </c>
    </row>
    <row r="4" spans="1:19" x14ac:dyDescent="0.25">
      <c r="A4" s="6" t="s">
        <v>13</v>
      </c>
      <c r="B4">
        <v>31137</v>
      </c>
      <c r="C4">
        <v>33550</v>
      </c>
      <c r="D4">
        <v>34829</v>
      </c>
      <c r="E4">
        <v>34963</v>
      </c>
      <c r="F4">
        <v>36823</v>
      </c>
      <c r="G4">
        <v>41786</v>
      </c>
      <c r="H4">
        <v>46619</v>
      </c>
      <c r="I4">
        <v>48481</v>
      </c>
      <c r="K4" s="34" t="s">
        <v>31</v>
      </c>
      <c r="L4">
        <v>13645</v>
      </c>
      <c r="M4">
        <v>15668</v>
      </c>
      <c r="N4">
        <v>18838</v>
      </c>
      <c r="O4">
        <v>19334</v>
      </c>
      <c r="P4">
        <v>20821</v>
      </c>
      <c r="Q4">
        <v>22998</v>
      </c>
      <c r="R4">
        <v>26001</v>
      </c>
      <c r="S4">
        <v>28813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34" t="s">
        <v>58</v>
      </c>
      <c r="L5">
        <v>1154</v>
      </c>
      <c r="M5">
        <v>1138</v>
      </c>
      <c r="N5">
        <v>1931</v>
      </c>
      <c r="O5">
        <v>2235</v>
      </c>
      <c r="P5">
        <v>1302</v>
      </c>
      <c r="Q5">
        <v>1665</v>
      </c>
      <c r="R5">
        <v>907</v>
      </c>
      <c r="S5">
        <v>362</v>
      </c>
    </row>
    <row r="6" spans="1:19" x14ac:dyDescent="0.25">
      <c r="A6" s="6" t="s">
        <v>11</v>
      </c>
      <c r="B6" s="19">
        <f>L3/B4</f>
        <v>0.95391335067604455</v>
      </c>
      <c r="C6" s="19">
        <f t="shared" ref="C6:I6" si="1">M3/C4</f>
        <v>0.95388971684053647</v>
      </c>
      <c r="D6" s="19">
        <f t="shared" si="1"/>
        <v>0.9559275316546556</v>
      </c>
      <c r="E6" s="19">
        <f t="shared" si="1"/>
        <v>0.95529559820381549</v>
      </c>
      <c r="F6" s="19">
        <f t="shared" si="1"/>
        <v>0.95098172337940956</v>
      </c>
      <c r="G6" s="19">
        <f t="shared" si="1"/>
        <v>0.9365337672904801</v>
      </c>
      <c r="H6" s="19">
        <f t="shared" si="1"/>
        <v>0.93594886205195305</v>
      </c>
      <c r="I6" s="19">
        <f t="shared" si="1"/>
        <v>0.93659371712629691</v>
      </c>
      <c r="K6" s="35" t="s">
        <v>70</v>
      </c>
      <c r="L6">
        <v>6202</v>
      </c>
      <c r="M6">
        <v>6064</v>
      </c>
      <c r="N6">
        <v>4312</v>
      </c>
      <c r="O6">
        <v>3629</v>
      </c>
      <c r="P6">
        <v>4974</v>
      </c>
      <c r="Q6">
        <v>9936</v>
      </c>
      <c r="R6">
        <v>3940</v>
      </c>
      <c r="S6">
        <v>8962</v>
      </c>
    </row>
    <row r="7" spans="1:19" ht="15.75" x14ac:dyDescent="0.25">
      <c r="A7" s="5" t="s">
        <v>24</v>
      </c>
      <c r="K7" s="34" t="s">
        <v>33</v>
      </c>
      <c r="L7">
        <v>719</v>
      </c>
      <c r="M7">
        <v>776</v>
      </c>
      <c r="N7">
        <v>901</v>
      </c>
      <c r="O7">
        <v>920</v>
      </c>
      <c r="P7">
        <v>1015</v>
      </c>
      <c r="Q7">
        <v>1202</v>
      </c>
      <c r="R7">
        <v>1344</v>
      </c>
      <c r="S7">
        <v>1390</v>
      </c>
    </row>
    <row r="8" spans="1:19" x14ac:dyDescent="0.25">
      <c r="A8" s="6" t="s">
        <v>8</v>
      </c>
      <c r="B8" s="19">
        <f>(L2+L14-L4)/L2</f>
        <v>2.1495373625446468</v>
      </c>
      <c r="C8" s="19">
        <f t="shared" ref="C8:I8" si="2">(M2+M14-M4)/M2</f>
        <v>1.842985397010495</v>
      </c>
      <c r="D8" s="19">
        <f t="shared" si="2"/>
        <v>1.3012488879003556</v>
      </c>
      <c r="E8" s="19">
        <f t="shared" si="2"/>
        <v>1.7294340419541039</v>
      </c>
      <c r="F8" s="19">
        <f t="shared" si="2"/>
        <v>2.0701689836744586</v>
      </c>
      <c r="G8" s="19">
        <f t="shared" si="2"/>
        <v>1.7280106948033305</v>
      </c>
      <c r="H8" s="19">
        <f t="shared" si="2"/>
        <v>2.0645396561747362</v>
      </c>
      <c r="I8" s="19">
        <f t="shared" si="2"/>
        <v>2.4783209403463955</v>
      </c>
      <c r="K8" s="34" t="s">
        <v>37</v>
      </c>
      <c r="L8">
        <v>13560</v>
      </c>
      <c r="M8">
        <v>12953</v>
      </c>
      <c r="N8">
        <v>14013</v>
      </c>
      <c r="O8">
        <v>11048</v>
      </c>
      <c r="P8">
        <v>10564</v>
      </c>
      <c r="Q8">
        <v>14207</v>
      </c>
      <c r="R8">
        <v>15805</v>
      </c>
      <c r="S8">
        <v>19595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34" t="s">
        <v>34</v>
      </c>
      <c r="L9">
        <v>739</v>
      </c>
      <c r="M9">
        <v>751</v>
      </c>
      <c r="N9">
        <v>829</v>
      </c>
      <c r="O9">
        <v>664</v>
      </c>
      <c r="P9">
        <v>708</v>
      </c>
      <c r="Q9">
        <v>846</v>
      </c>
      <c r="R9">
        <v>557</v>
      </c>
      <c r="S9">
        <v>1202</v>
      </c>
    </row>
    <row r="10" spans="1:19" x14ac:dyDescent="0.25">
      <c r="A10" s="6" t="s">
        <v>5</v>
      </c>
      <c r="B10">
        <f>L6</f>
        <v>6202</v>
      </c>
      <c r="C10">
        <f t="shared" ref="C10:I10" si="3">M6</f>
        <v>6064</v>
      </c>
      <c r="D10">
        <f t="shared" si="3"/>
        <v>4312</v>
      </c>
      <c r="E10">
        <f t="shared" si="3"/>
        <v>3629</v>
      </c>
      <c r="F10">
        <f t="shared" si="3"/>
        <v>4974</v>
      </c>
      <c r="G10">
        <f t="shared" si="3"/>
        <v>9936</v>
      </c>
      <c r="H10">
        <f t="shared" si="3"/>
        <v>3940</v>
      </c>
      <c r="I10">
        <f t="shared" si="3"/>
        <v>8962</v>
      </c>
      <c r="K10" s="34" t="s">
        <v>35</v>
      </c>
      <c r="L10">
        <v>1756</v>
      </c>
      <c r="M10">
        <v>3368</v>
      </c>
      <c r="N10">
        <v>2438</v>
      </c>
      <c r="O10">
        <v>2659</v>
      </c>
      <c r="P10">
        <v>4080</v>
      </c>
      <c r="Q10">
        <v>3869</v>
      </c>
      <c r="R10">
        <v>5172</v>
      </c>
      <c r="S10">
        <v>4775</v>
      </c>
    </row>
    <row r="11" spans="1:19" x14ac:dyDescent="0.25">
      <c r="A11" s="6" t="s">
        <v>7</v>
      </c>
      <c r="B11" s="19">
        <f>B10/L2</f>
        <v>0.17442416401833674</v>
      </c>
      <c r="C11" s="19">
        <f t="shared" ref="C11:I11" si="4">C10/M2</f>
        <v>0.16071239266405174</v>
      </c>
      <c r="D11" s="19">
        <f t="shared" si="4"/>
        <v>9.590747330960854E-2</v>
      </c>
      <c r="E11" s="19">
        <f t="shared" si="4"/>
        <v>8.5151813787601477E-2</v>
      </c>
      <c r="F11" s="19">
        <f t="shared" si="4"/>
        <v>0.10958602304523123</v>
      </c>
      <c r="G11" s="19">
        <f t="shared" si="4"/>
        <v>0.17829457364341086</v>
      </c>
      <c r="H11" s="19">
        <f t="shared" si="4"/>
        <v>6.5443069512498966E-2</v>
      </c>
      <c r="I11" s="19">
        <f t="shared" si="4"/>
        <v>0.13627723796055533</v>
      </c>
      <c r="K11" s="34" t="s">
        <v>59</v>
      </c>
      <c r="L11">
        <v>12380</v>
      </c>
      <c r="M11">
        <v>11843</v>
      </c>
      <c r="N11">
        <v>15514</v>
      </c>
      <c r="O11">
        <v>9406</v>
      </c>
      <c r="P11">
        <v>11120</v>
      </c>
      <c r="Q11">
        <v>18563</v>
      </c>
      <c r="R11">
        <v>16911</v>
      </c>
      <c r="S11">
        <v>16842</v>
      </c>
    </row>
    <row r="12" spans="1:19" ht="15.75" x14ac:dyDescent="0.25">
      <c r="A12" s="5" t="s">
        <v>0</v>
      </c>
      <c r="K12" s="34" t="s">
        <v>56</v>
      </c>
      <c r="L12">
        <v>365.9</v>
      </c>
      <c r="M12">
        <v>365.9</v>
      </c>
      <c r="N12">
        <v>365.9</v>
      </c>
      <c r="O12">
        <v>365.9</v>
      </c>
      <c r="P12">
        <v>366.2</v>
      </c>
      <c r="Q12">
        <v>368.3</v>
      </c>
      <c r="R12">
        <v>370.9</v>
      </c>
      <c r="S12">
        <v>370.9</v>
      </c>
    </row>
    <row r="13" spans="1:19" x14ac:dyDescent="0.25">
      <c r="A13" s="6" t="s">
        <v>17</v>
      </c>
      <c r="B13" s="18">
        <f>L7/B4</f>
        <v>2.3091498859877317E-2</v>
      </c>
      <c r="C13" s="18">
        <f t="shared" ref="C13:I13" si="5">M7/C4</f>
        <v>2.3129657228017884E-2</v>
      </c>
      <c r="D13" s="18">
        <f t="shared" si="5"/>
        <v>2.586924689195785E-2</v>
      </c>
      <c r="E13" s="18">
        <f t="shared" si="5"/>
        <v>2.6313531447530247E-2</v>
      </c>
      <c r="F13" s="18">
        <f t="shared" si="5"/>
        <v>2.7564294055345842E-2</v>
      </c>
      <c r="G13" s="18">
        <f t="shared" si="5"/>
        <v>2.8765615277844252E-2</v>
      </c>
      <c r="H13" s="18">
        <f t="shared" si="5"/>
        <v>2.8829447221090113E-2</v>
      </c>
      <c r="I13" s="18">
        <f t="shared" si="5"/>
        <v>2.8671025762669913E-2</v>
      </c>
      <c r="K13" s="34" t="s">
        <v>57</v>
      </c>
      <c r="L13">
        <v>149</v>
      </c>
      <c r="M13">
        <v>129.75</v>
      </c>
      <c r="N13">
        <v>88.5</v>
      </c>
      <c r="O13">
        <v>137.80000000000001</v>
      </c>
      <c r="P13">
        <v>189.5</v>
      </c>
      <c r="Q13">
        <v>172.6</v>
      </c>
      <c r="R13">
        <v>242.9</v>
      </c>
      <c r="S13">
        <v>339.8</v>
      </c>
    </row>
    <row r="14" spans="1:19" x14ac:dyDescent="0.25">
      <c r="A14" s="6" t="s">
        <v>15</v>
      </c>
      <c r="B14" s="19">
        <f>L8/L4</f>
        <v>0.99377061194576766</v>
      </c>
      <c r="C14" s="19">
        <f t="shared" ref="C14:H14" si="6">M8/M4</f>
        <v>0.82671687515956094</v>
      </c>
      <c r="D14" s="19">
        <f t="shared" si="6"/>
        <v>0.74386877587854339</v>
      </c>
      <c r="E14" s="19">
        <f t="shared" si="6"/>
        <v>0.5714285714285714</v>
      </c>
      <c r="F14" s="19">
        <f t="shared" si="6"/>
        <v>0.50737236443974831</v>
      </c>
      <c r="G14" s="19">
        <f t="shared" si="6"/>
        <v>0.61774936951039217</v>
      </c>
      <c r="H14" s="19">
        <f t="shared" si="6"/>
        <v>0.6078612361063036</v>
      </c>
      <c r="I14" s="19">
        <f>S8/S4</f>
        <v>0.68007496616110785</v>
      </c>
      <c r="K14" s="34" t="s">
        <v>32</v>
      </c>
      <c r="L14" s="27">
        <f>L13*L12</f>
        <v>54519.1</v>
      </c>
      <c r="M14" s="27">
        <f t="shared" ref="M14:S14" si="7">M13*M12</f>
        <v>47475.524999999994</v>
      </c>
      <c r="N14" s="27">
        <f t="shared" si="7"/>
        <v>32382.149999999998</v>
      </c>
      <c r="O14" s="27">
        <f t="shared" si="7"/>
        <v>50421.020000000004</v>
      </c>
      <c r="P14" s="27">
        <f t="shared" si="7"/>
        <v>69394.899999999994</v>
      </c>
      <c r="Q14" s="27">
        <f t="shared" si="7"/>
        <v>63568.58</v>
      </c>
      <c r="R14" s="27">
        <f t="shared" si="7"/>
        <v>90091.61</v>
      </c>
      <c r="S14" s="27">
        <f t="shared" si="7"/>
        <v>126031.81999999999</v>
      </c>
    </row>
    <row r="15" spans="1:19" x14ac:dyDescent="0.25">
      <c r="A15" s="6" t="s">
        <v>45</v>
      </c>
      <c r="B15" s="18">
        <f>L5/L11</f>
        <v>9.3214862681744753E-2</v>
      </c>
      <c r="C15" s="18">
        <f t="shared" ref="C15:I15" si="8">M5/M11</f>
        <v>9.609051760533649E-2</v>
      </c>
      <c r="D15" s="18">
        <f t="shared" si="8"/>
        <v>0.12446822225087018</v>
      </c>
      <c r="E15" s="18">
        <f t="shared" si="8"/>
        <v>0.23761428875186053</v>
      </c>
      <c r="F15" s="18">
        <f t="shared" si="8"/>
        <v>0.1170863309352518</v>
      </c>
      <c r="G15" s="18">
        <f t="shared" si="8"/>
        <v>8.96945536820557E-2</v>
      </c>
      <c r="H15" s="18">
        <f t="shared" si="8"/>
        <v>5.3633729525161135E-2</v>
      </c>
      <c r="I15" s="18">
        <f t="shared" si="8"/>
        <v>2.1493884336777104E-2</v>
      </c>
    </row>
    <row r="16" spans="1:19" x14ac:dyDescent="0.25">
      <c r="A16" s="6" t="s">
        <v>16</v>
      </c>
      <c r="B16" s="18">
        <f>L9/B4</f>
        <v>2.3733821498538716E-2</v>
      </c>
      <c r="C16" s="18">
        <f t="shared" ref="C16:I16" si="9">M9/C4</f>
        <v>2.2384500745156483E-2</v>
      </c>
      <c r="D16" s="18">
        <f t="shared" si="9"/>
        <v>2.3802004077062219E-2</v>
      </c>
      <c r="E16" s="18">
        <f t="shared" si="9"/>
        <v>1.8991505305608787E-2</v>
      </c>
      <c r="F16" s="18">
        <f t="shared" si="9"/>
        <v>1.9227113488852077E-2</v>
      </c>
      <c r="G16" s="18">
        <f t="shared" si="9"/>
        <v>2.024601541186043E-2</v>
      </c>
      <c r="H16" s="18">
        <f t="shared" si="9"/>
        <v>1.1947918230764281E-2</v>
      </c>
      <c r="I16" s="18">
        <f t="shared" si="9"/>
        <v>2.4793217961675707E-2</v>
      </c>
    </row>
    <row r="17" spans="1:9" x14ac:dyDescent="0.25">
      <c r="A17" s="6" t="s">
        <v>9</v>
      </c>
      <c r="B17" s="18">
        <f>L10/L2</f>
        <v>4.9385493714317857E-2</v>
      </c>
      <c r="C17" s="18">
        <f t="shared" ref="C17:I17" si="10">M10/M2</f>
        <v>8.9261104632672533E-2</v>
      </c>
      <c r="D17" s="18">
        <f t="shared" si="10"/>
        <v>5.4225978647686836E-2</v>
      </c>
      <c r="E17" s="18">
        <f t="shared" si="10"/>
        <v>6.2391477779342064E-2</v>
      </c>
      <c r="F17" s="18">
        <f t="shared" si="10"/>
        <v>8.9889620833241535E-2</v>
      </c>
      <c r="G17" s="18">
        <f t="shared" si="10"/>
        <v>6.9426500143554407E-2</v>
      </c>
      <c r="H17" s="18">
        <f t="shared" si="10"/>
        <v>8.5906486172244834E-2</v>
      </c>
      <c r="I17" s="18">
        <f t="shared" si="10"/>
        <v>7.2609217949302793E-2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</row>
    <row r="21" spans="1:9" x14ac:dyDescent="0.25">
      <c r="A21" s="28" t="s">
        <v>73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Normal="100" workbookViewId="0">
      <selection activeCell="K16" sqref="K16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55255</v>
      </c>
      <c r="M2">
        <v>56659</v>
      </c>
      <c r="N2">
        <v>75394</v>
      </c>
      <c r="O2">
        <v>67874</v>
      </c>
      <c r="P2">
        <v>71622</v>
      </c>
      <c r="Q2">
        <v>75109</v>
      </c>
      <c r="R2">
        <v>80794</v>
      </c>
      <c r="S2">
        <v>87891</v>
      </c>
    </row>
    <row r="3" spans="1:19" x14ac:dyDescent="0.25">
      <c r="A3" s="6" t="s">
        <v>10</v>
      </c>
      <c r="B3" s="19">
        <f>LN(L2)</f>
        <v>10.919714113022883</v>
      </c>
      <c r="C3" s="19">
        <f t="shared" ref="C3:I3" si="0">LN(M2)</f>
        <v>10.944806124093567</v>
      </c>
      <c r="D3" s="19">
        <f t="shared" si="0"/>
        <v>11.230482975232924</v>
      </c>
      <c r="E3" s="19">
        <f t="shared" si="0"/>
        <v>11.125408324162697</v>
      </c>
      <c r="F3" s="19">
        <f t="shared" si="0"/>
        <v>11.179157568323093</v>
      </c>
      <c r="G3" s="19">
        <f t="shared" si="0"/>
        <v>11.226695670785011</v>
      </c>
      <c r="H3" s="19">
        <f t="shared" si="0"/>
        <v>11.299657984326226</v>
      </c>
      <c r="I3" s="19">
        <f t="shared" si="0"/>
        <v>11.383852689352651</v>
      </c>
      <c r="K3" s="6" t="s">
        <v>30</v>
      </c>
      <c r="L3">
        <v>49327</v>
      </c>
      <c r="M3">
        <v>61810</v>
      </c>
      <c r="N3">
        <v>72342</v>
      </c>
      <c r="O3">
        <v>62183</v>
      </c>
      <c r="P3">
        <v>68302</v>
      </c>
      <c r="Q3">
        <v>79347</v>
      </c>
      <c r="R3">
        <v>88492</v>
      </c>
      <c r="S3">
        <v>81978</v>
      </c>
    </row>
    <row r="4" spans="1:19" x14ac:dyDescent="0.25">
      <c r="A4" s="6" t="s">
        <v>13</v>
      </c>
      <c r="B4">
        <v>50512</v>
      </c>
      <c r="C4">
        <v>63355</v>
      </c>
      <c r="D4">
        <v>74177</v>
      </c>
      <c r="E4">
        <v>63762</v>
      </c>
      <c r="F4">
        <v>69875</v>
      </c>
      <c r="G4">
        <v>81203</v>
      </c>
      <c r="H4">
        <v>90533</v>
      </c>
      <c r="I4">
        <v>83888</v>
      </c>
      <c r="K4" s="6" t="s">
        <v>31</v>
      </c>
      <c r="L4">
        <v>32708</v>
      </c>
      <c r="M4">
        <v>14640</v>
      </c>
      <c r="N4">
        <v>23768</v>
      </c>
      <c r="O4">
        <v>25671</v>
      </c>
      <c r="P4">
        <v>29321</v>
      </c>
      <c r="Q4">
        <v>28839</v>
      </c>
      <c r="R4">
        <v>34185</v>
      </c>
      <c r="S4">
        <v>39794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20135</v>
      </c>
      <c r="M5">
        <v>3473</v>
      </c>
      <c r="N5">
        <v>5455</v>
      </c>
      <c r="O5">
        <v>12165</v>
      </c>
      <c r="P5">
        <v>14264</v>
      </c>
      <c r="Q5">
        <v>5716</v>
      </c>
      <c r="R5">
        <v>12416</v>
      </c>
      <c r="S5">
        <v>17633</v>
      </c>
    </row>
    <row r="6" spans="1:19" x14ac:dyDescent="0.25">
      <c r="A6" s="6" t="s">
        <v>11</v>
      </c>
      <c r="B6" s="18">
        <f>L3/B4</f>
        <v>0.97654022806461827</v>
      </c>
      <c r="C6" s="18">
        <f t="shared" ref="C6:I6" si="1">M3/C4</f>
        <v>0.97561360587167545</v>
      </c>
      <c r="D6" s="18">
        <f t="shared" si="1"/>
        <v>0.97526187362659589</v>
      </c>
      <c r="E6" s="18">
        <f t="shared" si="1"/>
        <v>0.97523603400144288</v>
      </c>
      <c r="F6" s="18">
        <f t="shared" si="1"/>
        <v>0.97748837209302331</v>
      </c>
      <c r="G6" s="18">
        <f t="shared" si="1"/>
        <v>0.97714370158737973</v>
      </c>
      <c r="H6" s="18">
        <f t="shared" si="1"/>
        <v>0.97745573437310151</v>
      </c>
      <c r="I6" s="18">
        <f t="shared" si="1"/>
        <v>0.97723154682433722</v>
      </c>
      <c r="K6" s="36" t="s">
        <v>38</v>
      </c>
      <c r="L6">
        <v>62</v>
      </c>
      <c r="M6">
        <v>692</v>
      </c>
      <c r="N6">
        <v>1695</v>
      </c>
      <c r="O6">
        <v>1298</v>
      </c>
      <c r="P6">
        <v>321</v>
      </c>
      <c r="Q6">
        <v>467</v>
      </c>
      <c r="R6">
        <v>458</v>
      </c>
      <c r="S6">
        <v>439</v>
      </c>
    </row>
    <row r="7" spans="1:19" ht="15.75" x14ac:dyDescent="0.25">
      <c r="A7" s="5" t="s">
        <v>24</v>
      </c>
      <c r="K7" s="6" t="s">
        <v>33</v>
      </c>
      <c r="L7">
        <v>1111</v>
      </c>
      <c r="M7">
        <v>1286</v>
      </c>
      <c r="N7">
        <v>1473</v>
      </c>
      <c r="O7">
        <v>1410</v>
      </c>
      <c r="P7">
        <v>1517</v>
      </c>
      <c r="Q7">
        <v>1805</v>
      </c>
      <c r="R7">
        <v>2034</v>
      </c>
      <c r="S7">
        <v>2117</v>
      </c>
    </row>
    <row r="8" spans="1:19" x14ac:dyDescent="0.25">
      <c r="A8" s="6" t="s">
        <v>8</v>
      </c>
      <c r="B8" s="19">
        <f>(L2+L14-L4)/L2</f>
        <v>2.9212197991132025</v>
      </c>
      <c r="C8" s="19">
        <f t="shared" ref="C8:I8" si="2">(M2+M14-M4)/M2</f>
        <v>2.7647681745177288</v>
      </c>
      <c r="D8" s="19">
        <f t="shared" si="2"/>
        <v>1.7239568135395389</v>
      </c>
      <c r="E8" s="19">
        <f t="shared" si="2"/>
        <v>2.4612811975130389</v>
      </c>
      <c r="F8" s="19">
        <f t="shared" si="2"/>
        <v>3.4081427494345311</v>
      </c>
      <c r="G8" s="19">
        <f t="shared" si="2"/>
        <v>2.9495932577986661</v>
      </c>
      <c r="H8" s="19">
        <f t="shared" si="2"/>
        <v>3.19338069658638</v>
      </c>
      <c r="I8" s="19">
        <f t="shared" si="2"/>
        <v>2.9746504192693224</v>
      </c>
      <c r="K8" s="6" t="s">
        <v>37</v>
      </c>
      <c r="L8">
        <v>8787</v>
      </c>
      <c r="M8">
        <v>19775</v>
      </c>
      <c r="N8">
        <v>21686</v>
      </c>
      <c r="O8">
        <v>10906</v>
      </c>
      <c r="P8">
        <v>5510</v>
      </c>
      <c r="Q8">
        <v>14194</v>
      </c>
      <c r="R8">
        <v>9262</v>
      </c>
      <c r="S8">
        <v>7504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2775</v>
      </c>
      <c r="M9">
        <v>2950</v>
      </c>
      <c r="N9">
        <v>3628</v>
      </c>
      <c r="O9">
        <v>2428</v>
      </c>
      <c r="P9">
        <v>2249</v>
      </c>
      <c r="Q9">
        <v>3735</v>
      </c>
      <c r="R9">
        <v>3950</v>
      </c>
      <c r="S9">
        <v>3767</v>
      </c>
    </row>
    <row r="10" spans="1:19" x14ac:dyDescent="0.25">
      <c r="A10" s="6" t="s">
        <v>5</v>
      </c>
      <c r="B10">
        <f>L6</f>
        <v>62</v>
      </c>
      <c r="C10">
        <f t="shared" ref="C10:I10" si="3">M6</f>
        <v>692</v>
      </c>
      <c r="D10">
        <f t="shared" si="3"/>
        <v>1695</v>
      </c>
      <c r="E10">
        <f t="shared" si="3"/>
        <v>1298</v>
      </c>
      <c r="F10">
        <f t="shared" si="3"/>
        <v>321</v>
      </c>
      <c r="G10">
        <f t="shared" si="3"/>
        <v>467</v>
      </c>
      <c r="H10">
        <f t="shared" si="3"/>
        <v>458</v>
      </c>
      <c r="I10">
        <f t="shared" si="3"/>
        <v>439</v>
      </c>
      <c r="K10" s="6" t="s">
        <v>35</v>
      </c>
      <c r="L10">
        <v>15373</v>
      </c>
      <c r="M10">
        <v>7469</v>
      </c>
      <c r="N10">
        <v>10190</v>
      </c>
      <c r="O10">
        <v>6276</v>
      </c>
      <c r="P10">
        <v>9944</v>
      </c>
      <c r="Q10">
        <v>12988</v>
      </c>
      <c r="R10">
        <v>13933</v>
      </c>
      <c r="S10">
        <v>12082</v>
      </c>
    </row>
    <row r="11" spans="1:19" x14ac:dyDescent="0.25">
      <c r="A11" s="6" t="s">
        <v>7</v>
      </c>
      <c r="B11" s="39">
        <f>L6/L2</f>
        <v>1.1220704008686997E-3</v>
      </c>
      <c r="C11" s="39">
        <f t="shared" ref="C11:I11" si="4">M6/M2</f>
        <v>1.2213417109373622E-2</v>
      </c>
      <c r="D11" s="39">
        <f t="shared" si="4"/>
        <v>2.2481895111016791E-2</v>
      </c>
      <c r="E11" s="39">
        <f t="shared" si="4"/>
        <v>1.9123670330317942E-2</v>
      </c>
      <c r="F11" s="39">
        <f t="shared" si="4"/>
        <v>4.4818631146854322E-3</v>
      </c>
      <c r="G11" s="39">
        <f t="shared" si="4"/>
        <v>6.2176303771851573E-3</v>
      </c>
      <c r="H11" s="39">
        <f t="shared" si="4"/>
        <v>5.6687377775577396E-3</v>
      </c>
      <c r="I11" s="39">
        <f t="shared" si="4"/>
        <v>4.9948231331990757E-3</v>
      </c>
      <c r="K11" s="6" t="s">
        <v>59</v>
      </c>
      <c r="L11">
        <v>18497</v>
      </c>
      <c r="M11">
        <v>18974</v>
      </c>
      <c r="N11">
        <v>21892</v>
      </c>
      <c r="O11">
        <v>18180</v>
      </c>
      <c r="P11">
        <v>18899</v>
      </c>
      <c r="Q11">
        <v>25336</v>
      </c>
      <c r="R11">
        <v>21505</v>
      </c>
      <c r="S11">
        <v>24585</v>
      </c>
    </row>
    <row r="12" spans="1:19" ht="15.75" x14ac:dyDescent="0.25">
      <c r="A12" s="5" t="s">
        <v>0</v>
      </c>
      <c r="K12" s="6" t="s">
        <v>56</v>
      </c>
      <c r="L12">
        <v>1254.2</v>
      </c>
      <c r="M12">
        <v>1220.7</v>
      </c>
      <c r="N12">
        <v>1219.0999999999999</v>
      </c>
      <c r="O12">
        <v>1215.9000000000001</v>
      </c>
      <c r="P12">
        <v>1215.9000000000001</v>
      </c>
      <c r="Q12">
        <v>1214.3</v>
      </c>
      <c r="R12">
        <v>1213.8</v>
      </c>
      <c r="S12">
        <v>1212.8</v>
      </c>
    </row>
    <row r="13" spans="1:19" x14ac:dyDescent="0.25">
      <c r="A13" s="6" t="s">
        <v>17</v>
      </c>
      <c r="B13" s="18">
        <f>L7/B4</f>
        <v>2.1994773519163763E-2</v>
      </c>
      <c r="C13" s="18">
        <f t="shared" ref="C13:I13" si="5">M7/C4</f>
        <v>2.0298318996132901E-2</v>
      </c>
      <c r="D13" s="18">
        <f t="shared" si="5"/>
        <v>1.9857907437615435E-2</v>
      </c>
      <c r="E13" s="18">
        <f t="shared" si="5"/>
        <v>2.2113484520560837E-2</v>
      </c>
      <c r="F13" s="18">
        <f t="shared" si="5"/>
        <v>2.1710196779964223E-2</v>
      </c>
      <c r="G13" s="18">
        <f t="shared" si="5"/>
        <v>2.222824279891137E-2</v>
      </c>
      <c r="H13" s="18">
        <f t="shared" si="5"/>
        <v>2.2466945754586725E-2</v>
      </c>
      <c r="I13" s="18">
        <f t="shared" si="5"/>
        <v>2.5236028991035667E-2</v>
      </c>
      <c r="K13" s="6" t="s">
        <v>57</v>
      </c>
    </row>
    <row r="14" spans="1:19" x14ac:dyDescent="0.25">
      <c r="A14" s="6" t="s">
        <v>15</v>
      </c>
      <c r="B14" s="19">
        <f>L8/L4</f>
        <v>0.26864987159104808</v>
      </c>
      <c r="C14" s="19">
        <f t="shared" ref="C14:I14" si="6">M8/M4</f>
        <v>1.3507513661202186</v>
      </c>
      <c r="D14" s="19">
        <f t="shared" si="6"/>
        <v>0.91240323123527434</v>
      </c>
      <c r="E14" s="19">
        <f t="shared" si="6"/>
        <v>0.4248373651201745</v>
      </c>
      <c r="F14" s="19">
        <f t="shared" si="6"/>
        <v>0.18791992087582279</v>
      </c>
      <c r="G14" s="19">
        <f t="shared" si="6"/>
        <v>0.49218072748708347</v>
      </c>
      <c r="H14" s="19">
        <f t="shared" si="6"/>
        <v>0.27093754570718154</v>
      </c>
      <c r="I14" s="19">
        <f t="shared" si="6"/>
        <v>0.18857114137809719</v>
      </c>
      <c r="K14" s="6" t="s">
        <v>32</v>
      </c>
      <c r="L14">
        <v>138865</v>
      </c>
      <c r="M14">
        <v>114630</v>
      </c>
      <c r="N14">
        <v>78350</v>
      </c>
      <c r="O14">
        <v>124854</v>
      </c>
      <c r="P14">
        <v>201797</v>
      </c>
      <c r="Q14">
        <v>175271</v>
      </c>
      <c r="R14">
        <v>211397</v>
      </c>
      <c r="S14">
        <v>213348</v>
      </c>
    </row>
    <row r="15" spans="1:19" x14ac:dyDescent="0.25">
      <c r="A15" s="6" t="s">
        <v>45</v>
      </c>
      <c r="B15" s="19">
        <f>L5/L11</f>
        <v>1.0885549007947235</v>
      </c>
      <c r="C15" s="19">
        <f t="shared" ref="C15:I15" si="7">M5/M11</f>
        <v>0.1830399494044482</v>
      </c>
      <c r="D15" s="19">
        <f t="shared" si="7"/>
        <v>0.24917778183811437</v>
      </c>
      <c r="E15" s="19">
        <f t="shared" si="7"/>
        <v>0.66914191419141911</v>
      </c>
      <c r="F15" s="19">
        <f t="shared" si="7"/>
        <v>0.75474892851473618</v>
      </c>
      <c r="G15" s="19">
        <f t="shared" si="7"/>
        <v>0.2256078307546574</v>
      </c>
      <c r="H15" s="19">
        <f t="shared" si="7"/>
        <v>0.57735410369681472</v>
      </c>
      <c r="I15" s="19">
        <f t="shared" si="7"/>
        <v>0.71722595078299778</v>
      </c>
      <c r="K15" s="37"/>
    </row>
    <row r="16" spans="1:19" x14ac:dyDescent="0.25">
      <c r="A16" s="6" t="s">
        <v>16</v>
      </c>
      <c r="B16" s="18">
        <f>L9/B4</f>
        <v>5.4937440608172315E-2</v>
      </c>
      <c r="C16" s="18">
        <f t="shared" ref="C16:I16" si="8">M9/C4</f>
        <v>4.6563017914923843E-2</v>
      </c>
      <c r="D16" s="18">
        <f t="shared" si="8"/>
        <v>4.8910039500114591E-2</v>
      </c>
      <c r="E16" s="18">
        <f t="shared" si="8"/>
        <v>3.8079106677958656E-2</v>
      </c>
      <c r="F16" s="18">
        <f t="shared" si="8"/>
        <v>3.218604651162791E-2</v>
      </c>
      <c r="G16" s="18">
        <f t="shared" si="8"/>
        <v>4.5995837592207184E-2</v>
      </c>
      <c r="H16" s="18">
        <f t="shared" si="8"/>
        <v>4.3630499375918175E-2</v>
      </c>
      <c r="I16" s="18">
        <f t="shared" si="8"/>
        <v>4.4905111577341214E-2</v>
      </c>
    </row>
    <row r="17" spans="1:11" x14ac:dyDescent="0.25">
      <c r="A17" s="6" t="s">
        <v>9</v>
      </c>
      <c r="B17" s="19">
        <f>L10/L2</f>
        <v>0.27821916568636323</v>
      </c>
      <c r="C17" s="19">
        <f t="shared" ref="C17:I17" si="9">M10/M2</f>
        <v>0.13182371732646181</v>
      </c>
      <c r="D17" s="19">
        <f t="shared" si="9"/>
        <v>0.13515664376475581</v>
      </c>
      <c r="E17" s="19">
        <f t="shared" si="9"/>
        <v>9.2465450688039602E-2</v>
      </c>
      <c r="F17" s="19">
        <f t="shared" si="9"/>
        <v>0.13884002122252939</v>
      </c>
      <c r="G17" s="19">
        <f t="shared" si="9"/>
        <v>0.17292201999760348</v>
      </c>
      <c r="H17" s="19">
        <f t="shared" si="9"/>
        <v>0.17245092457360695</v>
      </c>
      <c r="I17" s="19">
        <f t="shared" si="9"/>
        <v>0.13746572459068618</v>
      </c>
    </row>
    <row r="18" spans="1:11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71</v>
      </c>
    </row>
    <row r="19" spans="1:11" x14ac:dyDescent="0.25">
      <c r="A19" s="6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11" x14ac:dyDescent="0.25">
      <c r="A20" t="s">
        <v>72</v>
      </c>
    </row>
    <row r="21" spans="1:11" x14ac:dyDescent="0.25">
      <c r="A21" s="28" t="s">
        <v>73</v>
      </c>
    </row>
    <row r="22" spans="1:11" x14ac:dyDescent="0.25">
      <c r="A22" s="28"/>
    </row>
    <row r="23" spans="1:11" x14ac:dyDescent="0.25">
      <c r="A23" s="28"/>
    </row>
    <row r="24" spans="1:11" x14ac:dyDescent="0.25">
      <c r="A24" s="28"/>
    </row>
    <row r="25" spans="1:11" x14ac:dyDescent="0.25">
      <c r="A25" s="29"/>
    </row>
    <row r="26" spans="1:11" x14ac:dyDescent="0.25">
      <c r="A26" s="28"/>
    </row>
    <row r="27" spans="1:11" x14ac:dyDescent="0.25">
      <c r="A27" s="28"/>
    </row>
    <row r="28" spans="1:11" x14ac:dyDescent="0.25">
      <c r="A28" s="28"/>
    </row>
    <row r="29" spans="1:11" x14ac:dyDescent="0.25">
      <c r="A29" s="28"/>
    </row>
    <row r="30" spans="1:11" x14ac:dyDescent="0.25">
      <c r="A30" s="28"/>
    </row>
    <row r="31" spans="1:11" x14ac:dyDescent="0.25">
      <c r="A31" s="28"/>
    </row>
    <row r="32" spans="1:11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16" sqref="K16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35213</v>
      </c>
      <c r="M2">
        <v>33204</v>
      </c>
      <c r="N2">
        <v>30987</v>
      </c>
      <c r="O2">
        <v>27635</v>
      </c>
      <c r="P2">
        <v>36716</v>
      </c>
      <c r="Q2">
        <v>40323</v>
      </c>
      <c r="R2">
        <v>40001</v>
      </c>
      <c r="S2">
        <v>34409</v>
      </c>
    </row>
    <row r="3" spans="1:19" x14ac:dyDescent="0.25">
      <c r="A3" s="6" t="s">
        <v>10</v>
      </c>
      <c r="B3" s="19">
        <f>LN(L2)</f>
        <v>10.469170611586833</v>
      </c>
      <c r="C3" s="19">
        <f t="shared" ref="C3:I3" si="0">LN(M2)</f>
        <v>10.410425629574926</v>
      </c>
      <c r="D3" s="19">
        <f t="shared" si="0"/>
        <v>10.341323040674743</v>
      </c>
      <c r="E3" s="19">
        <f t="shared" si="0"/>
        <v>10.226838364267364</v>
      </c>
      <c r="F3" s="19">
        <f t="shared" si="0"/>
        <v>10.510967906338982</v>
      </c>
      <c r="G3" s="19">
        <f t="shared" si="0"/>
        <v>10.604677304739258</v>
      </c>
      <c r="H3" s="19">
        <f t="shared" si="0"/>
        <v>10.596659732783579</v>
      </c>
      <c r="I3" s="19">
        <f t="shared" si="0"/>
        <v>10.446073437049854</v>
      </c>
      <c r="K3" s="6" t="s">
        <v>30</v>
      </c>
      <c r="L3">
        <v>28480</v>
      </c>
      <c r="M3">
        <v>25831</v>
      </c>
      <c r="N3">
        <v>23139</v>
      </c>
      <c r="O3">
        <v>21650</v>
      </c>
      <c r="P3">
        <v>27628</v>
      </c>
      <c r="Q3">
        <v>32700</v>
      </c>
      <c r="R3">
        <v>33279</v>
      </c>
      <c r="S3">
        <v>28248</v>
      </c>
    </row>
    <row r="4" spans="1:19" x14ac:dyDescent="0.25">
      <c r="A4" s="6" t="s">
        <v>13</v>
      </c>
      <c r="B4">
        <v>35213</v>
      </c>
      <c r="C4">
        <v>33204</v>
      </c>
      <c r="D4">
        <v>30987</v>
      </c>
      <c r="E4">
        <v>27635</v>
      </c>
      <c r="F4">
        <v>36716</v>
      </c>
      <c r="G4">
        <v>40323</v>
      </c>
      <c r="H4">
        <v>40001</v>
      </c>
      <c r="I4">
        <v>34409</v>
      </c>
      <c r="K4" s="6" t="s">
        <v>31</v>
      </c>
      <c r="L4">
        <v>16089</v>
      </c>
      <c r="M4">
        <v>12932</v>
      </c>
      <c r="N4">
        <v>16131</v>
      </c>
      <c r="O4">
        <v>16257</v>
      </c>
      <c r="P4">
        <v>18846</v>
      </c>
      <c r="Q4">
        <v>21032</v>
      </c>
      <c r="R4">
        <v>22354</v>
      </c>
      <c r="S4">
        <v>23075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3196</v>
      </c>
      <c r="M5">
        <v>878</v>
      </c>
      <c r="N5">
        <v>1204</v>
      </c>
      <c r="O5">
        <v>825</v>
      </c>
      <c r="P5">
        <v>821</v>
      </c>
      <c r="Q5">
        <v>355</v>
      </c>
      <c r="R5">
        <v>1011</v>
      </c>
      <c r="S5">
        <v>611</v>
      </c>
    </row>
    <row r="6" spans="1:19" x14ac:dyDescent="0.25">
      <c r="A6" s="6" t="s">
        <v>11</v>
      </c>
      <c r="B6" s="19">
        <f>L3/B4</f>
        <v>0.80879220742339475</v>
      </c>
      <c r="C6" s="19">
        <f t="shared" ref="C6:I6" si="1">M3/C4</f>
        <v>0.77794843994699436</v>
      </c>
      <c r="D6" s="19">
        <f t="shared" si="1"/>
        <v>0.74673250072611097</v>
      </c>
      <c r="E6" s="19">
        <f t="shared" si="1"/>
        <v>0.78342681382305046</v>
      </c>
      <c r="F6" s="19">
        <f t="shared" si="1"/>
        <v>0.75247848349493407</v>
      </c>
      <c r="G6" s="19">
        <f t="shared" si="1"/>
        <v>0.81095156610371255</v>
      </c>
      <c r="H6" s="19">
        <f t="shared" si="1"/>
        <v>0.83195420114497143</v>
      </c>
      <c r="I6" s="19">
        <f t="shared" si="1"/>
        <v>0.82094800778865995</v>
      </c>
      <c r="K6" s="36" t="s">
        <v>38</v>
      </c>
      <c r="L6">
        <v>17159</v>
      </c>
      <c r="M6">
        <v>6513</v>
      </c>
      <c r="N6">
        <v>1731</v>
      </c>
      <c r="O6">
        <v>8077</v>
      </c>
      <c r="P6">
        <v>3312</v>
      </c>
      <c r="Q6">
        <v>10248</v>
      </c>
      <c r="R6">
        <v>7796</v>
      </c>
      <c r="S6">
        <v>6828</v>
      </c>
    </row>
    <row r="7" spans="1:19" ht="15.75" x14ac:dyDescent="0.25">
      <c r="A7" s="5" t="s">
        <v>24</v>
      </c>
      <c r="K7" s="6" t="s">
        <v>33</v>
      </c>
      <c r="L7">
        <v>215</v>
      </c>
      <c r="M7">
        <v>322</v>
      </c>
      <c r="N7">
        <v>377</v>
      </c>
      <c r="O7">
        <v>218</v>
      </c>
      <c r="P7">
        <v>286</v>
      </c>
      <c r="Q7">
        <v>358</v>
      </c>
      <c r="R7">
        <v>429</v>
      </c>
      <c r="S7">
        <v>405</v>
      </c>
    </row>
    <row r="8" spans="1:19" x14ac:dyDescent="0.25">
      <c r="A8" s="6" t="s">
        <v>8</v>
      </c>
      <c r="B8" s="19">
        <f>(L2+L14-L4)/L2</f>
        <v>1.8760256155397153</v>
      </c>
      <c r="C8" s="19">
        <f t="shared" ref="C8:I8" si="2">(M2+M14-M4)/M2</f>
        <v>1.2810053005661968</v>
      </c>
      <c r="D8" s="19">
        <f t="shared" si="2"/>
        <v>0.63682189305192494</v>
      </c>
      <c r="E8" s="19">
        <f t="shared" si="2"/>
        <v>1.3248923466618416</v>
      </c>
      <c r="F8" s="19">
        <f t="shared" si="2"/>
        <v>1.5068580455387295</v>
      </c>
      <c r="G8" s="19">
        <f t="shared" si="2"/>
        <v>1.1613223222478486</v>
      </c>
      <c r="H8" s="19">
        <f t="shared" si="2"/>
        <v>1.2775280617984548</v>
      </c>
      <c r="I8" s="19">
        <f t="shared" si="2"/>
        <v>1.1133511581272342</v>
      </c>
      <c r="K8" s="6" t="s">
        <v>37</v>
      </c>
      <c r="L8">
        <v>3022</v>
      </c>
      <c r="M8">
        <v>6423</v>
      </c>
      <c r="N8">
        <v>7538</v>
      </c>
      <c r="O8">
        <v>8264</v>
      </c>
      <c r="P8">
        <v>5437</v>
      </c>
      <c r="Q8">
        <v>7024</v>
      </c>
      <c r="R8">
        <v>7358</v>
      </c>
      <c r="S8">
        <v>9350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1843</v>
      </c>
      <c r="M9">
        <v>2511</v>
      </c>
      <c r="N9">
        <v>4621</v>
      </c>
      <c r="O9">
        <v>4912</v>
      </c>
      <c r="P9">
        <v>2911</v>
      </c>
      <c r="Q9">
        <v>3992</v>
      </c>
      <c r="R9">
        <v>4151</v>
      </c>
      <c r="S9">
        <v>4954</v>
      </c>
    </row>
    <row r="10" spans="1:19" x14ac:dyDescent="0.25">
      <c r="A10" s="6" t="s">
        <v>5</v>
      </c>
      <c r="B10">
        <v>17159</v>
      </c>
      <c r="C10">
        <v>6513</v>
      </c>
      <c r="D10">
        <v>1731</v>
      </c>
      <c r="E10">
        <v>8077</v>
      </c>
      <c r="F10">
        <v>3312</v>
      </c>
      <c r="G10">
        <v>10248</v>
      </c>
      <c r="H10">
        <v>7796</v>
      </c>
      <c r="I10">
        <v>6828</v>
      </c>
      <c r="K10" s="6" t="s">
        <v>35</v>
      </c>
      <c r="L10">
        <v>6268</v>
      </c>
      <c r="M10">
        <v>3787</v>
      </c>
      <c r="N10">
        <v>935</v>
      </c>
      <c r="O10">
        <v>2501</v>
      </c>
      <c r="P10">
        <v>3957</v>
      </c>
      <c r="Q10">
        <v>3389</v>
      </c>
      <c r="R10">
        <v>3341</v>
      </c>
      <c r="S10">
        <v>1294</v>
      </c>
    </row>
    <row r="11" spans="1:19" x14ac:dyDescent="0.25">
      <c r="A11" s="6" t="s">
        <v>7</v>
      </c>
      <c r="B11" s="19">
        <f>B10/L2</f>
        <v>0.48729162525203762</v>
      </c>
      <c r="C11" s="19">
        <f t="shared" ref="C11:I11" si="3">C10/M2</f>
        <v>0.19615106613661004</v>
      </c>
      <c r="D11" s="19">
        <f t="shared" si="3"/>
        <v>5.5862135734340207E-2</v>
      </c>
      <c r="E11" s="19">
        <f t="shared" si="3"/>
        <v>0.29227428984982812</v>
      </c>
      <c r="F11" s="19">
        <f t="shared" si="3"/>
        <v>9.0205904782656068E-2</v>
      </c>
      <c r="G11" s="19">
        <f t="shared" si="3"/>
        <v>0.25414775686332863</v>
      </c>
      <c r="H11" s="19">
        <f t="shared" si="3"/>
        <v>0.19489512762180947</v>
      </c>
      <c r="I11" s="19">
        <f t="shared" si="3"/>
        <v>0.19843645557848238</v>
      </c>
      <c r="K11" s="6" t="s">
        <v>59</v>
      </c>
      <c r="L11">
        <v>5804</v>
      </c>
      <c r="M11">
        <v>6784</v>
      </c>
      <c r="N11">
        <v>3897</v>
      </c>
      <c r="O11">
        <v>6621</v>
      </c>
      <c r="P11">
        <v>7663</v>
      </c>
      <c r="Q11">
        <v>6918</v>
      </c>
      <c r="R11">
        <v>7759</v>
      </c>
      <c r="S11">
        <v>9005</v>
      </c>
    </row>
    <row r="12" spans="1:19" ht="15.75" x14ac:dyDescent="0.25">
      <c r="A12" s="5" t="s">
        <v>0</v>
      </c>
      <c r="K12" s="6" t="s">
        <v>56</v>
      </c>
      <c r="L12">
        <v>289</v>
      </c>
      <c r="M12">
        <v>274</v>
      </c>
      <c r="N12">
        <v>274</v>
      </c>
      <c r="O12">
        <v>274</v>
      </c>
      <c r="P12">
        <v>274</v>
      </c>
      <c r="Q12">
        <v>274</v>
      </c>
      <c r="R12">
        <v>274</v>
      </c>
      <c r="S12">
        <v>274</v>
      </c>
    </row>
    <row r="13" spans="1:19" x14ac:dyDescent="0.25">
      <c r="A13" s="6" t="s">
        <v>17</v>
      </c>
      <c r="B13" s="39">
        <f>L7/B4</f>
        <v>6.105699599579701E-3</v>
      </c>
      <c r="C13" s="39">
        <f t="shared" ref="C13:I13" si="4">M7/C4</f>
        <v>9.6976267919527768E-3</v>
      </c>
      <c r="D13" s="39">
        <f t="shared" si="4"/>
        <v>1.216639235808565E-2</v>
      </c>
      <c r="E13" s="39">
        <f t="shared" si="4"/>
        <v>7.8885471322598152E-3</v>
      </c>
      <c r="F13" s="39">
        <f t="shared" si="4"/>
        <v>7.7895195555071359E-3</v>
      </c>
      <c r="G13" s="39">
        <f t="shared" si="4"/>
        <v>8.8783076656002782E-3</v>
      </c>
      <c r="H13" s="39">
        <f t="shared" si="4"/>
        <v>1.0724731881702957E-2</v>
      </c>
      <c r="I13" s="39">
        <f t="shared" si="4"/>
        <v>1.1770176407335291E-2</v>
      </c>
      <c r="K13" s="6" t="s">
        <v>57</v>
      </c>
      <c r="L13">
        <v>162.41</v>
      </c>
      <c r="M13">
        <v>81.25</v>
      </c>
      <c r="N13">
        <v>17.8</v>
      </c>
      <c r="O13">
        <v>92.1</v>
      </c>
      <c r="P13">
        <v>136.69999999999999</v>
      </c>
      <c r="Q13">
        <v>100.5</v>
      </c>
      <c r="R13">
        <v>122.1</v>
      </c>
      <c r="S13">
        <v>98.45</v>
      </c>
    </row>
    <row r="14" spans="1:19" x14ac:dyDescent="0.25">
      <c r="A14" s="6" t="s">
        <v>15</v>
      </c>
      <c r="B14" s="19">
        <f>L8/L4</f>
        <v>0.18783019454285538</v>
      </c>
      <c r="C14" s="19">
        <f t="shared" ref="C14:I14" si="5">M8/M4</f>
        <v>0.49667491493968452</v>
      </c>
      <c r="D14" s="19">
        <f t="shared" si="5"/>
        <v>0.46729898952327814</v>
      </c>
      <c r="E14" s="19">
        <f t="shared" si="5"/>
        <v>0.50833487113243525</v>
      </c>
      <c r="F14" s="19">
        <f t="shared" si="5"/>
        <v>0.28849623262230711</v>
      </c>
      <c r="G14" s="19">
        <f t="shared" si="5"/>
        <v>0.33396728794218333</v>
      </c>
      <c r="H14" s="19">
        <f t="shared" si="5"/>
        <v>0.32915809251140737</v>
      </c>
      <c r="I14" s="19">
        <f t="shared" si="5"/>
        <v>0.40520043336944744</v>
      </c>
      <c r="K14" s="6" t="s">
        <v>32</v>
      </c>
      <c r="L14" s="27">
        <f>L12*L13</f>
        <v>46936.49</v>
      </c>
      <c r="M14" s="27">
        <f t="shared" ref="M14:S14" si="6">M12*M13</f>
        <v>22262.5</v>
      </c>
      <c r="N14" s="27">
        <f t="shared" si="6"/>
        <v>4877.2</v>
      </c>
      <c r="O14" s="27">
        <f t="shared" si="6"/>
        <v>25235.399999999998</v>
      </c>
      <c r="P14" s="27">
        <f t="shared" si="6"/>
        <v>37455.799999999996</v>
      </c>
      <c r="Q14" s="27">
        <f t="shared" si="6"/>
        <v>27537</v>
      </c>
      <c r="R14" s="27">
        <f t="shared" si="6"/>
        <v>33455.4</v>
      </c>
      <c r="S14" s="27">
        <f t="shared" si="6"/>
        <v>26975.3</v>
      </c>
    </row>
    <row r="15" spans="1:19" x14ac:dyDescent="0.25">
      <c r="A15" s="6" t="s">
        <v>45</v>
      </c>
      <c r="B15" s="19">
        <f>L5/L11</f>
        <v>0.55065472088215028</v>
      </c>
      <c r="C15" s="19">
        <f t="shared" ref="C15:I15" si="7">M5/M11</f>
        <v>0.12942216981132076</v>
      </c>
      <c r="D15" s="19">
        <f t="shared" si="7"/>
        <v>0.30895560687708495</v>
      </c>
      <c r="E15" s="19">
        <f t="shared" si="7"/>
        <v>0.12460353420933394</v>
      </c>
      <c r="F15" s="19">
        <f t="shared" si="7"/>
        <v>0.10713819652877463</v>
      </c>
      <c r="G15" s="19">
        <f t="shared" si="7"/>
        <v>5.1315409077768138E-2</v>
      </c>
      <c r="H15" s="19">
        <f t="shared" si="7"/>
        <v>0.13030029642995231</v>
      </c>
      <c r="I15" s="19">
        <f t="shared" si="7"/>
        <v>6.7851193781232652E-2</v>
      </c>
      <c r="K15" s="37"/>
    </row>
    <row r="16" spans="1:19" x14ac:dyDescent="0.25">
      <c r="A16" s="6" t="s">
        <v>16</v>
      </c>
      <c r="B16" s="18">
        <f>L9/B4</f>
        <v>5.2338624939652967E-2</v>
      </c>
      <c r="C16" s="18">
        <f t="shared" ref="C16:I16" si="8">M9/C4</f>
        <v>7.5623418865196967E-2</v>
      </c>
      <c r="D16" s="18">
        <f t="shared" si="8"/>
        <v>0.1491270532804079</v>
      </c>
      <c r="E16" s="18">
        <f t="shared" si="8"/>
        <v>0.17774561244798262</v>
      </c>
      <c r="F16" s="18">
        <f t="shared" si="8"/>
        <v>7.9284235755528926E-2</v>
      </c>
      <c r="G16" s="18">
        <f t="shared" si="8"/>
        <v>9.9000570394067899E-2</v>
      </c>
      <c r="H16" s="18">
        <f t="shared" si="8"/>
        <v>0.10377240568985775</v>
      </c>
      <c r="I16" s="18">
        <f t="shared" si="8"/>
        <v>0.14397396030108403</v>
      </c>
    </row>
    <row r="17" spans="1:9" x14ac:dyDescent="0.25">
      <c r="A17" s="6" t="s">
        <v>9</v>
      </c>
      <c r="B17" s="18">
        <f>L10/L2</f>
        <v>0.17800244227983983</v>
      </c>
      <c r="C17" s="18">
        <f t="shared" ref="C17:I17" si="9">M10/M2</f>
        <v>0.11405252379231418</v>
      </c>
      <c r="D17" s="18">
        <f t="shared" si="9"/>
        <v>3.017394391196308E-2</v>
      </c>
      <c r="E17" s="18">
        <f t="shared" si="9"/>
        <v>9.0501176044870638E-2</v>
      </c>
      <c r="F17" s="18">
        <f t="shared" si="9"/>
        <v>0.10777317790608999</v>
      </c>
      <c r="G17" s="18">
        <f t="shared" si="9"/>
        <v>8.4046325918210457E-2</v>
      </c>
      <c r="H17" s="18">
        <f t="shared" si="9"/>
        <v>8.3522911927201821E-2</v>
      </c>
      <c r="I17" s="18">
        <f t="shared" si="9"/>
        <v>3.7606440175535473E-2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72</v>
      </c>
      <c r="B20">
        <v>6200</v>
      </c>
      <c r="C20">
        <v>-5025</v>
      </c>
      <c r="D20">
        <v>4149</v>
      </c>
      <c r="E20">
        <v>-1867</v>
      </c>
      <c r="F20">
        <v>-305</v>
      </c>
      <c r="G20">
        <v>523</v>
      </c>
      <c r="H20">
        <v>-147</v>
      </c>
      <c r="I20">
        <v>728</v>
      </c>
    </row>
    <row r="21" spans="1:9" x14ac:dyDescent="0.25">
      <c r="A21" s="28" t="s">
        <v>73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B8" sqref="B8:I8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66049</v>
      </c>
      <c r="M2">
        <v>66089</v>
      </c>
      <c r="N2">
        <v>73323</v>
      </c>
      <c r="O2">
        <v>72696</v>
      </c>
      <c r="P2">
        <v>73521</v>
      </c>
      <c r="Q2">
        <v>76384</v>
      </c>
      <c r="R2">
        <v>75194</v>
      </c>
      <c r="S2">
        <v>76001</v>
      </c>
    </row>
    <row r="3" spans="1:19" x14ac:dyDescent="0.25">
      <c r="A3" s="6" t="s">
        <v>10</v>
      </c>
      <c r="B3" s="19">
        <f>LN(L2)</f>
        <v>11.09815216979044</v>
      </c>
      <c r="C3" s="19">
        <f t="shared" ref="C3:I3" si="0">LN(M2)</f>
        <v>11.098757597467895</v>
      </c>
      <c r="D3" s="19">
        <f t="shared" si="0"/>
        <v>11.202629617646862</v>
      </c>
      <c r="E3" s="19">
        <f t="shared" si="0"/>
        <v>11.194041641375183</v>
      </c>
      <c r="F3" s="19">
        <f t="shared" si="0"/>
        <v>11.205326358678089</v>
      </c>
      <c r="G3" s="19">
        <f t="shared" si="0"/>
        <v>11.243528529138556</v>
      </c>
      <c r="H3" s="19">
        <f t="shared" si="0"/>
        <v>11.227826719520717</v>
      </c>
      <c r="I3" s="19">
        <f t="shared" si="0"/>
        <v>11.238501777076641</v>
      </c>
      <c r="K3" s="6" t="s">
        <v>30</v>
      </c>
      <c r="L3">
        <v>100333</v>
      </c>
      <c r="M3">
        <v>100756</v>
      </c>
      <c r="N3">
        <v>101102</v>
      </c>
      <c r="O3">
        <v>105733</v>
      </c>
      <c r="P3">
        <v>102973</v>
      </c>
      <c r="Q3">
        <v>97388</v>
      </c>
      <c r="R3">
        <v>106145</v>
      </c>
      <c r="S3">
        <v>105218</v>
      </c>
    </row>
    <row r="4" spans="1:19" x14ac:dyDescent="0.25">
      <c r="A4" s="6" t="s">
        <v>13</v>
      </c>
      <c r="B4">
        <v>103848</v>
      </c>
      <c r="C4">
        <v>104732</v>
      </c>
      <c r="D4">
        <v>104792</v>
      </c>
      <c r="E4">
        <v>109132</v>
      </c>
      <c r="F4">
        <v>106326</v>
      </c>
      <c r="G4">
        <v>101598</v>
      </c>
      <c r="H4">
        <v>109994</v>
      </c>
      <c r="I4">
        <v>109151</v>
      </c>
      <c r="K4" s="6" t="s">
        <v>31</v>
      </c>
      <c r="L4">
        <v>13194</v>
      </c>
      <c r="M4">
        <v>16040</v>
      </c>
      <c r="N4">
        <v>16385</v>
      </c>
      <c r="O4">
        <v>18841</v>
      </c>
      <c r="P4">
        <v>20613</v>
      </c>
      <c r="Q4">
        <v>17646</v>
      </c>
      <c r="R4">
        <v>15726</v>
      </c>
      <c r="S4">
        <v>14308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5475</v>
      </c>
      <c r="M5">
        <v>5546</v>
      </c>
      <c r="N5">
        <v>7305</v>
      </c>
      <c r="O5">
        <v>9537</v>
      </c>
      <c r="P5">
        <v>10389</v>
      </c>
      <c r="Q5">
        <v>6966</v>
      </c>
      <c r="R5">
        <v>6835</v>
      </c>
      <c r="S5">
        <v>6607</v>
      </c>
    </row>
    <row r="6" spans="1:19" x14ac:dyDescent="0.25">
      <c r="A6" s="6" t="s">
        <v>11</v>
      </c>
      <c r="B6" s="18">
        <f>L3/B4</f>
        <v>0.96615245358601032</v>
      </c>
      <c r="C6" s="18">
        <f t="shared" ref="C6:I6" si="1">M3/C4</f>
        <v>0.96203643585532594</v>
      </c>
      <c r="D6" s="18">
        <f t="shared" si="1"/>
        <v>0.96478738835025579</v>
      </c>
      <c r="E6" s="18">
        <f t="shared" si="1"/>
        <v>0.96885423157277428</v>
      </c>
      <c r="F6" s="18">
        <f t="shared" si="1"/>
        <v>0.96846490980569189</v>
      </c>
      <c r="G6" s="18">
        <f t="shared" si="1"/>
        <v>0.95856217642079566</v>
      </c>
      <c r="H6" s="18">
        <f t="shared" si="1"/>
        <v>0.96500718220993875</v>
      </c>
      <c r="I6" s="18">
        <f t="shared" si="1"/>
        <v>0.96396734798581785</v>
      </c>
      <c r="K6" s="36" t="s">
        <v>38</v>
      </c>
      <c r="L6">
        <v>25500</v>
      </c>
      <c r="M6">
        <v>32813</v>
      </c>
      <c r="N6">
        <v>34381</v>
      </c>
      <c r="O6">
        <v>33430</v>
      </c>
      <c r="P6">
        <v>35960</v>
      </c>
      <c r="Q6">
        <v>39230</v>
      </c>
      <c r="R6">
        <v>45280</v>
      </c>
      <c r="S6">
        <v>45790</v>
      </c>
    </row>
    <row r="7" spans="1:19" ht="15.75" x14ac:dyDescent="0.25">
      <c r="A7" s="5" t="s">
        <v>24</v>
      </c>
      <c r="K7" s="6" t="s">
        <v>33</v>
      </c>
      <c r="L7">
        <v>1393</v>
      </c>
      <c r="M7">
        <v>1497</v>
      </c>
      <c r="N7">
        <v>1548</v>
      </c>
      <c r="O7">
        <v>1621</v>
      </c>
      <c r="P7">
        <v>1993</v>
      </c>
      <c r="Q7">
        <v>2043</v>
      </c>
      <c r="R7">
        <v>2613</v>
      </c>
      <c r="S7">
        <v>2739</v>
      </c>
    </row>
    <row r="8" spans="1:19" x14ac:dyDescent="0.25">
      <c r="A8" s="6" t="s">
        <v>8</v>
      </c>
      <c r="B8" s="19">
        <f>(L2+L14-L4)/L2</f>
        <v>1.3992732668170602</v>
      </c>
      <c r="C8" s="19">
        <f t="shared" ref="C8:I8" si="2">(M2+M14-M4)/M2</f>
        <v>1.2186218584030626</v>
      </c>
      <c r="D8" s="19">
        <f t="shared" si="2"/>
        <v>1.0342583500402329</v>
      </c>
      <c r="E8" s="19">
        <f t="shared" si="2"/>
        <v>1.3951936832838121</v>
      </c>
      <c r="F8" s="19">
        <f t="shared" si="2"/>
        <v>1.4589926687613064</v>
      </c>
      <c r="G8" s="19">
        <f t="shared" si="2"/>
        <v>1.1778591066191872</v>
      </c>
      <c r="H8" s="19">
        <f t="shared" si="2"/>
        <v>1.4391301167646355</v>
      </c>
      <c r="I8" s="19">
        <f t="shared" si="2"/>
        <v>1.4462664964934671</v>
      </c>
      <c r="K8" s="6" t="s">
        <v>37</v>
      </c>
      <c r="L8">
        <v>7495</v>
      </c>
      <c r="M8">
        <v>11163</v>
      </c>
      <c r="N8">
        <v>13946</v>
      </c>
      <c r="O8">
        <v>14022</v>
      </c>
      <c r="P8">
        <v>12096</v>
      </c>
      <c r="Q8">
        <v>14206</v>
      </c>
      <c r="R8">
        <v>13088</v>
      </c>
      <c r="S8">
        <v>14905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</row>
    <row r="10" spans="1:19" x14ac:dyDescent="0.25">
      <c r="A10" s="6" t="s">
        <v>5</v>
      </c>
      <c r="B10">
        <v>25500</v>
      </c>
      <c r="C10">
        <v>32813</v>
      </c>
      <c r="D10">
        <v>34381</v>
      </c>
      <c r="E10">
        <v>33430</v>
      </c>
      <c r="F10">
        <v>35960</v>
      </c>
      <c r="G10">
        <v>39230</v>
      </c>
      <c r="H10">
        <v>45280</v>
      </c>
      <c r="I10">
        <v>45790</v>
      </c>
      <c r="K10" s="6" t="s">
        <v>35</v>
      </c>
      <c r="L10">
        <v>2648</v>
      </c>
      <c r="M10">
        <v>2925</v>
      </c>
      <c r="N10">
        <v>366</v>
      </c>
      <c r="O10">
        <v>2607</v>
      </c>
      <c r="P10">
        <v>3997</v>
      </c>
      <c r="Q10">
        <v>2064</v>
      </c>
      <c r="R10">
        <v>2365</v>
      </c>
      <c r="S10">
        <v>672</v>
      </c>
    </row>
    <row r="11" spans="1:19" x14ac:dyDescent="0.25">
      <c r="A11" s="6" t="s">
        <v>7</v>
      </c>
      <c r="B11" s="19">
        <f>B10/L2</f>
        <v>0.38607700343684237</v>
      </c>
      <c r="C11" s="19">
        <f t="shared" ref="C11:I11" si="3">C10/M2</f>
        <v>0.49649714778556192</v>
      </c>
      <c r="D11" s="19">
        <f t="shared" si="3"/>
        <v>0.46889789015724942</v>
      </c>
      <c r="E11" s="19">
        <f t="shared" si="3"/>
        <v>0.45986023990315839</v>
      </c>
      <c r="F11" s="19">
        <f t="shared" si="3"/>
        <v>0.4891119544075842</v>
      </c>
      <c r="G11" s="19">
        <f t="shared" si="3"/>
        <v>0.51358923334729789</v>
      </c>
      <c r="H11" s="19">
        <f t="shared" si="3"/>
        <v>0.60217570550841826</v>
      </c>
      <c r="I11" s="19">
        <f t="shared" si="3"/>
        <v>0.60249207247273062</v>
      </c>
      <c r="K11" s="6" t="s">
        <v>59</v>
      </c>
      <c r="L11">
        <v>36304</v>
      </c>
      <c r="M11">
        <v>34148</v>
      </c>
      <c r="N11">
        <v>35096</v>
      </c>
      <c r="O11">
        <v>35178</v>
      </c>
      <c r="P11">
        <v>35897</v>
      </c>
      <c r="Q11">
        <v>37563</v>
      </c>
      <c r="R11">
        <v>39030</v>
      </c>
      <c r="S11">
        <v>40785</v>
      </c>
    </row>
    <row r="12" spans="1:19" ht="15.75" x14ac:dyDescent="0.25">
      <c r="A12" s="5" t="s">
        <v>0</v>
      </c>
      <c r="K12" s="6" t="s">
        <v>56</v>
      </c>
      <c r="L12">
        <v>288.8</v>
      </c>
      <c r="M12">
        <v>281</v>
      </c>
      <c r="N12">
        <v>283.10000000000002</v>
      </c>
      <c r="O12">
        <v>284</v>
      </c>
      <c r="P12">
        <v>284.60000000000002</v>
      </c>
      <c r="Q12">
        <v>284.7</v>
      </c>
      <c r="R12">
        <v>285.89999999999998</v>
      </c>
      <c r="S12">
        <v>286.2</v>
      </c>
    </row>
    <row r="13" spans="1:19" x14ac:dyDescent="0.25">
      <c r="A13" s="6" t="s">
        <v>17</v>
      </c>
      <c r="B13" s="18">
        <f>L7/B4</f>
        <v>1.3413835605885525E-2</v>
      </c>
      <c r="C13" s="18">
        <f t="shared" ref="C13:I13" si="4">M7/C4</f>
        <v>1.4293625634953977E-2</v>
      </c>
      <c r="D13" s="18">
        <f t="shared" si="4"/>
        <v>1.4772120009161005E-2</v>
      </c>
      <c r="E13" s="18">
        <f t="shared" si="4"/>
        <v>1.4853571821280651E-2</v>
      </c>
      <c r="F13" s="18">
        <f t="shared" si="4"/>
        <v>1.8744239414630475E-2</v>
      </c>
      <c r="G13" s="18">
        <f t="shared" si="4"/>
        <v>2.010866355636922E-2</v>
      </c>
      <c r="H13" s="18">
        <f t="shared" si="4"/>
        <v>2.3755841227703328E-2</v>
      </c>
      <c r="I13" s="18">
        <f t="shared" si="4"/>
        <v>2.5093677565940761E-2</v>
      </c>
      <c r="K13" s="6" t="s">
        <v>57</v>
      </c>
      <c r="L13">
        <v>137</v>
      </c>
      <c r="M13">
        <v>108.5</v>
      </c>
      <c r="N13">
        <v>66.75</v>
      </c>
      <c r="O13">
        <v>167.5</v>
      </c>
      <c r="P13">
        <v>191</v>
      </c>
      <c r="Q13">
        <v>109.7</v>
      </c>
      <c r="R13">
        <v>170.5</v>
      </c>
      <c r="S13">
        <v>168.5</v>
      </c>
    </row>
    <row r="14" spans="1:19" x14ac:dyDescent="0.25">
      <c r="A14" s="6" t="s">
        <v>15</v>
      </c>
      <c r="B14" s="19">
        <f>L8/L4</f>
        <v>0.56806123995755642</v>
      </c>
      <c r="C14" s="19">
        <f t="shared" ref="C14:H14" si="5">M8/M4</f>
        <v>0.69594763092269329</v>
      </c>
      <c r="D14" s="19">
        <f t="shared" si="5"/>
        <v>0.85114433933475742</v>
      </c>
      <c r="E14" s="19">
        <f t="shared" si="5"/>
        <v>0.74422801337508626</v>
      </c>
      <c r="F14" s="19">
        <f t="shared" si="5"/>
        <v>0.5868141464124581</v>
      </c>
      <c r="G14" s="19">
        <f t="shared" si="5"/>
        <v>0.80505496996486459</v>
      </c>
      <c r="H14" s="19">
        <f t="shared" si="5"/>
        <v>0.83225232099707491</v>
      </c>
      <c r="I14" s="19">
        <f>S8/S4</f>
        <v>1.0417249091417389</v>
      </c>
      <c r="K14" s="6" t="s">
        <v>32</v>
      </c>
      <c r="L14" s="27">
        <f>L12*L13</f>
        <v>39565.599999999999</v>
      </c>
      <c r="M14" s="27">
        <f t="shared" ref="M14:S14" si="6">M12*M13</f>
        <v>30488.5</v>
      </c>
      <c r="N14" s="27">
        <f t="shared" si="6"/>
        <v>18896.925000000003</v>
      </c>
      <c r="O14" s="27">
        <f t="shared" si="6"/>
        <v>47570</v>
      </c>
      <c r="P14" s="27">
        <f t="shared" si="6"/>
        <v>54358.600000000006</v>
      </c>
      <c r="Q14" s="27">
        <f t="shared" si="6"/>
        <v>31231.59</v>
      </c>
      <c r="R14" s="27">
        <f t="shared" si="6"/>
        <v>48745.95</v>
      </c>
      <c r="S14" s="27">
        <f t="shared" si="6"/>
        <v>48224.7</v>
      </c>
    </row>
    <row r="15" spans="1:19" x14ac:dyDescent="0.25">
      <c r="A15" s="6" t="s">
        <v>45</v>
      </c>
      <c r="B15" s="18">
        <f>L5/L11</f>
        <v>0.15080982811811372</v>
      </c>
      <c r="C15" s="18">
        <f t="shared" ref="C15:I15" si="7">M5/M11</f>
        <v>0.16241068290968724</v>
      </c>
      <c r="D15" s="18">
        <f t="shared" si="7"/>
        <v>0.20814337816275358</v>
      </c>
      <c r="E15" s="18">
        <f t="shared" si="7"/>
        <v>0.27110694183864914</v>
      </c>
      <c r="F15" s="18">
        <f t="shared" si="7"/>
        <v>0.28941137142379586</v>
      </c>
      <c r="G15" s="18">
        <f t="shared" si="7"/>
        <v>0.1854484466096957</v>
      </c>
      <c r="H15" s="18">
        <f t="shared" si="7"/>
        <v>0.17512170125544452</v>
      </c>
      <c r="I15" s="18">
        <f t="shared" si="7"/>
        <v>0.16199583180090721</v>
      </c>
      <c r="K15" s="37"/>
    </row>
    <row r="16" spans="1:19" x14ac:dyDescent="0.25">
      <c r="A16" s="6" t="s">
        <v>16</v>
      </c>
      <c r="B16">
        <v>0.03</v>
      </c>
      <c r="C16">
        <v>3.3000000000000002E-2</v>
      </c>
      <c r="D16">
        <v>0.03</v>
      </c>
      <c r="E16">
        <v>0.02</v>
      </c>
      <c r="F16">
        <v>0.03</v>
      </c>
      <c r="G16">
        <v>3.1E-2</v>
      </c>
      <c r="H16">
        <v>3.6999999999999998E-2</v>
      </c>
      <c r="I16">
        <v>3.2000000000000001E-2</v>
      </c>
    </row>
    <row r="17" spans="1:9" x14ac:dyDescent="0.25">
      <c r="A17" s="6" t="s">
        <v>9</v>
      </c>
      <c r="B17" s="19">
        <f>L10/L2</f>
        <v>4.0091447258853274E-2</v>
      </c>
      <c r="C17" s="19">
        <f t="shared" ref="C17:I17" si="8">M10/M2</f>
        <v>4.4258499901647777E-2</v>
      </c>
      <c r="D17" s="19">
        <f t="shared" si="8"/>
        <v>4.9916124544822221E-3</v>
      </c>
      <c r="E17" s="19">
        <f t="shared" si="8"/>
        <v>3.5861670518322876E-2</v>
      </c>
      <c r="F17" s="19">
        <f t="shared" si="8"/>
        <v>5.4365419403979813E-2</v>
      </c>
      <c r="G17" s="19">
        <f t="shared" si="8"/>
        <v>2.7021365731043152E-2</v>
      </c>
      <c r="H17" s="19">
        <f t="shared" si="8"/>
        <v>3.1451977551400376E-2</v>
      </c>
      <c r="I17" s="19">
        <f t="shared" si="8"/>
        <v>8.841988921198406E-3</v>
      </c>
    </row>
    <row r="18" spans="1:9" x14ac:dyDescent="0.25">
      <c r="A18" s="6" t="s">
        <v>49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-134</v>
      </c>
      <c r="C20">
        <v>-69</v>
      </c>
      <c r="D20">
        <v>21</v>
      </c>
      <c r="E20">
        <v>-112</v>
      </c>
      <c r="F20">
        <v>-117</v>
      </c>
      <c r="G20">
        <v>111</v>
      </c>
      <c r="H20">
        <v>34</v>
      </c>
      <c r="I20">
        <v>41</v>
      </c>
    </row>
    <row r="21" spans="1:9" x14ac:dyDescent="0.25">
      <c r="A21" s="28" t="s">
        <v>73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 x14ac:dyDescent="0.25">
      <c r="A22" s="6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B8" sqref="B8:I8"/>
    </sheetView>
  </sheetViews>
  <sheetFormatPr defaultRowHeight="15" x14ac:dyDescent="0.25"/>
  <cols>
    <col min="1" max="1" width="19.5703125" customWidth="1"/>
    <col min="2" max="2" width="9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214940</v>
      </c>
      <c r="M2">
        <v>245117</v>
      </c>
      <c r="N2">
        <v>285684</v>
      </c>
      <c r="O2">
        <v>269809</v>
      </c>
      <c r="P2">
        <v>281815</v>
      </c>
      <c r="Q2">
        <v>280349</v>
      </c>
      <c r="R2">
        <v>274996</v>
      </c>
      <c r="S2">
        <v>269190</v>
      </c>
    </row>
    <row r="3" spans="1:19" x14ac:dyDescent="0.25">
      <c r="A3" s="6" t="s">
        <v>10</v>
      </c>
      <c r="B3" s="40">
        <f>LN(L2)</f>
        <v>12.278114198395144</v>
      </c>
      <c r="C3" s="40">
        <f t="shared" ref="C3:I3" si="0">LN(M2)</f>
        <v>12.409490926556073</v>
      </c>
      <c r="D3" s="40">
        <f t="shared" si="0"/>
        <v>12.562641583850509</v>
      </c>
      <c r="E3" s="40">
        <f t="shared" si="0"/>
        <v>12.505469580242421</v>
      </c>
      <c r="F3" s="40">
        <f t="shared" si="0"/>
        <v>12.549006106270687</v>
      </c>
      <c r="G3" s="40">
        <f t="shared" si="0"/>
        <v>12.543790534575598</v>
      </c>
      <c r="H3" s="40">
        <f t="shared" si="0"/>
        <v>12.524511831088377</v>
      </c>
      <c r="I3" s="40">
        <f t="shared" si="0"/>
        <v>12.503172728960212</v>
      </c>
      <c r="K3" s="6" t="s">
        <v>30</v>
      </c>
      <c r="L3">
        <v>172012</v>
      </c>
      <c r="M3">
        <v>179385</v>
      </c>
      <c r="N3">
        <v>200054</v>
      </c>
      <c r="O3">
        <v>202381</v>
      </c>
      <c r="P3">
        <v>199111</v>
      </c>
      <c r="Q3">
        <v>223039</v>
      </c>
      <c r="R3">
        <v>222746</v>
      </c>
      <c r="S3">
        <v>222949</v>
      </c>
    </row>
    <row r="4" spans="1:19" x14ac:dyDescent="0.25">
      <c r="A4" s="6" t="s">
        <v>13</v>
      </c>
      <c r="B4">
        <v>179821</v>
      </c>
      <c r="C4">
        <v>187780</v>
      </c>
      <c r="D4">
        <v>208930</v>
      </c>
      <c r="E4">
        <v>206477</v>
      </c>
      <c r="F4">
        <v>203348</v>
      </c>
      <c r="G4">
        <v>226921</v>
      </c>
      <c r="H4">
        <v>227779</v>
      </c>
      <c r="I4">
        <v>227326</v>
      </c>
      <c r="K4" s="6" t="s">
        <v>31</v>
      </c>
      <c r="L4">
        <v>120113</v>
      </c>
      <c r="M4">
        <v>134112</v>
      </c>
      <c r="N4">
        <v>140823</v>
      </c>
      <c r="O4">
        <v>139870</v>
      </c>
      <c r="P4">
        <v>145106</v>
      </c>
      <c r="Q4">
        <v>143105</v>
      </c>
      <c r="R4">
        <v>136883</v>
      </c>
      <c r="S4">
        <v>140214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62280</v>
      </c>
      <c r="M5">
        <v>57716</v>
      </c>
      <c r="N5">
        <v>75005</v>
      </c>
      <c r="O5">
        <v>76724</v>
      </c>
      <c r="P5">
        <v>87150</v>
      </c>
      <c r="Q5">
        <v>80542</v>
      </c>
      <c r="R5">
        <v>76708</v>
      </c>
      <c r="S5">
        <v>77089</v>
      </c>
    </row>
    <row r="6" spans="1:19" x14ac:dyDescent="0.25">
      <c r="A6" s="6" t="s">
        <v>11</v>
      </c>
      <c r="B6" s="18">
        <f>L3/B4</f>
        <v>0.95657348140650977</v>
      </c>
      <c r="C6" s="18">
        <f t="shared" ref="C6:I6" si="1">M3/C4</f>
        <v>0.95529342848013632</v>
      </c>
      <c r="D6" s="18">
        <f t="shared" si="1"/>
        <v>0.95751687167950983</v>
      </c>
      <c r="E6" s="18">
        <f t="shared" si="1"/>
        <v>0.98016243940003001</v>
      </c>
      <c r="F6" s="18">
        <f t="shared" si="1"/>
        <v>0.9791637980211263</v>
      </c>
      <c r="G6" s="18">
        <f t="shared" si="1"/>
        <v>0.98289272478087086</v>
      </c>
      <c r="H6" s="18">
        <f t="shared" si="1"/>
        <v>0.97790402100281415</v>
      </c>
      <c r="I6" s="18">
        <f t="shared" si="1"/>
        <v>0.98074571320482484</v>
      </c>
      <c r="K6" s="36" t="s">
        <v>38</v>
      </c>
      <c r="L6">
        <v>10449</v>
      </c>
      <c r="M6">
        <v>7933</v>
      </c>
      <c r="N6">
        <v>34800</v>
      </c>
      <c r="O6">
        <v>13328</v>
      </c>
      <c r="P6">
        <v>12224</v>
      </c>
      <c r="Q6">
        <v>7368</v>
      </c>
      <c r="R6">
        <v>12728</v>
      </c>
      <c r="S6">
        <v>6497</v>
      </c>
    </row>
    <row r="7" spans="1:19" ht="15.75" x14ac:dyDescent="0.25">
      <c r="A7" s="5" t="s">
        <v>24</v>
      </c>
      <c r="K7" s="6" t="s">
        <v>33</v>
      </c>
      <c r="L7">
        <v>27533</v>
      </c>
      <c r="M7">
        <v>28842</v>
      </c>
      <c r="N7">
        <v>33584</v>
      </c>
      <c r="O7">
        <v>33055</v>
      </c>
      <c r="P7">
        <v>31558</v>
      </c>
      <c r="Q7">
        <v>32638</v>
      </c>
      <c r="R7">
        <v>32833</v>
      </c>
      <c r="S7">
        <v>32236</v>
      </c>
    </row>
    <row r="8" spans="1:19" x14ac:dyDescent="0.25">
      <c r="A8" s="6" t="s">
        <v>8</v>
      </c>
      <c r="B8" s="19">
        <f>(L2+L14-L4)/L2</f>
        <v>2.482704475667628</v>
      </c>
      <c r="C8" s="19">
        <f t="shared" ref="C8:I8" si="2">(M2+M14-M4)/M2</f>
        <v>1.4369268553384711</v>
      </c>
      <c r="D8" s="19">
        <f t="shared" si="2"/>
        <v>1.1621980929978579</v>
      </c>
      <c r="E8" s="19">
        <f t="shared" si="2"/>
        <v>1.2607437112920621</v>
      </c>
      <c r="F8" s="19">
        <f t="shared" si="2"/>
        <v>1.3716606639107218</v>
      </c>
      <c r="G8" s="19">
        <f t="shared" si="2"/>
        <v>1.2946234871535123</v>
      </c>
      <c r="H8" s="19">
        <f t="shared" si="2"/>
        <v>1.2635623790891504</v>
      </c>
      <c r="I8" s="19">
        <f t="shared" si="2"/>
        <v>1.4198781529774509</v>
      </c>
      <c r="K8" s="6" t="s">
        <v>37</v>
      </c>
      <c r="L8">
        <v>21552</v>
      </c>
      <c r="M8">
        <v>33404</v>
      </c>
      <c r="N8">
        <v>40354</v>
      </c>
      <c r="O8">
        <v>40653</v>
      </c>
      <c r="P8">
        <v>35855</v>
      </c>
      <c r="Q8">
        <v>41037</v>
      </c>
      <c r="R8">
        <v>38170</v>
      </c>
      <c r="S8">
        <v>39280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3176</v>
      </c>
      <c r="M9">
        <v>3180</v>
      </c>
      <c r="N9">
        <v>3185</v>
      </c>
      <c r="O9">
        <v>3194</v>
      </c>
      <c r="P9">
        <v>3200</v>
      </c>
      <c r="Q9">
        <v>3211</v>
      </c>
      <c r="R9">
        <v>3220</v>
      </c>
      <c r="S9">
        <v>4503</v>
      </c>
    </row>
    <row r="10" spans="1:19" x14ac:dyDescent="0.25">
      <c r="A10" s="6" t="s">
        <v>5</v>
      </c>
      <c r="B10">
        <v>10449</v>
      </c>
      <c r="C10">
        <v>7933</v>
      </c>
      <c r="D10">
        <v>34800</v>
      </c>
      <c r="E10">
        <v>13328</v>
      </c>
      <c r="F10">
        <v>12224</v>
      </c>
      <c r="G10">
        <v>7368</v>
      </c>
      <c r="H10">
        <v>12728</v>
      </c>
      <c r="I10">
        <v>6497</v>
      </c>
      <c r="K10" s="6" t="s">
        <v>35</v>
      </c>
      <c r="L10">
        <v>26436</v>
      </c>
      <c r="M10">
        <v>22135</v>
      </c>
      <c r="N10">
        <v>11667</v>
      </c>
      <c r="O10">
        <v>4127</v>
      </c>
      <c r="P10">
        <v>11235</v>
      </c>
      <c r="Q10">
        <v>12569</v>
      </c>
      <c r="R10">
        <v>5938</v>
      </c>
      <c r="S10">
        <v>12174</v>
      </c>
    </row>
    <row r="11" spans="1:19" x14ac:dyDescent="0.25">
      <c r="A11" s="6" t="s">
        <v>7</v>
      </c>
      <c r="B11" s="18">
        <f>B10/L2</f>
        <v>4.8613566576719086E-2</v>
      </c>
      <c r="C11" s="18">
        <f t="shared" ref="C11:I11" si="3">C10/M2</f>
        <v>3.2364136310415029E-2</v>
      </c>
      <c r="D11" s="18">
        <f t="shared" si="3"/>
        <v>0.12181291216868988</v>
      </c>
      <c r="E11" s="18">
        <f t="shared" si="3"/>
        <v>4.9397907408574214E-2</v>
      </c>
      <c r="F11" s="18">
        <f t="shared" si="3"/>
        <v>4.3375973599701932E-2</v>
      </c>
      <c r="G11" s="18">
        <f t="shared" si="3"/>
        <v>2.6281527667300401E-2</v>
      </c>
      <c r="H11" s="18">
        <f t="shared" si="3"/>
        <v>4.6284309589957669E-2</v>
      </c>
      <c r="I11" s="18">
        <f t="shared" si="3"/>
        <v>2.4135369070173482E-2</v>
      </c>
      <c r="K11" s="6" t="s">
        <v>59</v>
      </c>
      <c r="L11">
        <v>23724</v>
      </c>
      <c r="M11">
        <v>32389</v>
      </c>
      <c r="N11">
        <v>39483</v>
      </c>
      <c r="O11">
        <v>43295</v>
      </c>
      <c r="P11">
        <v>38267</v>
      </c>
      <c r="Q11">
        <v>38050</v>
      </c>
      <c r="R11">
        <v>39109</v>
      </c>
      <c r="S11">
        <v>36223</v>
      </c>
    </row>
    <row r="12" spans="1:19" ht="15.75" x14ac:dyDescent="0.25">
      <c r="A12" s="5" t="s">
        <v>0</v>
      </c>
      <c r="K12" s="6" t="s">
        <v>56</v>
      </c>
      <c r="L12">
        <v>3174</v>
      </c>
      <c r="M12">
        <v>3178</v>
      </c>
      <c r="N12">
        <v>3183</v>
      </c>
      <c r="O12">
        <v>3190</v>
      </c>
      <c r="P12">
        <v>3197</v>
      </c>
      <c r="Q12">
        <v>3206</v>
      </c>
      <c r="R12">
        <v>3216</v>
      </c>
      <c r="S12">
        <v>3226</v>
      </c>
    </row>
    <row r="13" spans="1:19" x14ac:dyDescent="0.25">
      <c r="A13" s="6" t="s">
        <v>17</v>
      </c>
      <c r="B13" s="19">
        <f>L7/B4</f>
        <v>0.15311337385511148</v>
      </c>
      <c r="C13" s="19">
        <f t="shared" ref="C13:I13" si="4">M7/C4</f>
        <v>0.15359463201618917</v>
      </c>
      <c r="D13" s="19">
        <f t="shared" si="4"/>
        <v>0.16074283252764085</v>
      </c>
      <c r="E13" s="19">
        <f t="shared" si="4"/>
        <v>0.16009047012500183</v>
      </c>
      <c r="F13" s="19">
        <f t="shared" si="4"/>
        <v>0.15519208450537994</v>
      </c>
      <c r="G13" s="19">
        <f t="shared" si="4"/>
        <v>0.14382979098452767</v>
      </c>
      <c r="H13" s="19">
        <f t="shared" si="4"/>
        <v>0.14414410459260951</v>
      </c>
      <c r="I13" s="19">
        <f t="shared" si="4"/>
        <v>0.14180516087029199</v>
      </c>
      <c r="K13" s="6" t="s">
        <v>57</v>
      </c>
      <c r="L13">
        <v>138.25</v>
      </c>
      <c r="M13">
        <v>75.900000000000006</v>
      </c>
      <c r="N13">
        <v>58.8</v>
      </c>
      <c r="O13">
        <v>65.900000000000006</v>
      </c>
      <c r="P13">
        <v>78.150000000000006</v>
      </c>
      <c r="Q13">
        <v>70.400000000000006</v>
      </c>
      <c r="R13">
        <v>65.099999999999994</v>
      </c>
      <c r="S13">
        <v>78.5</v>
      </c>
    </row>
    <row r="14" spans="1:19" x14ac:dyDescent="0.25">
      <c r="A14" s="6" t="s">
        <v>15</v>
      </c>
      <c r="B14" s="18">
        <f>L8/L4</f>
        <v>0.17943103577464553</v>
      </c>
      <c r="C14" s="18">
        <f t="shared" ref="C14:I14" si="5">M8/M4</f>
        <v>0.24907539966595085</v>
      </c>
      <c r="D14" s="18">
        <f t="shared" si="5"/>
        <v>0.28655830368618762</v>
      </c>
      <c r="E14" s="18">
        <f t="shared" si="5"/>
        <v>0.29064845928362049</v>
      </c>
      <c r="F14" s="18">
        <f t="shared" si="5"/>
        <v>0.2470952269375491</v>
      </c>
      <c r="G14" s="18">
        <f t="shared" si="5"/>
        <v>0.28676146885154258</v>
      </c>
      <c r="H14" s="18">
        <f t="shared" si="5"/>
        <v>0.27885128175156887</v>
      </c>
      <c r="I14" s="18">
        <f t="shared" si="5"/>
        <v>0.28014320966522599</v>
      </c>
      <c r="K14" s="6" t="s">
        <v>32</v>
      </c>
      <c r="L14" s="27">
        <f>L12*L13</f>
        <v>438805.5</v>
      </c>
      <c r="M14" s="27">
        <f t="shared" ref="M14:S14" si="6">M12*M13</f>
        <v>241210.2</v>
      </c>
      <c r="N14" s="27">
        <f t="shared" si="6"/>
        <v>187160.4</v>
      </c>
      <c r="O14" s="27">
        <f t="shared" si="6"/>
        <v>210221.00000000003</v>
      </c>
      <c r="P14" s="27">
        <f t="shared" si="6"/>
        <v>249845.55000000002</v>
      </c>
      <c r="Q14" s="27">
        <f t="shared" si="6"/>
        <v>225702.40000000002</v>
      </c>
      <c r="R14" s="27">
        <f t="shared" si="6"/>
        <v>209361.59999999998</v>
      </c>
      <c r="S14" s="27">
        <f t="shared" si="6"/>
        <v>253241</v>
      </c>
    </row>
    <row r="15" spans="1:19" x14ac:dyDescent="0.25">
      <c r="A15" s="6" t="s">
        <v>45</v>
      </c>
      <c r="B15" s="19">
        <f>L5/L11</f>
        <v>2.6251896813353568</v>
      </c>
      <c r="C15" s="19">
        <f t="shared" ref="C15:I15" si="7">M5/M11</f>
        <v>1.7819630121337491</v>
      </c>
      <c r="D15" s="19">
        <f t="shared" si="7"/>
        <v>1.8996783425778183</v>
      </c>
      <c r="E15" s="19">
        <f t="shared" si="7"/>
        <v>1.7721214920891557</v>
      </c>
      <c r="F15" s="19">
        <f t="shared" si="7"/>
        <v>2.2774191862440221</v>
      </c>
      <c r="G15" s="19">
        <f t="shared" si="7"/>
        <v>2.1167411300919841</v>
      </c>
      <c r="H15" s="19">
        <f t="shared" si="7"/>
        <v>1.9613899613899615</v>
      </c>
      <c r="I15" s="19">
        <f t="shared" si="7"/>
        <v>2.1281782293018248</v>
      </c>
    </row>
    <row r="16" spans="1:19" x14ac:dyDescent="0.25">
      <c r="A16" s="6" t="s">
        <v>16</v>
      </c>
      <c r="B16" s="18">
        <f>L9/B4</f>
        <v>1.7662008330506448E-2</v>
      </c>
      <c r="C16" s="18">
        <f t="shared" ref="C16:I16" si="8">M9/C4</f>
        <v>1.6934710831824476E-2</v>
      </c>
      <c r="D16" s="18">
        <f t="shared" si="8"/>
        <v>1.5244340209639592E-2</v>
      </c>
      <c r="E16" s="18">
        <f t="shared" si="8"/>
        <v>1.5469035292066429E-2</v>
      </c>
      <c r="F16" s="18">
        <f t="shared" si="8"/>
        <v>1.5736569821193227E-2</v>
      </c>
      <c r="G16" s="18">
        <f t="shared" si="8"/>
        <v>1.4150299002736635E-2</v>
      </c>
      <c r="H16" s="18">
        <f t="shared" si="8"/>
        <v>1.4136509511412378E-2</v>
      </c>
      <c r="I16" s="18">
        <f t="shared" si="8"/>
        <v>1.9808556874268673E-2</v>
      </c>
    </row>
    <row r="17" spans="1:9" x14ac:dyDescent="0.25">
      <c r="A17" s="6" t="s">
        <v>9</v>
      </c>
      <c r="B17" s="18">
        <f>L10/L2</f>
        <v>0.12299246301293384</v>
      </c>
      <c r="C17" s="18">
        <f t="shared" ref="C17:I17" si="9">M10/M2</f>
        <v>9.0303814096941465E-2</v>
      </c>
      <c r="D17" s="18">
        <f t="shared" si="9"/>
        <v>4.0838828915865079E-2</v>
      </c>
      <c r="E17" s="18">
        <f t="shared" si="9"/>
        <v>1.5296005692916099E-2</v>
      </c>
      <c r="F17" s="18">
        <f t="shared" si="9"/>
        <v>3.986657913879673E-2</v>
      </c>
      <c r="G17" s="18">
        <f t="shared" si="9"/>
        <v>4.4833404078487883E-2</v>
      </c>
      <c r="H17" s="18">
        <f t="shared" si="9"/>
        <v>2.1593041353328776E-2</v>
      </c>
      <c r="I17" s="18">
        <f t="shared" si="9"/>
        <v>4.5224562576618742E-2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2209</v>
      </c>
      <c r="C20">
        <v>-806</v>
      </c>
      <c r="D20">
        <v>-3888</v>
      </c>
      <c r="E20">
        <v>3493</v>
      </c>
      <c r="F20">
        <v>592</v>
      </c>
      <c r="G20">
        <v>-1032</v>
      </c>
      <c r="H20">
        <v>-1008</v>
      </c>
      <c r="I20">
        <v>-821</v>
      </c>
    </row>
    <row r="21" spans="1:9" x14ac:dyDescent="0.25">
      <c r="A21" s="28" t="s">
        <v>73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18" sqref="K18"/>
    </sheetView>
  </sheetViews>
  <sheetFormatPr defaultRowHeight="15" x14ac:dyDescent="0.25"/>
  <cols>
    <col min="1" max="1" width="19.5703125" customWidth="1"/>
    <col min="10" max="10" width="9.1406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15877</v>
      </c>
      <c r="M2">
        <v>22970</v>
      </c>
      <c r="N2">
        <v>33032</v>
      </c>
      <c r="O2">
        <v>37498</v>
      </c>
      <c r="P2">
        <v>34585</v>
      </c>
      <c r="Q2">
        <v>41469</v>
      </c>
      <c r="R2">
        <v>42921</v>
      </c>
      <c r="S2">
        <v>44303</v>
      </c>
    </row>
    <row r="3" spans="1:19" x14ac:dyDescent="0.25">
      <c r="A3" s="6" t="s">
        <v>10</v>
      </c>
      <c r="B3" s="19">
        <f>LN(L2)</f>
        <v>9.6726268000775111</v>
      </c>
      <c r="C3" s="19">
        <f t="shared" ref="C3:I3" si="0">LN(M2)</f>
        <v>10.041944295683145</v>
      </c>
      <c r="D3" s="19">
        <f t="shared" si="0"/>
        <v>10.405232067565926</v>
      </c>
      <c r="E3" s="19">
        <f t="shared" si="0"/>
        <v>10.532042877202896</v>
      </c>
      <c r="F3" s="19">
        <f t="shared" si="0"/>
        <v>10.451175341034686</v>
      </c>
      <c r="G3" s="19">
        <f t="shared" si="0"/>
        <v>10.632701439132466</v>
      </c>
      <c r="H3" s="19">
        <f t="shared" si="0"/>
        <v>10.667116495634444</v>
      </c>
      <c r="I3" s="19">
        <f t="shared" si="0"/>
        <v>10.698807673830618</v>
      </c>
      <c r="K3" s="6" t="s">
        <v>30</v>
      </c>
      <c r="L3">
        <v>12534</v>
      </c>
      <c r="M3">
        <v>15896</v>
      </c>
      <c r="N3">
        <v>18852</v>
      </c>
      <c r="O3">
        <v>22412</v>
      </c>
      <c r="P3">
        <v>21817</v>
      </c>
      <c r="Q3">
        <v>21412</v>
      </c>
      <c r="R3">
        <v>23819</v>
      </c>
      <c r="S3">
        <v>24823</v>
      </c>
    </row>
    <row r="4" spans="1:19" x14ac:dyDescent="0.25">
      <c r="A4" s="6" t="s">
        <v>13</v>
      </c>
      <c r="B4">
        <v>13001</v>
      </c>
      <c r="C4">
        <v>16445</v>
      </c>
      <c r="D4">
        <v>19272</v>
      </c>
      <c r="E4">
        <v>22816</v>
      </c>
      <c r="F4">
        <v>22172</v>
      </c>
      <c r="G4">
        <v>21854</v>
      </c>
      <c r="H4">
        <v>24248</v>
      </c>
      <c r="I4">
        <v>25287</v>
      </c>
      <c r="K4" s="6" t="s">
        <v>31</v>
      </c>
      <c r="L4">
        <v>6005</v>
      </c>
      <c r="M4">
        <v>6805</v>
      </c>
      <c r="N4">
        <v>10890</v>
      </c>
      <c r="O4">
        <v>12726</v>
      </c>
      <c r="P4" s="27">
        <v>13248</v>
      </c>
      <c r="Q4" s="27">
        <v>14636</v>
      </c>
      <c r="R4" s="27">
        <v>15200</v>
      </c>
      <c r="S4" s="27">
        <v>16560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673</v>
      </c>
      <c r="M5">
        <v>894</v>
      </c>
      <c r="N5">
        <v>1506</v>
      </c>
      <c r="O5">
        <v>1389</v>
      </c>
      <c r="P5" s="27">
        <v>1093</v>
      </c>
      <c r="Q5" s="27">
        <v>1207</v>
      </c>
      <c r="R5" s="27">
        <v>1254</v>
      </c>
      <c r="S5" s="27">
        <v>1148</v>
      </c>
    </row>
    <row r="6" spans="1:19" x14ac:dyDescent="0.25">
      <c r="A6" s="6" t="s">
        <v>11</v>
      </c>
      <c r="B6" s="18">
        <f>L3/B4</f>
        <v>0.96407968617798634</v>
      </c>
      <c r="C6" s="18">
        <f t="shared" ref="C6:I6" si="1">M3/C4</f>
        <v>0.96661599270294918</v>
      </c>
      <c r="D6" s="18">
        <f t="shared" si="1"/>
        <v>0.97820672478206727</v>
      </c>
      <c r="E6" s="18">
        <f t="shared" si="1"/>
        <v>0.98229312762973353</v>
      </c>
      <c r="F6" s="18">
        <f t="shared" si="1"/>
        <v>0.98398881472127009</v>
      </c>
      <c r="G6" s="18">
        <f t="shared" si="1"/>
        <v>0.97977486958909121</v>
      </c>
      <c r="H6" s="18">
        <f t="shared" si="1"/>
        <v>0.98230781920158361</v>
      </c>
      <c r="I6" s="18">
        <f t="shared" si="1"/>
        <v>0.98165065053189382</v>
      </c>
      <c r="K6" s="36" t="s">
        <v>38</v>
      </c>
      <c r="L6">
        <v>5664</v>
      </c>
      <c r="M6">
        <v>7718</v>
      </c>
      <c r="N6">
        <v>12193</v>
      </c>
      <c r="O6">
        <v>12102</v>
      </c>
      <c r="P6" s="27">
        <v>10619</v>
      </c>
      <c r="Q6" s="27">
        <v>11268</v>
      </c>
      <c r="R6" s="27">
        <v>12144</v>
      </c>
      <c r="S6" s="27">
        <v>11460</v>
      </c>
    </row>
    <row r="7" spans="1:19" ht="15.75" x14ac:dyDescent="0.25">
      <c r="A7" s="5" t="s">
        <v>24</v>
      </c>
      <c r="K7" s="6" t="s">
        <v>33</v>
      </c>
      <c r="L7">
        <v>282</v>
      </c>
      <c r="M7">
        <v>335</v>
      </c>
      <c r="N7">
        <v>497</v>
      </c>
      <c r="O7">
        <v>539</v>
      </c>
      <c r="P7" s="27">
        <v>441</v>
      </c>
      <c r="Q7" s="27">
        <v>540</v>
      </c>
      <c r="R7" s="27">
        <v>598</v>
      </c>
      <c r="S7" s="27">
        <v>619</v>
      </c>
    </row>
    <row r="8" spans="1:19" x14ac:dyDescent="0.25">
      <c r="A8" s="6" t="s">
        <v>8</v>
      </c>
      <c r="B8" s="19">
        <f>(L2+L14-L4)/L2</f>
        <v>2.5737639352522517</v>
      </c>
      <c r="C8" s="19">
        <f t="shared" ref="C8:I8" si="2">(M2+M14-M4)/M2</f>
        <v>2.2287614279494994</v>
      </c>
      <c r="D8" s="19">
        <f t="shared" si="2"/>
        <v>1.2418155122305643</v>
      </c>
      <c r="E8" s="19">
        <f t="shared" si="2"/>
        <v>1.426850498693264</v>
      </c>
      <c r="F8" s="19">
        <f t="shared" si="2"/>
        <v>1.5877828538383694</v>
      </c>
      <c r="G8" s="19">
        <f t="shared" si="2"/>
        <v>1.6492444958884951</v>
      </c>
      <c r="H8" s="19">
        <f t="shared" si="2"/>
        <v>1.8673143682579623</v>
      </c>
      <c r="I8" s="19">
        <f t="shared" si="2"/>
        <v>1.8095614292485835</v>
      </c>
      <c r="K8" s="6" t="s">
        <v>37</v>
      </c>
      <c r="L8">
        <v>4609</v>
      </c>
      <c r="M8">
        <v>9455</v>
      </c>
      <c r="N8">
        <v>13244</v>
      </c>
      <c r="O8">
        <v>16052</v>
      </c>
      <c r="P8" s="27">
        <v>12656</v>
      </c>
      <c r="Q8" s="27">
        <v>16689</v>
      </c>
      <c r="R8" s="27">
        <v>17525</v>
      </c>
      <c r="S8" s="27">
        <v>17169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165</v>
      </c>
      <c r="M9">
        <v>468</v>
      </c>
      <c r="N9">
        <v>642</v>
      </c>
      <c r="O9">
        <v>907</v>
      </c>
      <c r="P9" s="27">
        <v>588</v>
      </c>
      <c r="Q9" s="27">
        <v>688</v>
      </c>
      <c r="R9" s="27">
        <v>959</v>
      </c>
      <c r="S9" s="27">
        <v>1004</v>
      </c>
    </row>
    <row r="10" spans="1:19" x14ac:dyDescent="0.25">
      <c r="A10" s="6" t="s">
        <v>5</v>
      </c>
      <c r="B10">
        <v>5664</v>
      </c>
      <c r="C10">
        <v>7718</v>
      </c>
      <c r="D10">
        <v>12193</v>
      </c>
      <c r="E10">
        <v>12102</v>
      </c>
      <c r="F10" s="27">
        <v>10619</v>
      </c>
      <c r="G10" s="27">
        <v>11268</v>
      </c>
      <c r="H10" s="27">
        <v>12144</v>
      </c>
      <c r="I10" s="27">
        <v>11460</v>
      </c>
      <c r="K10" s="6" t="s">
        <v>35</v>
      </c>
      <c r="L10">
        <v>1259</v>
      </c>
      <c r="M10">
        <v>1233</v>
      </c>
      <c r="N10">
        <v>1523</v>
      </c>
      <c r="O10">
        <v>1914</v>
      </c>
      <c r="P10" s="27">
        <v>2280</v>
      </c>
      <c r="Q10" s="27">
        <v>2537</v>
      </c>
      <c r="R10" s="27">
        <v>2531</v>
      </c>
      <c r="S10" s="27">
        <v>2295</v>
      </c>
    </row>
    <row r="11" spans="1:19" x14ac:dyDescent="0.25">
      <c r="A11" s="6" t="s">
        <v>7</v>
      </c>
      <c r="B11" s="19">
        <f>B10/L2</f>
        <v>0.35674245764313156</v>
      </c>
      <c r="C11" s="19">
        <f t="shared" ref="C11:I11" si="3">C10/M2</f>
        <v>0.33600348280365694</v>
      </c>
      <c r="D11" s="19">
        <f t="shared" si="3"/>
        <v>0.3691269072414628</v>
      </c>
      <c r="E11" s="19">
        <f t="shared" si="3"/>
        <v>0.32273721265134142</v>
      </c>
      <c r="F11" s="19">
        <f t="shared" si="3"/>
        <v>0.30704062454821457</v>
      </c>
      <c r="G11" s="19">
        <f t="shared" si="3"/>
        <v>0.27172104463575203</v>
      </c>
      <c r="H11" s="19">
        <f t="shared" si="3"/>
        <v>0.28293842175159012</v>
      </c>
      <c r="I11" s="19">
        <f t="shared" si="3"/>
        <v>0.25867322754666727</v>
      </c>
      <c r="K11" s="6" t="s">
        <v>59</v>
      </c>
      <c r="L11">
        <v>3304</v>
      </c>
      <c r="M11">
        <v>4439</v>
      </c>
      <c r="N11">
        <v>5946</v>
      </c>
      <c r="O11">
        <v>5442</v>
      </c>
      <c r="P11" s="27">
        <v>6473</v>
      </c>
      <c r="Q11" s="27">
        <v>7528</v>
      </c>
      <c r="R11" s="27">
        <v>10003</v>
      </c>
      <c r="S11" s="27">
        <v>10140</v>
      </c>
    </row>
    <row r="12" spans="1:19" ht="15.75" x14ac:dyDescent="0.25">
      <c r="A12" s="5" t="s">
        <v>0</v>
      </c>
      <c r="K12" s="6" t="s">
        <v>56</v>
      </c>
      <c r="L12">
        <v>201.9</v>
      </c>
      <c r="M12">
        <v>201.9</v>
      </c>
      <c r="N12">
        <v>201.9</v>
      </c>
      <c r="O12">
        <v>210.8</v>
      </c>
      <c r="P12" s="46">
        <v>238.3</v>
      </c>
      <c r="Q12" s="46">
        <v>238.3</v>
      </c>
      <c r="R12" s="46">
        <v>238.3</v>
      </c>
      <c r="S12" s="46">
        <v>238.3</v>
      </c>
    </row>
    <row r="13" spans="1:19" x14ac:dyDescent="0.25">
      <c r="A13" s="6" t="s">
        <v>17</v>
      </c>
      <c r="B13" s="18">
        <f>L7/B4</f>
        <v>2.1690639181601416E-2</v>
      </c>
      <c r="C13" s="18">
        <f t="shared" ref="C13:I13" si="4">M7/C4</f>
        <v>2.0370933414411676E-2</v>
      </c>
      <c r="D13" s="18">
        <f t="shared" si="4"/>
        <v>2.578870900788709E-2</v>
      </c>
      <c r="E13" s="18">
        <f t="shared" si="4"/>
        <v>2.3623772791023841E-2</v>
      </c>
      <c r="F13" s="18">
        <f t="shared" si="4"/>
        <v>1.9889951289915209E-2</v>
      </c>
      <c r="G13" s="18">
        <f t="shared" si="4"/>
        <v>2.4709435343644184E-2</v>
      </c>
      <c r="H13" s="18">
        <f t="shared" si="4"/>
        <v>2.4661827779610689E-2</v>
      </c>
      <c r="I13" s="18">
        <f t="shared" si="4"/>
        <v>2.4478981294736427E-2</v>
      </c>
      <c r="K13" s="6" t="s">
        <v>57</v>
      </c>
      <c r="L13">
        <v>153.5</v>
      </c>
      <c r="M13">
        <v>173.5</v>
      </c>
      <c r="N13">
        <v>93.5</v>
      </c>
      <c r="O13">
        <v>136.30000000000001</v>
      </c>
      <c r="P13" s="40">
        <v>140.9</v>
      </c>
      <c r="Q13" s="40">
        <v>174.4</v>
      </c>
      <c r="R13" s="40">
        <v>220</v>
      </c>
      <c r="S13" s="40">
        <v>220</v>
      </c>
    </row>
    <row r="14" spans="1:19" x14ac:dyDescent="0.25">
      <c r="A14" s="6" t="s">
        <v>15</v>
      </c>
      <c r="B14" s="19">
        <f>L8/L4</f>
        <v>0.76752706078268107</v>
      </c>
      <c r="C14" s="19">
        <f t="shared" ref="C14:I14" si="5">M8/M4</f>
        <v>1.3894195444526083</v>
      </c>
      <c r="D14" s="19">
        <f t="shared" si="5"/>
        <v>1.2161616161616162</v>
      </c>
      <c r="E14" s="19">
        <f t="shared" si="5"/>
        <v>1.2613547068992614</v>
      </c>
      <c r="F14" s="19">
        <f t="shared" si="5"/>
        <v>0.95531400966183577</v>
      </c>
      <c r="G14" s="19">
        <f t="shared" si="5"/>
        <v>1.1402705657283412</v>
      </c>
      <c r="H14" s="19">
        <f t="shared" si="5"/>
        <v>1.1529605263157894</v>
      </c>
      <c r="I14" s="19">
        <f t="shared" si="5"/>
        <v>1.0367753623188405</v>
      </c>
      <c r="K14" s="6" t="s">
        <v>32</v>
      </c>
      <c r="L14" s="27">
        <f>L12*L13</f>
        <v>30991.65</v>
      </c>
      <c r="M14" s="27">
        <f t="shared" ref="M14:O14" si="6">M12*M13</f>
        <v>35029.65</v>
      </c>
      <c r="N14" s="27">
        <f t="shared" si="6"/>
        <v>18877.650000000001</v>
      </c>
      <c r="O14" s="27">
        <f t="shared" si="6"/>
        <v>28732.040000000005</v>
      </c>
      <c r="P14" s="27">
        <f t="shared" ref="P14" si="7">P12*P13</f>
        <v>33576.47</v>
      </c>
      <c r="Q14" s="27">
        <f t="shared" ref="Q14" si="8">Q12*Q13</f>
        <v>41559.520000000004</v>
      </c>
      <c r="R14" s="27">
        <f t="shared" ref="R14" si="9">R12*R13</f>
        <v>52426</v>
      </c>
      <c r="S14" s="27">
        <f t="shared" ref="S14" si="10">S12*S13</f>
        <v>52426</v>
      </c>
    </row>
    <row r="15" spans="1:19" x14ac:dyDescent="0.25">
      <c r="A15" s="6" t="s">
        <v>45</v>
      </c>
      <c r="B15" s="19">
        <f>L5/L11</f>
        <v>0.20369249394673122</v>
      </c>
      <c r="C15" s="19">
        <f t="shared" ref="C15:I15" si="11">M5/M11</f>
        <v>0.20139671097093939</v>
      </c>
      <c r="D15" s="19">
        <f t="shared" si="11"/>
        <v>0.25327951564076689</v>
      </c>
      <c r="E15" s="19">
        <f t="shared" si="11"/>
        <v>0.25523704520396912</v>
      </c>
      <c r="F15" s="19">
        <f t="shared" si="11"/>
        <v>0.16885524486327824</v>
      </c>
      <c r="G15" s="19">
        <f t="shared" si="11"/>
        <v>0.16033475026567481</v>
      </c>
      <c r="H15" s="19">
        <f t="shared" si="11"/>
        <v>0.12536239128261523</v>
      </c>
      <c r="I15" s="19">
        <f t="shared" si="11"/>
        <v>0.11321499013806706</v>
      </c>
    </row>
    <row r="16" spans="1:19" x14ac:dyDescent="0.25">
      <c r="A16" s="6" t="s">
        <v>16</v>
      </c>
      <c r="B16" s="18">
        <f>L9/B4</f>
        <v>1.2691331436043382E-2</v>
      </c>
      <c r="C16" s="18">
        <f t="shared" ref="C16:I16" si="12">M9/C4</f>
        <v>2.8458498023715414E-2</v>
      </c>
      <c r="D16" s="18">
        <f t="shared" si="12"/>
        <v>3.331257783312578E-2</v>
      </c>
      <c r="E16" s="18">
        <f t="shared" si="12"/>
        <v>3.9752805049088361E-2</v>
      </c>
      <c r="F16" s="18">
        <f t="shared" si="12"/>
        <v>2.6519935053220277E-2</v>
      </c>
      <c r="G16" s="18">
        <f t="shared" si="12"/>
        <v>3.1481650956346661E-2</v>
      </c>
      <c r="H16" s="18">
        <f t="shared" si="12"/>
        <v>3.9549653579676672E-2</v>
      </c>
      <c r="I16" s="18">
        <f t="shared" si="12"/>
        <v>3.9704195831850357E-2</v>
      </c>
    </row>
    <row r="17" spans="1:9" x14ac:dyDescent="0.25">
      <c r="A17" s="6" t="s">
        <v>9</v>
      </c>
      <c r="B17" s="18">
        <f>L10/L2</f>
        <v>7.9297096428796371E-2</v>
      </c>
      <c r="C17" s="18">
        <f t="shared" ref="C17:I17" si="13">M10/M2</f>
        <v>5.367871136264693E-2</v>
      </c>
      <c r="D17" s="18">
        <f t="shared" si="13"/>
        <v>4.6106805521918141E-2</v>
      </c>
      <c r="E17" s="18">
        <f t="shared" si="13"/>
        <v>5.1042722278521524E-2</v>
      </c>
      <c r="F17" s="18">
        <f t="shared" si="13"/>
        <v>6.5924533757409282E-2</v>
      </c>
      <c r="G17" s="18">
        <f t="shared" si="13"/>
        <v>6.1178229520846901E-2</v>
      </c>
      <c r="H17" s="18">
        <f t="shared" si="13"/>
        <v>5.8968803149973208E-2</v>
      </c>
      <c r="I17" s="18">
        <f t="shared" si="13"/>
        <v>5.1802361013926823E-2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-58</v>
      </c>
      <c r="C20">
        <v>-79</v>
      </c>
      <c r="D20">
        <v>-806</v>
      </c>
      <c r="E20">
        <v>1211</v>
      </c>
      <c r="F20">
        <v>176</v>
      </c>
      <c r="G20">
        <v>-722</v>
      </c>
      <c r="H20">
        <v>-36</v>
      </c>
      <c r="I20">
        <v>290</v>
      </c>
    </row>
    <row r="21" spans="1:9" x14ac:dyDescent="0.25">
      <c r="A21" s="28" t="s">
        <v>73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E22" sqref="E22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35555</v>
      </c>
      <c r="M2">
        <v>41734</v>
      </c>
      <c r="N2">
        <v>51243</v>
      </c>
      <c r="O2">
        <v>54363</v>
      </c>
      <c r="P2">
        <v>59182</v>
      </c>
      <c r="Q2">
        <v>60188</v>
      </c>
      <c r="R2">
        <v>60173</v>
      </c>
      <c r="S2">
        <v>65676</v>
      </c>
    </row>
    <row r="3" spans="1:19" x14ac:dyDescent="0.25">
      <c r="A3" s="6" t="s">
        <v>10</v>
      </c>
      <c r="B3" s="19">
        <f>LN(L2)</f>
        <v>10.478836072317618</v>
      </c>
      <c r="C3" s="19">
        <f t="shared" ref="C3:I3" si="0">LN(M2)</f>
        <v>10.639071423293331</v>
      </c>
      <c r="D3" s="19">
        <f t="shared" si="0"/>
        <v>10.844334302306171</v>
      </c>
      <c r="E3" s="19">
        <f t="shared" si="0"/>
        <v>10.903439054380268</v>
      </c>
      <c r="F3" s="19">
        <f t="shared" si="0"/>
        <v>10.988372720584238</v>
      </c>
      <c r="G3" s="19">
        <f t="shared" si="0"/>
        <v>11.005228275878769</v>
      </c>
      <c r="H3" s="19">
        <f t="shared" si="0"/>
        <v>11.004979025705079</v>
      </c>
      <c r="I3" s="19">
        <f t="shared" si="0"/>
        <v>11.092488840931919</v>
      </c>
      <c r="K3" s="6" t="s">
        <v>30</v>
      </c>
      <c r="L3">
        <v>63041</v>
      </c>
      <c r="M3">
        <v>72558</v>
      </c>
      <c r="N3">
        <v>82559</v>
      </c>
      <c r="O3">
        <v>95070</v>
      </c>
      <c r="P3">
        <v>101741</v>
      </c>
      <c r="Q3">
        <v>103295</v>
      </c>
      <c r="R3">
        <v>114174</v>
      </c>
      <c r="S3">
        <v>121910</v>
      </c>
    </row>
    <row r="4" spans="1:19" x14ac:dyDescent="0.25">
      <c r="A4" s="6" t="s">
        <v>13</v>
      </c>
      <c r="B4">
        <v>68400</v>
      </c>
      <c r="C4">
        <v>78346</v>
      </c>
      <c r="D4">
        <v>88532</v>
      </c>
      <c r="E4">
        <v>101393</v>
      </c>
      <c r="F4">
        <v>108483</v>
      </c>
      <c r="G4">
        <v>109999</v>
      </c>
      <c r="H4">
        <v>120799</v>
      </c>
      <c r="I4">
        <v>128562</v>
      </c>
      <c r="K4" s="6" t="s">
        <v>31</v>
      </c>
      <c r="L4">
        <v>27779</v>
      </c>
      <c r="M4">
        <v>32093</v>
      </c>
      <c r="N4">
        <v>36950</v>
      </c>
      <c r="O4">
        <v>40613</v>
      </c>
      <c r="P4">
        <v>44172</v>
      </c>
      <c r="Q4">
        <v>44104</v>
      </c>
      <c r="R4">
        <v>43835</v>
      </c>
      <c r="S4">
        <v>45248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9877</v>
      </c>
      <c r="M5">
        <v>16064</v>
      </c>
      <c r="N5">
        <v>22726</v>
      </c>
      <c r="O5">
        <v>19024</v>
      </c>
      <c r="P5">
        <v>16691</v>
      </c>
      <c r="Q5">
        <v>14319</v>
      </c>
      <c r="R5">
        <v>14148</v>
      </c>
      <c r="S5">
        <v>13918</v>
      </c>
    </row>
    <row r="6" spans="1:19" x14ac:dyDescent="0.25">
      <c r="A6" s="6" t="s">
        <v>11</v>
      </c>
      <c r="B6" s="19">
        <f>L3/B4</f>
        <v>0.92165204678362578</v>
      </c>
      <c r="C6" s="19">
        <f t="shared" ref="C6:I6" si="1">M3/C4</f>
        <v>0.92612258443315554</v>
      </c>
      <c r="D6" s="19">
        <f t="shared" si="1"/>
        <v>0.93253286947092573</v>
      </c>
      <c r="E6" s="19">
        <f t="shared" si="1"/>
        <v>0.93763869300642055</v>
      </c>
      <c r="F6" s="19">
        <f t="shared" si="1"/>
        <v>0.93785201367956272</v>
      </c>
      <c r="G6" s="19">
        <f t="shared" si="1"/>
        <v>0.93905399139992185</v>
      </c>
      <c r="H6" s="19">
        <f t="shared" si="1"/>
        <v>0.94515683076846657</v>
      </c>
      <c r="I6" s="19">
        <f t="shared" si="1"/>
        <v>0.94825842784026382</v>
      </c>
      <c r="K6" s="36" t="s">
        <v>38</v>
      </c>
      <c r="L6">
        <v>3590</v>
      </c>
      <c r="M6">
        <v>4479</v>
      </c>
      <c r="N6">
        <v>24610</v>
      </c>
      <c r="O6">
        <v>24636</v>
      </c>
      <c r="P6">
        <v>21864</v>
      </c>
      <c r="Q6">
        <v>24103</v>
      </c>
      <c r="R6">
        <v>25104</v>
      </c>
      <c r="S6">
        <v>25953</v>
      </c>
    </row>
    <row r="7" spans="1:19" ht="15.75" x14ac:dyDescent="0.25">
      <c r="A7" s="5" t="s">
        <v>24</v>
      </c>
      <c r="K7" s="6" t="s">
        <v>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6" t="s">
        <v>8</v>
      </c>
      <c r="B8" s="19">
        <f>(L2+L14-L4)/L2</f>
        <v>7.6430459850935168</v>
      </c>
      <c r="C8" s="19">
        <f t="shared" ref="C8:I8" si="2">(M2+M14-M4)/M2</f>
        <v>8.1423659366463799</v>
      </c>
      <c r="D8" s="19">
        <f t="shared" si="2"/>
        <v>5.0911929434264191</v>
      </c>
      <c r="E8" s="19">
        <f t="shared" si="2"/>
        <v>6.5292361532660079</v>
      </c>
      <c r="F8" s="19">
        <f t="shared" si="2"/>
        <v>6.8816312392281427</v>
      </c>
      <c r="G8" s="19">
        <f t="shared" si="2"/>
        <v>6.1519804612215054</v>
      </c>
      <c r="H8" s="19">
        <f t="shared" si="2"/>
        <v>6.2099960115001736</v>
      </c>
      <c r="I8" s="19">
        <f t="shared" si="2"/>
        <v>7.3169163773676846</v>
      </c>
      <c r="K8" s="6" t="s">
        <v>37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1964</v>
      </c>
      <c r="M9">
        <v>3522</v>
      </c>
      <c r="N9">
        <v>185</v>
      </c>
      <c r="O9">
        <v>102</v>
      </c>
      <c r="P9">
        <v>100</v>
      </c>
      <c r="Q9">
        <v>119</v>
      </c>
      <c r="R9">
        <v>6071</v>
      </c>
      <c r="S9">
        <v>8010</v>
      </c>
    </row>
    <row r="10" spans="1:19" x14ac:dyDescent="0.25">
      <c r="A10" s="6" t="s">
        <v>5</v>
      </c>
      <c r="B10">
        <v>3590</v>
      </c>
      <c r="C10">
        <v>4479</v>
      </c>
      <c r="D10">
        <v>24610</v>
      </c>
      <c r="E10">
        <v>24636</v>
      </c>
      <c r="F10">
        <v>21864</v>
      </c>
      <c r="G10">
        <v>24103</v>
      </c>
      <c r="H10">
        <v>25104</v>
      </c>
      <c r="I10">
        <v>25953</v>
      </c>
      <c r="K10" s="6" t="s">
        <v>35</v>
      </c>
      <c r="L10">
        <v>10797</v>
      </c>
      <c r="M10">
        <v>13588</v>
      </c>
      <c r="N10">
        <v>15294</v>
      </c>
      <c r="O10">
        <v>16384</v>
      </c>
      <c r="P10">
        <v>18681</v>
      </c>
      <c r="Q10">
        <v>15821</v>
      </c>
      <c r="R10">
        <v>16867</v>
      </c>
      <c r="S10">
        <v>17152</v>
      </c>
    </row>
    <row r="11" spans="1:19" x14ac:dyDescent="0.25">
      <c r="A11" s="6" t="s">
        <v>7</v>
      </c>
      <c r="B11" s="19">
        <f>L6/L2</f>
        <v>0.10097032766136971</v>
      </c>
      <c r="C11" s="19">
        <f t="shared" ref="C11:I11" si="3">M6/M2</f>
        <v>0.10732256673216083</v>
      </c>
      <c r="D11" s="19">
        <f t="shared" si="3"/>
        <v>0.48026071853716606</v>
      </c>
      <c r="E11" s="19">
        <f t="shared" si="3"/>
        <v>0.4531758732961757</v>
      </c>
      <c r="F11" s="19">
        <f t="shared" si="3"/>
        <v>0.36943665303639622</v>
      </c>
      <c r="G11" s="19">
        <f t="shared" si="3"/>
        <v>0.40046188609025057</v>
      </c>
      <c r="H11" s="19">
        <f t="shared" si="3"/>
        <v>0.41719708174762765</v>
      </c>
      <c r="I11" s="19">
        <f t="shared" si="3"/>
        <v>0.39516718435958342</v>
      </c>
      <c r="K11" s="6" t="s">
        <v>59</v>
      </c>
      <c r="L11">
        <v>6996</v>
      </c>
      <c r="M11">
        <v>8834</v>
      </c>
      <c r="N11">
        <v>11879</v>
      </c>
      <c r="O11">
        <v>11090</v>
      </c>
      <c r="P11">
        <v>13847</v>
      </c>
      <c r="Q11">
        <v>14757</v>
      </c>
      <c r="R11">
        <v>14010</v>
      </c>
      <c r="S11">
        <v>17397</v>
      </c>
    </row>
    <row r="12" spans="1:19" ht="15.75" x14ac:dyDescent="0.25">
      <c r="A12" s="5" t="s">
        <v>0</v>
      </c>
      <c r="K12" s="6" t="s">
        <v>56</v>
      </c>
      <c r="L12">
        <v>827.5</v>
      </c>
      <c r="M12">
        <v>827.5</v>
      </c>
      <c r="N12">
        <v>827.5</v>
      </c>
      <c r="O12">
        <v>1655.1</v>
      </c>
      <c r="P12">
        <v>1655.1</v>
      </c>
      <c r="Q12">
        <v>1655.1</v>
      </c>
      <c r="R12">
        <v>1655.1</v>
      </c>
      <c r="S12">
        <v>1655.1</v>
      </c>
    </row>
    <row r="13" spans="1:19" x14ac:dyDescent="0.25">
      <c r="A13" s="6" t="s">
        <v>17</v>
      </c>
      <c r="B13">
        <f>L7/B4</f>
        <v>0</v>
      </c>
      <c r="C13">
        <f t="shared" ref="C13:I13" si="4">M7/C4</f>
        <v>0</v>
      </c>
      <c r="D13">
        <f t="shared" si="4"/>
        <v>0</v>
      </c>
      <c r="E13">
        <f t="shared" si="4"/>
        <v>0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0</v>
      </c>
      <c r="K13" s="6" t="s">
        <v>57</v>
      </c>
      <c r="L13">
        <v>319</v>
      </c>
      <c r="M13">
        <v>399</v>
      </c>
      <c r="N13">
        <v>298</v>
      </c>
      <c r="O13">
        <v>206.15</v>
      </c>
      <c r="P13">
        <v>237</v>
      </c>
      <c r="Q13">
        <v>214</v>
      </c>
      <c r="R13">
        <v>215.9</v>
      </c>
      <c r="S13">
        <v>278</v>
      </c>
    </row>
    <row r="14" spans="1:19" x14ac:dyDescent="0.25">
      <c r="A14" s="6" t="s">
        <v>15</v>
      </c>
      <c r="B14">
        <f>L8/L4</f>
        <v>0</v>
      </c>
      <c r="C14">
        <f t="shared" ref="C14:I14" si="5">M8/M4</f>
        <v>0</v>
      </c>
      <c r="D14">
        <f t="shared" si="5"/>
        <v>0</v>
      </c>
      <c r="E14">
        <f t="shared" si="5"/>
        <v>0</v>
      </c>
      <c r="F14">
        <f t="shared" si="5"/>
        <v>0</v>
      </c>
      <c r="G14">
        <f t="shared" si="5"/>
        <v>0</v>
      </c>
      <c r="H14">
        <f t="shared" si="5"/>
        <v>0</v>
      </c>
      <c r="I14">
        <f t="shared" si="5"/>
        <v>0</v>
      </c>
      <c r="K14" s="6" t="s">
        <v>32</v>
      </c>
      <c r="L14">
        <f>L13*L12</f>
        <v>263972.5</v>
      </c>
      <c r="M14">
        <f t="shared" ref="M14:S14" si="6">M13*M12</f>
        <v>330172.5</v>
      </c>
      <c r="N14">
        <f t="shared" si="6"/>
        <v>246595</v>
      </c>
      <c r="O14">
        <f t="shared" si="6"/>
        <v>341198.86499999999</v>
      </c>
      <c r="P14">
        <f t="shared" si="6"/>
        <v>392258.69999999995</v>
      </c>
      <c r="Q14">
        <f t="shared" si="6"/>
        <v>354191.39999999997</v>
      </c>
      <c r="R14">
        <f t="shared" si="6"/>
        <v>357336.08999999997</v>
      </c>
      <c r="S14">
        <f t="shared" si="6"/>
        <v>460117.8</v>
      </c>
    </row>
    <row r="15" spans="1:19" x14ac:dyDescent="0.25">
      <c r="A15" s="6" t="s">
        <v>45</v>
      </c>
      <c r="B15" s="19">
        <f>L5/L11</f>
        <v>1.4118067467124071</v>
      </c>
      <c r="C15" s="19">
        <f t="shared" ref="C15:I15" si="7">M5/M11</f>
        <v>1.8184287978265792</v>
      </c>
      <c r="D15" s="19">
        <f t="shared" si="7"/>
        <v>1.9131240003367287</v>
      </c>
      <c r="E15" s="19">
        <f t="shared" si="7"/>
        <v>1.715419296663661</v>
      </c>
      <c r="F15" s="19">
        <f t="shared" si="7"/>
        <v>1.2053874485448111</v>
      </c>
      <c r="G15" s="19">
        <f t="shared" si="7"/>
        <v>0.97031917056312256</v>
      </c>
      <c r="H15" s="19">
        <f t="shared" si="7"/>
        <v>1.0098501070663812</v>
      </c>
      <c r="I15" s="19">
        <f t="shared" si="7"/>
        <v>0.80002299246996611</v>
      </c>
    </row>
    <row r="16" spans="1:19" x14ac:dyDescent="0.25">
      <c r="A16" s="6" t="s">
        <v>16</v>
      </c>
      <c r="B16" s="18">
        <f>L9/B4</f>
        <v>2.871345029239766E-2</v>
      </c>
      <c r="C16" s="18">
        <f t="shared" ref="C16:I16" si="8">M9/C4</f>
        <v>4.495443290021188E-2</v>
      </c>
      <c r="D16" s="18">
        <f t="shared" si="8"/>
        <v>2.0896399042154251E-3</v>
      </c>
      <c r="E16" s="18">
        <f t="shared" si="8"/>
        <v>1.0059866065704733E-3</v>
      </c>
      <c r="F16" s="18">
        <f t="shared" si="8"/>
        <v>9.2180341620346049E-4</v>
      </c>
      <c r="G16" s="18">
        <f t="shared" si="8"/>
        <v>1.081828016618333E-3</v>
      </c>
      <c r="H16" s="18">
        <f t="shared" si="8"/>
        <v>5.0257038551643637E-2</v>
      </c>
      <c r="I16" s="18">
        <f t="shared" si="8"/>
        <v>6.2304569001726796E-2</v>
      </c>
    </row>
    <row r="17" spans="1:9" x14ac:dyDescent="0.25">
      <c r="A17" s="6" t="s">
        <v>9</v>
      </c>
      <c r="B17" s="19">
        <f>L10/L2</f>
        <v>0.30367036984952889</v>
      </c>
      <c r="C17" s="19">
        <f t="shared" ref="C17:I17" si="9">M10/M2</f>
        <v>0.32558585326112999</v>
      </c>
      <c r="D17" s="19">
        <f t="shared" si="9"/>
        <v>0.29846027750131726</v>
      </c>
      <c r="E17" s="19">
        <f t="shared" si="9"/>
        <v>0.30138145429795998</v>
      </c>
      <c r="F17" s="19">
        <f t="shared" si="9"/>
        <v>0.31565340813085058</v>
      </c>
      <c r="G17" s="19">
        <f t="shared" si="9"/>
        <v>0.26285970625373828</v>
      </c>
      <c r="H17" s="19">
        <f t="shared" si="9"/>
        <v>0.28030844398650556</v>
      </c>
      <c r="I17" s="19">
        <f t="shared" si="9"/>
        <v>0.26116085023448443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-103</v>
      </c>
      <c r="C20">
        <v>-41</v>
      </c>
      <c r="D20">
        <v>72</v>
      </c>
      <c r="E20">
        <v>-169</v>
      </c>
      <c r="F20">
        <v>386</v>
      </c>
      <c r="G20">
        <v>-113</v>
      </c>
      <c r="H20">
        <v>-272</v>
      </c>
      <c r="I20">
        <v>-61</v>
      </c>
    </row>
    <row r="21" spans="1:9" x14ac:dyDescent="0.25">
      <c r="A21" s="28" t="s">
        <v>73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C1" workbookViewId="0">
      <selection activeCell="L17" sqref="L17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17685</v>
      </c>
      <c r="M2">
        <v>21053</v>
      </c>
      <c r="N2">
        <v>25280</v>
      </c>
      <c r="O2">
        <v>20998</v>
      </c>
      <c r="P2" s="27">
        <f>2429*F22</f>
        <v>17477.6266</v>
      </c>
      <c r="Q2" s="27">
        <f>2670*G22</f>
        <v>17319.489000000001</v>
      </c>
      <c r="R2" s="27">
        <f>3293.7*H22</f>
        <v>22306.58325</v>
      </c>
      <c r="S2" s="27">
        <f>4374.5*I22</f>
        <v>28491.993400000003</v>
      </c>
    </row>
    <row r="3" spans="1:19" x14ac:dyDescent="0.25">
      <c r="A3" s="6" t="s">
        <v>10</v>
      </c>
      <c r="B3" s="19">
        <f>LN(L2)</f>
        <v>9.7804721016395817</v>
      </c>
      <c r="C3" s="19">
        <f t="shared" ref="C3:I3" si="0">LN(M2)</f>
        <v>9.9547983467705556</v>
      </c>
      <c r="D3" s="19">
        <f t="shared" si="0"/>
        <v>10.137768848260794</v>
      </c>
      <c r="E3" s="19">
        <f t="shared" si="0"/>
        <v>9.9521824740748865</v>
      </c>
      <c r="F3" s="19">
        <f t="shared" si="0"/>
        <v>9.7686768619588182</v>
      </c>
      <c r="G3" s="19">
        <f t="shared" si="0"/>
        <v>9.7595876782169864</v>
      </c>
      <c r="H3" s="19">
        <f t="shared" si="0"/>
        <v>10.01263712688591</v>
      </c>
      <c r="I3" s="19">
        <f t="shared" si="0"/>
        <v>10.257378393454248</v>
      </c>
      <c r="K3" s="6" t="s">
        <v>30</v>
      </c>
      <c r="L3" s="27">
        <f>0.98*B4</f>
        <v>4325.72</v>
      </c>
      <c r="M3" s="27">
        <f>0.975*C4</f>
        <v>5346.9</v>
      </c>
      <c r="N3" s="27">
        <f>0.967*D4</f>
        <v>6182.0309999999999</v>
      </c>
      <c r="O3" s="27">
        <f>0.988*E4</f>
        <v>6116.7079999999996</v>
      </c>
      <c r="P3" s="27">
        <f>0.991*F4</f>
        <v>5742.3055194199997</v>
      </c>
      <c r="Q3" s="27">
        <f>0.976*G4</f>
        <v>7920.7381211199991</v>
      </c>
      <c r="R3" s="27">
        <f>0.986*H4</f>
        <v>9187.1590230000002</v>
      </c>
      <c r="S3" s="27">
        <f>0.993*I4</f>
        <v>7733.9651680799998</v>
      </c>
    </row>
    <row r="4" spans="1:19" x14ac:dyDescent="0.25">
      <c r="A4" s="6" t="s">
        <v>13</v>
      </c>
      <c r="B4">
        <v>4414</v>
      </c>
      <c r="C4">
        <v>5484</v>
      </c>
      <c r="D4">
        <v>6393</v>
      </c>
      <c r="E4">
        <v>6191</v>
      </c>
      <c r="F4" s="27">
        <f>805.3*F22</f>
        <v>5794.4556199999997</v>
      </c>
      <c r="G4" s="27">
        <f>1251.1*G22</f>
        <v>8115.5103699999991</v>
      </c>
      <c r="H4" s="27">
        <f>1375.8*H22</f>
        <v>9317.6054999999997</v>
      </c>
      <c r="I4" s="27">
        <f>1195.8*I22</f>
        <v>7788.4845599999999</v>
      </c>
      <c r="K4" s="6" t="s">
        <v>31</v>
      </c>
      <c r="L4">
        <v>10568</v>
      </c>
      <c r="M4">
        <v>11052</v>
      </c>
      <c r="N4">
        <v>12827</v>
      </c>
      <c r="O4">
        <v>8805</v>
      </c>
      <c r="P4" s="27">
        <f>997.8*F22</f>
        <v>7179.5701200000003</v>
      </c>
      <c r="Q4" s="27">
        <f>1070.3*G22</f>
        <v>6942.7150099999999</v>
      </c>
      <c r="R4" s="27">
        <f>1250.1*H22</f>
        <v>8466.3022499999988</v>
      </c>
      <c r="S4" s="27">
        <f>1266.8*I22</f>
        <v>8250.9217599999993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297</v>
      </c>
      <c r="M5">
        <v>483</v>
      </c>
      <c r="N5">
        <v>449</v>
      </c>
      <c r="O5">
        <v>550</v>
      </c>
      <c r="P5" s="27">
        <f>F22*48.7</f>
        <v>350.41598000000005</v>
      </c>
      <c r="Q5" s="27">
        <f>G22*73.5</f>
        <v>476.77244999999999</v>
      </c>
      <c r="R5" s="27">
        <f>97.4*H22</f>
        <v>659.64150000000006</v>
      </c>
      <c r="S5" s="27">
        <f>92.7*I22</f>
        <v>603.77364</v>
      </c>
    </row>
    <row r="6" spans="1:19" x14ac:dyDescent="0.25">
      <c r="A6" s="6" t="s">
        <v>11</v>
      </c>
      <c r="B6">
        <f>L3/B4</f>
        <v>0.98000000000000009</v>
      </c>
      <c r="C6">
        <f t="shared" ref="C6:I6" si="1">M3/C4</f>
        <v>0.97499999999999998</v>
      </c>
      <c r="D6">
        <f t="shared" si="1"/>
        <v>0.96699999999999997</v>
      </c>
      <c r="E6">
        <f t="shared" si="1"/>
        <v>0.98799999999999999</v>
      </c>
      <c r="F6">
        <f t="shared" si="1"/>
        <v>0.99099999999999999</v>
      </c>
      <c r="G6">
        <f t="shared" si="1"/>
        <v>0.97599999999999998</v>
      </c>
      <c r="H6">
        <f t="shared" si="1"/>
        <v>0.9860000000000001</v>
      </c>
      <c r="I6">
        <f t="shared" si="1"/>
        <v>0.99299999999999999</v>
      </c>
      <c r="K6" s="36" t="s">
        <v>38</v>
      </c>
      <c r="L6">
        <v>13456</v>
      </c>
      <c r="M6">
        <v>11756</v>
      </c>
      <c r="N6">
        <v>10987</v>
      </c>
      <c r="O6">
        <v>4444</v>
      </c>
      <c r="P6">
        <v>3909</v>
      </c>
      <c r="Q6">
        <v>5369</v>
      </c>
      <c r="R6">
        <v>4700</v>
      </c>
      <c r="S6" s="27">
        <v>5224</v>
      </c>
    </row>
    <row r="7" spans="1:19" ht="15.75" x14ac:dyDescent="0.25">
      <c r="A7" s="5" t="s">
        <v>24</v>
      </c>
      <c r="K7" s="6" t="s">
        <v>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6" t="s">
        <v>8</v>
      </c>
      <c r="B8" s="40">
        <f>(L2+L14-L4)/L2</f>
        <v>1.6714645179530678</v>
      </c>
      <c r="C8" s="40">
        <f t="shared" ref="C8:I8" si="2">(M2+M14-M4)/M2</f>
        <v>1.4862727402270459</v>
      </c>
      <c r="D8" s="40">
        <f t="shared" si="2"/>
        <v>1.0044541139240506</v>
      </c>
      <c r="E8" s="40">
        <f t="shared" si="2"/>
        <v>1.4254424230879132</v>
      </c>
      <c r="F8" s="40">
        <f t="shared" si="2"/>
        <v>2.0829613947697001</v>
      </c>
      <c r="G8" s="40">
        <f t="shared" si="2"/>
        <v>3.6374037357568687</v>
      </c>
      <c r="H8" s="40">
        <f t="shared" si="2"/>
        <v>2.7027864520667908</v>
      </c>
      <c r="I8" s="40">
        <f t="shared" si="2"/>
        <v>2.0747959193336047</v>
      </c>
      <c r="K8" s="6" t="s">
        <v>37</v>
      </c>
      <c r="L8">
        <v>1391</v>
      </c>
      <c r="M8">
        <v>2740</v>
      </c>
      <c r="N8">
        <v>4340</v>
      </c>
      <c r="O8">
        <v>3973</v>
      </c>
      <c r="P8" s="27">
        <f>F22*476.7</f>
        <v>3430.04718</v>
      </c>
      <c r="Q8" s="27">
        <f>G22*228.8</f>
        <v>1484.15696</v>
      </c>
      <c r="R8" s="27">
        <f>H22*432</f>
        <v>2925.72</v>
      </c>
      <c r="S8" s="27">
        <f>1275*I22</f>
        <v>8304.33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2801</v>
      </c>
      <c r="M9">
        <v>4282</v>
      </c>
      <c r="N9">
        <v>4096</v>
      </c>
      <c r="O9">
        <v>3946</v>
      </c>
      <c r="P9" s="27">
        <f>F22*375</f>
        <v>2698.2750000000001</v>
      </c>
      <c r="Q9" s="27">
        <f>G22*673</f>
        <v>4365.5491000000002</v>
      </c>
      <c r="R9" s="27">
        <f>929*H22</f>
        <v>6291.6525000000001</v>
      </c>
      <c r="S9" s="27">
        <f>1738*I22</f>
        <v>11319.9416</v>
      </c>
    </row>
    <row r="10" spans="1:19" x14ac:dyDescent="0.25">
      <c r="A10" s="6" t="s">
        <v>5</v>
      </c>
      <c r="B10">
        <v>13456</v>
      </c>
      <c r="C10">
        <v>11756</v>
      </c>
      <c r="D10">
        <v>10987</v>
      </c>
      <c r="E10">
        <v>4444</v>
      </c>
      <c r="F10">
        <v>3909</v>
      </c>
      <c r="G10">
        <v>5369</v>
      </c>
      <c r="H10">
        <v>4700</v>
      </c>
      <c r="I10" s="27">
        <v>5224</v>
      </c>
      <c r="K10" s="6" t="s">
        <v>35</v>
      </c>
      <c r="L10">
        <v>794</v>
      </c>
      <c r="M10">
        <v>952</v>
      </c>
      <c r="N10">
        <v>310</v>
      </c>
      <c r="O10">
        <v>-3789</v>
      </c>
      <c r="P10" s="27">
        <f>F22*129</f>
        <v>928.20659999999998</v>
      </c>
      <c r="Q10" s="27">
        <f>155*G22</f>
        <v>1005.4385</v>
      </c>
      <c r="R10" s="27">
        <f>H22*103.9</f>
        <v>703.66275000000007</v>
      </c>
      <c r="S10" s="27">
        <f>72.9*I22</f>
        <v>474.81228000000004</v>
      </c>
    </row>
    <row r="11" spans="1:19" x14ac:dyDescent="0.25">
      <c r="A11" s="6" t="s">
        <v>7</v>
      </c>
      <c r="B11" s="19">
        <f>B10/L2</f>
        <v>0.76087079445858075</v>
      </c>
      <c r="C11" s="19">
        <f t="shared" ref="C11:I11" si="3">C10/M2</f>
        <v>0.55840022799601008</v>
      </c>
      <c r="D11" s="19">
        <f t="shared" si="3"/>
        <v>0.43461234177215191</v>
      </c>
      <c r="E11" s="19">
        <f t="shared" si="3"/>
        <v>0.21163920373368891</v>
      </c>
      <c r="F11" s="19">
        <f t="shared" si="3"/>
        <v>0.22365737004588485</v>
      </c>
      <c r="G11" s="19">
        <f t="shared" si="3"/>
        <v>0.30999759865894422</v>
      </c>
      <c r="H11" s="19">
        <f t="shared" si="3"/>
        <v>0.21070013042001851</v>
      </c>
      <c r="I11" s="19">
        <f t="shared" si="3"/>
        <v>0.18334975467178086</v>
      </c>
      <c r="K11" s="6" t="s">
        <v>59</v>
      </c>
      <c r="L11">
        <v>1245</v>
      </c>
      <c r="M11">
        <v>1767</v>
      </c>
      <c r="N11">
        <v>2026</v>
      </c>
      <c r="O11">
        <v>1832</v>
      </c>
      <c r="P11" s="27">
        <f>F22*191</f>
        <v>1374.3214</v>
      </c>
      <c r="Q11" s="27">
        <f>G22*402.8</f>
        <v>2612.84276</v>
      </c>
      <c r="R11" s="27">
        <f>H22*432.2</f>
        <v>2927.0744999999997</v>
      </c>
      <c r="S11" s="27">
        <f>492.4*I22</f>
        <v>3207.0996799999998</v>
      </c>
    </row>
    <row r="12" spans="1:19" ht="15.75" x14ac:dyDescent="0.25">
      <c r="A12" s="5" t="s">
        <v>0</v>
      </c>
      <c r="K12" s="6" t="s">
        <v>56</v>
      </c>
      <c r="L12">
        <v>282.3</v>
      </c>
      <c r="M12">
        <v>315.39999999999998</v>
      </c>
      <c r="N12">
        <v>315.60000000000002</v>
      </c>
      <c r="O12">
        <v>313.39999999999998</v>
      </c>
      <c r="P12">
        <v>312.10000000000002</v>
      </c>
      <c r="Q12">
        <v>311</v>
      </c>
      <c r="R12">
        <v>310.7</v>
      </c>
      <c r="S12">
        <v>310</v>
      </c>
    </row>
    <row r="13" spans="1:19" x14ac:dyDescent="0.25">
      <c r="A13" s="6" t="s">
        <v>17</v>
      </c>
      <c r="B13">
        <f>L7/L2</f>
        <v>0</v>
      </c>
      <c r="C13">
        <f t="shared" ref="C13:I13" si="4">M7/M2</f>
        <v>0</v>
      </c>
      <c r="D13">
        <f t="shared" si="4"/>
        <v>0</v>
      </c>
      <c r="E13">
        <f t="shared" si="4"/>
        <v>0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0</v>
      </c>
      <c r="K13" s="6" t="s">
        <v>57</v>
      </c>
      <c r="L13">
        <v>79.5</v>
      </c>
      <c r="M13">
        <v>67.5</v>
      </c>
      <c r="N13">
        <v>41</v>
      </c>
      <c r="O13">
        <v>56.6</v>
      </c>
      <c r="P13">
        <v>83.65</v>
      </c>
      <c r="Q13">
        <v>169.2</v>
      </c>
      <c r="R13">
        <v>149.5</v>
      </c>
      <c r="S13">
        <v>125.4</v>
      </c>
    </row>
    <row r="14" spans="1:19" x14ac:dyDescent="0.25">
      <c r="A14" s="6" t="s">
        <v>15</v>
      </c>
      <c r="B14" s="19">
        <f>L8/L4</f>
        <v>0.13162376987130961</v>
      </c>
      <c r="C14" s="19">
        <f t="shared" ref="C14:I14" si="5">M8/M4</f>
        <v>0.24791892870068766</v>
      </c>
      <c r="D14" s="19">
        <f t="shared" si="5"/>
        <v>0.33834879550947222</v>
      </c>
      <c r="E14" s="19">
        <f t="shared" si="5"/>
        <v>0.45122089721749004</v>
      </c>
      <c r="F14" s="19">
        <f t="shared" si="5"/>
        <v>0.47775105231509318</v>
      </c>
      <c r="G14" s="19">
        <f t="shared" si="5"/>
        <v>0.21377183967112026</v>
      </c>
      <c r="H14" s="19">
        <f t="shared" si="5"/>
        <v>0.3455723542116631</v>
      </c>
      <c r="I14" s="19">
        <f t="shared" si="5"/>
        <v>1.0064730028418063</v>
      </c>
      <c r="K14" s="6" t="s">
        <v>32</v>
      </c>
      <c r="L14" s="27">
        <f>L12*L13</f>
        <v>22442.850000000002</v>
      </c>
      <c r="M14" s="27">
        <f t="shared" ref="M14:S14" si="6">M12*M13</f>
        <v>21289.5</v>
      </c>
      <c r="N14" s="27">
        <f t="shared" si="6"/>
        <v>12939.6</v>
      </c>
      <c r="O14" s="27">
        <f t="shared" si="6"/>
        <v>17738.439999999999</v>
      </c>
      <c r="P14" s="27">
        <f t="shared" si="6"/>
        <v>26107.165000000005</v>
      </c>
      <c r="Q14" s="27">
        <f t="shared" si="6"/>
        <v>52621.2</v>
      </c>
      <c r="R14" s="27">
        <f t="shared" si="6"/>
        <v>46449.65</v>
      </c>
      <c r="S14" s="27">
        <f t="shared" si="6"/>
        <v>38874</v>
      </c>
    </row>
    <row r="15" spans="1:19" x14ac:dyDescent="0.25">
      <c r="A15" s="6" t="s">
        <v>45</v>
      </c>
      <c r="B15" s="19">
        <f>L5/L11</f>
        <v>0.23855421686746989</v>
      </c>
      <c r="C15" s="19">
        <f t="shared" ref="C15:I15" si="7">M5/M11</f>
        <v>0.27334465195246183</v>
      </c>
      <c r="D15" s="19">
        <f t="shared" si="7"/>
        <v>0.22161895360315895</v>
      </c>
      <c r="E15" s="19">
        <f t="shared" si="7"/>
        <v>0.30021834061135372</v>
      </c>
      <c r="F15" s="19">
        <f t="shared" si="7"/>
        <v>0.25497382198952884</v>
      </c>
      <c r="G15" s="19">
        <f t="shared" si="7"/>
        <v>0.18247269116186693</v>
      </c>
      <c r="H15" s="19">
        <f t="shared" si="7"/>
        <v>0.22535863026376682</v>
      </c>
      <c r="I15" s="19">
        <f t="shared" si="7"/>
        <v>0.18826157595450854</v>
      </c>
    </row>
    <row r="16" spans="1:19" x14ac:dyDescent="0.25">
      <c r="A16" s="6" t="s">
        <v>16</v>
      </c>
      <c r="B16" s="19">
        <f>L9/B4</f>
        <v>0.63457181694608067</v>
      </c>
      <c r="C16" s="19">
        <f t="shared" ref="C16:I16" si="8">M9/C4</f>
        <v>0.78081692195477759</v>
      </c>
      <c r="D16" s="19">
        <f t="shared" si="8"/>
        <v>0.6407007664633193</v>
      </c>
      <c r="E16" s="19">
        <f t="shared" si="8"/>
        <v>0.63737683734453243</v>
      </c>
      <c r="F16" s="19">
        <f t="shared" si="8"/>
        <v>0.46566496957655534</v>
      </c>
      <c r="G16" s="19">
        <f t="shared" si="8"/>
        <v>0.5379266245703781</v>
      </c>
      <c r="H16" s="19">
        <f t="shared" si="8"/>
        <v>0.67524349469399625</v>
      </c>
      <c r="I16" s="19">
        <f t="shared" si="8"/>
        <v>1.4534203043987288</v>
      </c>
    </row>
    <row r="17" spans="1:9" x14ac:dyDescent="0.25">
      <c r="A17" s="6" t="s">
        <v>9</v>
      </c>
      <c r="B17" s="18">
        <f>L10/L2</f>
        <v>4.4896805202148712E-2</v>
      </c>
      <c r="C17" s="18">
        <f t="shared" ref="C17:I17" si="9">M10/M2</f>
        <v>4.5219208663848383E-2</v>
      </c>
      <c r="D17" s="18">
        <f t="shared" si="9"/>
        <v>1.2262658227848101E-2</v>
      </c>
      <c r="E17" s="18">
        <f t="shared" si="9"/>
        <v>-0.18044575673873703</v>
      </c>
      <c r="F17" s="18">
        <f t="shared" si="9"/>
        <v>5.3108275010292298E-2</v>
      </c>
      <c r="G17" s="18">
        <f t="shared" si="9"/>
        <v>5.8052434456928835E-2</v>
      </c>
      <c r="H17" s="18">
        <f t="shared" si="9"/>
        <v>3.1545070892916784E-2</v>
      </c>
      <c r="I17" s="18">
        <f t="shared" si="9"/>
        <v>1.6664761687049948E-2</v>
      </c>
    </row>
    <row r="18" spans="1:9" x14ac:dyDescent="0.25">
      <c r="A18" s="6" t="s">
        <v>49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1790</v>
      </c>
      <c r="C20">
        <v>1003</v>
      </c>
      <c r="D20">
        <v>1524</v>
      </c>
      <c r="E20">
        <v>-387</v>
      </c>
      <c r="F20" s="27">
        <f>-44.5*F22</f>
        <v>-320.19530000000003</v>
      </c>
      <c r="G20" s="27">
        <f>-31*G22</f>
        <v>-201.08769999999998</v>
      </c>
      <c r="H20" s="27">
        <f>70.8*H22</f>
        <v>479.49299999999999</v>
      </c>
      <c r="I20" s="27">
        <f>-39.8*I22</f>
        <v>-259.22535999999997</v>
      </c>
    </row>
    <row r="21" spans="1:9" x14ac:dyDescent="0.25">
      <c r="A21" s="28" t="s">
        <v>73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5">
      <c r="A22" s="28"/>
      <c r="F22">
        <v>7.1954000000000002</v>
      </c>
      <c r="G22">
        <v>6.4866999999999999</v>
      </c>
      <c r="H22" s="47">
        <v>6.7725</v>
      </c>
      <c r="I22" s="47">
        <v>6.5132000000000003</v>
      </c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B8" sqref="B8:I8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9205</v>
      </c>
      <c r="M2">
        <v>10958</v>
      </c>
      <c r="N2">
        <v>19232</v>
      </c>
      <c r="O2">
        <v>14651</v>
      </c>
      <c r="P2">
        <v>14002</v>
      </c>
      <c r="Q2">
        <v>11281</v>
      </c>
      <c r="R2">
        <v>18366</v>
      </c>
      <c r="S2">
        <v>20463</v>
      </c>
    </row>
    <row r="3" spans="1:19" x14ac:dyDescent="0.25">
      <c r="A3" s="6" t="s">
        <v>10</v>
      </c>
      <c r="B3" s="19">
        <f>LN(L2)</f>
        <v>9.1275020936671787</v>
      </c>
      <c r="C3" s="19">
        <f t="shared" ref="C3:I3" si="0">LN(M2)</f>
        <v>9.3018250620983611</v>
      </c>
      <c r="D3" s="19">
        <f t="shared" si="0"/>
        <v>9.8643308373349345</v>
      </c>
      <c r="E3" s="19">
        <f t="shared" si="0"/>
        <v>9.5922638715013129</v>
      </c>
      <c r="F3" s="19">
        <f t="shared" si="0"/>
        <v>9.5469554555371428</v>
      </c>
      <c r="G3" s="19">
        <f t="shared" si="0"/>
        <v>9.3308751736049196</v>
      </c>
      <c r="H3" s="19">
        <f t="shared" si="0"/>
        <v>9.8182564081734682</v>
      </c>
      <c r="I3" s="19">
        <f t="shared" si="0"/>
        <v>9.9263736563228289</v>
      </c>
      <c r="K3" s="6" t="s">
        <v>30</v>
      </c>
      <c r="L3">
        <v>8302</v>
      </c>
      <c r="M3">
        <v>8565</v>
      </c>
      <c r="N3">
        <v>11020</v>
      </c>
      <c r="O3">
        <v>10151</v>
      </c>
      <c r="P3">
        <v>10301</v>
      </c>
      <c r="Q3">
        <v>10058</v>
      </c>
      <c r="R3">
        <v>10981</v>
      </c>
      <c r="S3">
        <v>11236</v>
      </c>
    </row>
    <row r="4" spans="1:19" x14ac:dyDescent="0.25">
      <c r="A4" s="6" t="s">
        <v>13</v>
      </c>
      <c r="B4">
        <v>10136</v>
      </c>
      <c r="C4">
        <v>11351</v>
      </c>
      <c r="D4">
        <v>13166</v>
      </c>
      <c r="E4">
        <v>12427</v>
      </c>
      <c r="F4">
        <v>13101</v>
      </c>
      <c r="G4">
        <v>13473</v>
      </c>
      <c r="H4">
        <v>13336</v>
      </c>
      <c r="I4">
        <v>14129</v>
      </c>
      <c r="K4" s="6" t="s">
        <v>31</v>
      </c>
      <c r="L4">
        <v>5105</v>
      </c>
      <c r="M4">
        <v>5875</v>
      </c>
      <c r="N4">
        <v>8980</v>
      </c>
      <c r="O4">
        <v>5381</v>
      </c>
      <c r="P4">
        <v>5986</v>
      </c>
      <c r="Q4">
        <v>4128</v>
      </c>
      <c r="R4">
        <v>4946</v>
      </c>
      <c r="S4">
        <v>5136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646</v>
      </c>
      <c r="M5">
        <v>521</v>
      </c>
      <c r="N5">
        <v>975</v>
      </c>
      <c r="O5">
        <v>737</v>
      </c>
      <c r="P5">
        <v>500</v>
      </c>
      <c r="Q5">
        <v>470</v>
      </c>
      <c r="R5">
        <v>371</v>
      </c>
      <c r="S5">
        <v>429</v>
      </c>
    </row>
    <row r="6" spans="1:19" x14ac:dyDescent="0.25">
      <c r="A6" s="6" t="s">
        <v>11</v>
      </c>
      <c r="B6" s="19">
        <f>L3/B4</f>
        <v>0.81906077348066297</v>
      </c>
      <c r="C6" s="19">
        <f t="shared" ref="C6:I6" si="1">M3/C4</f>
        <v>0.75455906968549025</v>
      </c>
      <c r="D6" s="19">
        <f t="shared" si="1"/>
        <v>0.83700440528634357</v>
      </c>
      <c r="E6" s="19">
        <f t="shared" si="1"/>
        <v>0.8168504063732196</v>
      </c>
      <c r="F6" s="19">
        <f t="shared" si="1"/>
        <v>0.78627585680482404</v>
      </c>
      <c r="G6" s="19">
        <f t="shared" si="1"/>
        <v>0.74653009723149999</v>
      </c>
      <c r="H6" s="19">
        <f t="shared" si="1"/>
        <v>0.82341031793641273</v>
      </c>
      <c r="I6" s="19">
        <f t="shared" si="1"/>
        <v>0.79524382475759081</v>
      </c>
      <c r="K6" s="36" t="s">
        <v>38</v>
      </c>
      <c r="L6">
        <v>1700</v>
      </c>
      <c r="M6">
        <v>2340</v>
      </c>
      <c r="N6">
        <v>4800</v>
      </c>
      <c r="O6">
        <v>3999</v>
      </c>
      <c r="P6">
        <v>3765</v>
      </c>
      <c r="Q6">
        <v>2202</v>
      </c>
      <c r="R6">
        <v>4900</v>
      </c>
      <c r="S6">
        <v>4678</v>
      </c>
    </row>
    <row r="7" spans="1:19" ht="15.75" x14ac:dyDescent="0.25">
      <c r="A7" s="5" t="s">
        <v>24</v>
      </c>
      <c r="K7" s="6" t="s">
        <v>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6" t="s">
        <v>8</v>
      </c>
      <c r="B8" s="19">
        <f>(L2+L14-L4)/L2</f>
        <v>3.7227593699076591</v>
      </c>
      <c r="C8" s="19">
        <f t="shared" ref="C8:H8" si="2">(M2+M14-M4)/M2</f>
        <v>3.2188355539331996</v>
      </c>
      <c r="D8" s="19">
        <f t="shared" si="2"/>
        <v>1.1103369384359401</v>
      </c>
      <c r="E8" s="19">
        <f t="shared" si="2"/>
        <v>2.2335676745614634</v>
      </c>
      <c r="F8" s="19">
        <f t="shared" si="2"/>
        <v>2.6808313098128838</v>
      </c>
      <c r="G8" s="19">
        <f t="shared" si="2"/>
        <v>2.5441007002925273</v>
      </c>
      <c r="H8" s="19">
        <f t="shared" si="2"/>
        <v>1.5653381247958185</v>
      </c>
      <c r="I8" s="19">
        <f>(S2+S14-S4)/S2</f>
        <v>1.8337975858867224</v>
      </c>
      <c r="K8" s="6" t="s">
        <v>37</v>
      </c>
      <c r="L8">
        <v>265</v>
      </c>
      <c r="M8">
        <v>515</v>
      </c>
      <c r="N8">
        <v>4705</v>
      </c>
      <c r="O8">
        <v>3563</v>
      </c>
      <c r="P8">
        <v>2768</v>
      </c>
      <c r="Q8">
        <v>1575</v>
      </c>
      <c r="R8">
        <v>1024</v>
      </c>
      <c r="S8">
        <v>1874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343</v>
      </c>
      <c r="M9">
        <v>327</v>
      </c>
      <c r="N9">
        <v>165</v>
      </c>
      <c r="O9">
        <v>159</v>
      </c>
      <c r="P9">
        <v>157</v>
      </c>
      <c r="Q9">
        <v>120</v>
      </c>
      <c r="R9">
        <v>144</v>
      </c>
      <c r="S9">
        <v>319</v>
      </c>
    </row>
    <row r="10" spans="1:19" x14ac:dyDescent="0.25">
      <c r="A10" s="6" t="s">
        <v>5</v>
      </c>
      <c r="B10">
        <v>1700</v>
      </c>
      <c r="C10">
        <v>2340</v>
      </c>
      <c r="D10">
        <v>4800</v>
      </c>
      <c r="E10">
        <v>3999</v>
      </c>
      <c r="F10">
        <v>3765</v>
      </c>
      <c r="G10">
        <v>2202</v>
      </c>
      <c r="H10">
        <v>4900</v>
      </c>
      <c r="I10">
        <v>4678</v>
      </c>
      <c r="K10" s="6" t="s">
        <v>35</v>
      </c>
      <c r="L10">
        <v>1499</v>
      </c>
      <c r="M10">
        <v>1428</v>
      </c>
      <c r="N10">
        <v>2927</v>
      </c>
      <c r="O10">
        <v>1858</v>
      </c>
      <c r="P10">
        <v>2424</v>
      </c>
      <c r="Q10">
        <v>2567</v>
      </c>
      <c r="R10">
        <v>2124</v>
      </c>
      <c r="S10">
        <v>1885</v>
      </c>
    </row>
    <row r="11" spans="1:19" x14ac:dyDescent="0.25">
      <c r="A11" s="6" t="s">
        <v>7</v>
      </c>
      <c r="B11" s="19">
        <f>L6/L2</f>
        <v>0.18468223791417707</v>
      </c>
      <c r="C11" s="19">
        <f t="shared" ref="C11:I11" si="3">M6/M2</f>
        <v>0.21354261726592444</v>
      </c>
      <c r="D11" s="19">
        <f t="shared" si="3"/>
        <v>0.24958402662229617</v>
      </c>
      <c r="E11" s="19">
        <f t="shared" si="3"/>
        <v>0.27295065183263939</v>
      </c>
      <c r="F11" s="19">
        <f t="shared" si="3"/>
        <v>0.26889015854877873</v>
      </c>
      <c r="G11" s="19">
        <f t="shared" si="3"/>
        <v>0.19519546139526639</v>
      </c>
      <c r="H11" s="19">
        <f t="shared" si="3"/>
        <v>0.26679734291625828</v>
      </c>
      <c r="I11" s="19">
        <f t="shared" si="3"/>
        <v>0.22860773102673118</v>
      </c>
      <c r="K11" s="6" t="s">
        <v>59</v>
      </c>
      <c r="L11">
        <v>3796</v>
      </c>
      <c r="M11">
        <v>4654</v>
      </c>
      <c r="N11">
        <v>4989</v>
      </c>
      <c r="O11">
        <v>4796</v>
      </c>
      <c r="P11">
        <v>4452</v>
      </c>
      <c r="Q11">
        <v>4763</v>
      </c>
      <c r="R11">
        <v>4808</v>
      </c>
      <c r="S11">
        <v>6080</v>
      </c>
    </row>
    <row r="12" spans="1:19" ht="15.75" x14ac:dyDescent="0.25">
      <c r="A12" s="5" t="s">
        <v>0</v>
      </c>
      <c r="K12" s="6" t="s">
        <v>56</v>
      </c>
      <c r="L12">
        <v>67</v>
      </c>
      <c r="M12">
        <v>67</v>
      </c>
      <c r="N12">
        <v>66</v>
      </c>
      <c r="O12">
        <v>66</v>
      </c>
      <c r="P12">
        <v>66</v>
      </c>
      <c r="Q12">
        <v>66</v>
      </c>
      <c r="R12">
        <v>67</v>
      </c>
      <c r="S12">
        <v>67</v>
      </c>
    </row>
    <row r="13" spans="1:19" x14ac:dyDescent="0.25">
      <c r="A13" s="6" t="s">
        <v>17</v>
      </c>
      <c r="B13">
        <f>L7/B4</f>
        <v>0</v>
      </c>
      <c r="C13">
        <f t="shared" ref="C13:I13" si="4">M7/C4</f>
        <v>0</v>
      </c>
      <c r="D13">
        <f t="shared" si="4"/>
        <v>0</v>
      </c>
      <c r="E13">
        <f t="shared" si="4"/>
        <v>0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0</v>
      </c>
      <c r="K13" s="6" t="s">
        <v>57</v>
      </c>
      <c r="L13" s="27">
        <f t="shared" ref="L13:R13" si="5">L14/L12</f>
        <v>450.26865671641792</v>
      </c>
      <c r="M13" s="27">
        <f t="shared" si="5"/>
        <v>450.58208955223881</v>
      </c>
      <c r="N13" s="27">
        <f t="shared" si="5"/>
        <v>168.21212121212122</v>
      </c>
      <c r="O13" s="27">
        <f t="shared" si="5"/>
        <v>355.36363636363637</v>
      </c>
      <c r="P13" s="27">
        <f t="shared" si="5"/>
        <v>447.28787878787881</v>
      </c>
      <c r="Q13" s="27">
        <f t="shared" si="5"/>
        <v>326.469696969697</v>
      </c>
      <c r="R13" s="27">
        <f t="shared" si="5"/>
        <v>228.79104477611941</v>
      </c>
      <c r="S13" s="27">
        <f>S14/S12</f>
        <v>331.31343283582089</v>
      </c>
    </row>
    <row r="14" spans="1:19" x14ac:dyDescent="0.25">
      <c r="A14" s="6" t="s">
        <v>15</v>
      </c>
      <c r="B14" s="19">
        <f>L8/L4</f>
        <v>5.190989226248776E-2</v>
      </c>
      <c r="C14" s="19">
        <f t="shared" ref="C14:I14" si="6">M8/M4</f>
        <v>8.7659574468085102E-2</v>
      </c>
      <c r="D14" s="19">
        <f t="shared" si="6"/>
        <v>0.52394209354120269</v>
      </c>
      <c r="E14" s="19">
        <f t="shared" si="6"/>
        <v>0.66214458279130273</v>
      </c>
      <c r="F14" s="19">
        <f t="shared" si="6"/>
        <v>0.46241229535583028</v>
      </c>
      <c r="G14" s="19">
        <f t="shared" si="6"/>
        <v>0.38154069767441862</v>
      </c>
      <c r="H14" s="19">
        <f t="shared" si="6"/>
        <v>0.20703598867771936</v>
      </c>
      <c r="I14" s="19">
        <f t="shared" si="6"/>
        <v>0.36487538940809972</v>
      </c>
      <c r="K14" s="6" t="s">
        <v>32</v>
      </c>
      <c r="L14">
        <v>30168</v>
      </c>
      <c r="M14">
        <v>30189</v>
      </c>
      <c r="N14">
        <v>11102</v>
      </c>
      <c r="O14">
        <v>23454</v>
      </c>
      <c r="P14">
        <v>29521</v>
      </c>
      <c r="Q14">
        <v>21547</v>
      </c>
      <c r="R14">
        <v>15329</v>
      </c>
      <c r="S14">
        <v>22198</v>
      </c>
    </row>
    <row r="15" spans="1:19" x14ac:dyDescent="0.25">
      <c r="A15" s="6" t="s">
        <v>45</v>
      </c>
      <c r="B15" s="18">
        <f>L5/L11</f>
        <v>0.17017913593256059</v>
      </c>
      <c r="C15" s="18">
        <f t="shared" ref="C15:I15" si="7">M5/M11</f>
        <v>0.11194671250537172</v>
      </c>
      <c r="D15" s="18">
        <f t="shared" si="7"/>
        <v>0.19542994588093807</v>
      </c>
      <c r="E15" s="18">
        <f t="shared" si="7"/>
        <v>0.1536697247706422</v>
      </c>
      <c r="F15" s="18">
        <f t="shared" si="7"/>
        <v>0.11230907457322552</v>
      </c>
      <c r="G15" s="18">
        <f t="shared" si="7"/>
        <v>9.8677304220029391E-2</v>
      </c>
      <c r="H15" s="18">
        <f t="shared" si="7"/>
        <v>7.7163061564059901E-2</v>
      </c>
      <c r="I15" s="18">
        <f t="shared" si="7"/>
        <v>7.0559210526315794E-2</v>
      </c>
    </row>
    <row r="16" spans="1:19" x14ac:dyDescent="0.25">
      <c r="A16" s="6" t="s">
        <v>16</v>
      </c>
      <c r="B16" s="18">
        <f>L9/B4</f>
        <v>3.3839779005524859E-2</v>
      </c>
      <c r="C16" s="18">
        <f t="shared" ref="C16:I16" si="8">M9/C4</f>
        <v>2.8808034534402255E-2</v>
      </c>
      <c r="D16" s="18">
        <f t="shared" si="8"/>
        <v>1.2532280115448883E-2</v>
      </c>
      <c r="E16" s="18">
        <f t="shared" si="8"/>
        <v>1.2794721171642391E-2</v>
      </c>
      <c r="F16" s="18">
        <f t="shared" si="8"/>
        <v>1.1983818029158079E-2</v>
      </c>
      <c r="G16" s="18">
        <f t="shared" si="8"/>
        <v>8.9067022934758398E-3</v>
      </c>
      <c r="H16" s="18">
        <f t="shared" si="8"/>
        <v>1.0797840431913617E-2</v>
      </c>
      <c r="I16" s="18">
        <f t="shared" si="8"/>
        <v>2.2577677117984286E-2</v>
      </c>
    </row>
    <row r="17" spans="1:9" x14ac:dyDescent="0.25">
      <c r="A17" s="6" t="s">
        <v>9</v>
      </c>
      <c r="B17" s="18">
        <f>L10/L2</f>
        <v>0.16284627919608907</v>
      </c>
      <c r="C17" s="18">
        <f t="shared" ref="C17:I17" si="9">M10/M2</f>
        <v>0.13031575104946158</v>
      </c>
      <c r="D17" s="18">
        <f t="shared" si="9"/>
        <v>0.15219425956738769</v>
      </c>
      <c r="E17" s="18">
        <f t="shared" si="9"/>
        <v>0.12681728209678519</v>
      </c>
      <c r="F17" s="18">
        <f t="shared" si="9"/>
        <v>0.17311812598200257</v>
      </c>
      <c r="G17" s="18">
        <f t="shared" si="9"/>
        <v>0.22755074904707029</v>
      </c>
      <c r="H17" s="18">
        <f t="shared" si="9"/>
        <v>0.1156484808885985</v>
      </c>
      <c r="I17" s="18">
        <f t="shared" si="9"/>
        <v>9.2117480330352344E-2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-454</v>
      </c>
      <c r="C20">
        <v>-625</v>
      </c>
      <c r="D20">
        <v>-708</v>
      </c>
      <c r="E20">
        <v>-325</v>
      </c>
      <c r="F20">
        <v>-1696</v>
      </c>
      <c r="G20">
        <v>-1415</v>
      </c>
      <c r="H20">
        <v>-2112</v>
      </c>
      <c r="I20">
        <v>-2506</v>
      </c>
    </row>
    <row r="21" spans="1:9" x14ac:dyDescent="0.25">
      <c r="A21" s="28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9" x14ac:dyDescent="0.25">
      <c r="A33" s="28"/>
    </row>
    <row r="34" spans="1:19" x14ac:dyDescent="0.25">
      <c r="A34" s="24"/>
    </row>
    <row r="39" spans="1:19" ht="15.75" thickBot="1" x14ac:dyDescent="0.3">
      <c r="N39" s="48"/>
      <c r="O39" s="48"/>
      <c r="P39" s="48"/>
      <c r="Q39" s="48"/>
      <c r="R39" s="48"/>
    </row>
    <row r="42" spans="1:19" ht="15.75" thickBot="1" x14ac:dyDescent="0.3">
      <c r="O42" s="48"/>
      <c r="P42" s="48"/>
      <c r="Q42" s="48"/>
      <c r="R42" s="48"/>
      <c r="S42" s="4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16" sqref="K16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65901</v>
      </c>
      <c r="M2">
        <v>85435</v>
      </c>
      <c r="N2">
        <v>41899</v>
      </c>
      <c r="O2">
        <v>47716</v>
      </c>
      <c r="P2">
        <v>89999</v>
      </c>
      <c r="Q2">
        <v>98530</v>
      </c>
      <c r="R2">
        <v>104055</v>
      </c>
      <c r="S2">
        <v>93882</v>
      </c>
    </row>
    <row r="3" spans="1:19" x14ac:dyDescent="0.25">
      <c r="A3" s="6" t="s">
        <v>10</v>
      </c>
      <c r="B3" s="19">
        <f>LN(L2)</f>
        <v>11.095908894882296</v>
      </c>
      <c r="C3" s="19">
        <f t="shared" ref="C3:I3" si="0">LN(M2)</f>
        <v>11.355511131882373</v>
      </c>
      <c r="D3" s="19">
        <f t="shared" si="0"/>
        <v>10.643017239276974</v>
      </c>
      <c r="E3" s="19">
        <f t="shared" si="0"/>
        <v>10.773022050401837</v>
      </c>
      <c r="F3" s="19">
        <f t="shared" si="0"/>
        <v>11.407553838139561</v>
      </c>
      <c r="G3" s="19">
        <f t="shared" si="0"/>
        <v>11.49811634931652</v>
      </c>
      <c r="H3" s="19">
        <f t="shared" si="0"/>
        <v>11.552674884487512</v>
      </c>
      <c r="I3" s="19">
        <f t="shared" si="0"/>
        <v>11.449793953530111</v>
      </c>
      <c r="K3" s="6" t="s">
        <v>30</v>
      </c>
      <c r="L3">
        <v>69969</v>
      </c>
      <c r="M3">
        <v>84121</v>
      </c>
      <c r="N3">
        <v>87901</v>
      </c>
      <c r="O3">
        <v>68581</v>
      </c>
      <c r="P3">
        <v>78835</v>
      </c>
      <c r="Q3">
        <v>89851</v>
      </c>
      <c r="R3">
        <v>94709</v>
      </c>
      <c r="S3">
        <v>83912</v>
      </c>
    </row>
    <row r="4" spans="1:19" x14ac:dyDescent="0.25">
      <c r="A4" s="6" t="s">
        <v>13</v>
      </c>
      <c r="B4">
        <v>72289</v>
      </c>
      <c r="C4">
        <v>86338</v>
      </c>
      <c r="D4">
        <v>92654</v>
      </c>
      <c r="E4">
        <v>71937</v>
      </c>
      <c r="F4">
        <v>82654</v>
      </c>
      <c r="G4">
        <v>94084</v>
      </c>
      <c r="H4">
        <v>98529</v>
      </c>
      <c r="I4">
        <v>87328</v>
      </c>
      <c r="K4" s="6" t="s">
        <v>31</v>
      </c>
      <c r="L4">
        <v>27198</v>
      </c>
      <c r="M4">
        <v>29823</v>
      </c>
      <c r="N4">
        <v>36725</v>
      </c>
      <c r="O4">
        <v>29957</v>
      </c>
      <c r="P4">
        <v>33813</v>
      </c>
      <c r="Q4">
        <v>31264</v>
      </c>
      <c r="R4">
        <v>32536</v>
      </c>
      <c r="S4">
        <v>33610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1745</v>
      </c>
      <c r="M5">
        <v>2006</v>
      </c>
      <c r="N5">
        <v>4998</v>
      </c>
      <c r="O5">
        <v>7506</v>
      </c>
      <c r="P5">
        <v>4783</v>
      </c>
      <c r="Q5">
        <v>5592</v>
      </c>
      <c r="R5">
        <v>13829</v>
      </c>
      <c r="S5">
        <v>5076</v>
      </c>
    </row>
    <row r="6" spans="1:19" x14ac:dyDescent="0.25">
      <c r="A6" s="6" t="s">
        <v>11</v>
      </c>
      <c r="B6" s="18">
        <f>L3/B4</f>
        <v>0.9679065971309605</v>
      </c>
      <c r="C6" s="18">
        <f t="shared" ref="C6:I6" si="1">M3/C4</f>
        <v>0.97432185132849958</v>
      </c>
      <c r="D6" s="18">
        <f t="shared" si="1"/>
        <v>0.94870162108489653</v>
      </c>
      <c r="E6" s="18">
        <f t="shared" si="1"/>
        <v>0.95334806844878162</v>
      </c>
      <c r="F6" s="18">
        <f t="shared" si="1"/>
        <v>0.95379533960848839</v>
      </c>
      <c r="G6" s="18">
        <f t="shared" si="1"/>
        <v>0.95500829046384084</v>
      </c>
      <c r="H6" s="18">
        <f t="shared" si="1"/>
        <v>0.96122968872108716</v>
      </c>
      <c r="I6" s="18">
        <f t="shared" si="1"/>
        <v>0.96088310736533533</v>
      </c>
      <c r="K6" s="36" t="s">
        <v>38</v>
      </c>
      <c r="L6">
        <v>9958</v>
      </c>
      <c r="M6">
        <v>11000</v>
      </c>
      <c r="N6">
        <v>5150</v>
      </c>
      <c r="O6">
        <v>5900</v>
      </c>
      <c r="P6">
        <v>6300</v>
      </c>
      <c r="Q6">
        <v>8456</v>
      </c>
      <c r="R6">
        <v>9500</v>
      </c>
      <c r="S6">
        <v>7310</v>
      </c>
    </row>
    <row r="7" spans="1:19" ht="15.75" x14ac:dyDescent="0.25">
      <c r="A7" s="5" t="s">
        <v>24</v>
      </c>
      <c r="K7" s="6" t="s">
        <v>33</v>
      </c>
      <c r="L7">
        <v>1583</v>
      </c>
      <c r="M7">
        <v>1818</v>
      </c>
      <c r="N7">
        <v>2014</v>
      </c>
      <c r="O7">
        <v>2007</v>
      </c>
      <c r="P7">
        <v>2106</v>
      </c>
      <c r="Q7">
        <v>2421</v>
      </c>
      <c r="R7">
        <v>1281</v>
      </c>
      <c r="S7">
        <v>1343</v>
      </c>
    </row>
    <row r="8" spans="1:19" x14ac:dyDescent="0.25">
      <c r="A8" s="6" t="s">
        <v>8</v>
      </c>
      <c r="B8" s="19">
        <f>(L2+L14-L4)/L2</f>
        <v>2.3874144550158571</v>
      </c>
      <c r="C8" s="19">
        <f t="shared" ref="C8:I8" si="2">(M2+M14-M4)/M2</f>
        <v>2.1922081114297418</v>
      </c>
      <c r="D8" s="19">
        <f t="shared" si="2"/>
        <v>1.5108403541850639</v>
      </c>
      <c r="E8" s="19">
        <f t="shared" si="2"/>
        <v>2.5102858579931255</v>
      </c>
      <c r="F8" s="19">
        <f t="shared" si="2"/>
        <v>2.3510405671174124</v>
      </c>
      <c r="G8" s="19">
        <f t="shared" si="2"/>
        <v>1.6940546026590888</v>
      </c>
      <c r="H8" s="19">
        <f t="shared" si="2"/>
        <v>1.9265739272500122</v>
      </c>
      <c r="I8" s="19">
        <f t="shared" si="2"/>
        <v>1.8538812551926889</v>
      </c>
      <c r="K8" s="6" t="s">
        <v>37</v>
      </c>
      <c r="L8">
        <v>18555</v>
      </c>
      <c r="M8">
        <v>31946</v>
      </c>
      <c r="N8">
        <v>22239</v>
      </c>
      <c r="O8">
        <v>28765</v>
      </c>
      <c r="P8">
        <v>29467</v>
      </c>
      <c r="Q8">
        <v>35530</v>
      </c>
      <c r="R8">
        <v>40998</v>
      </c>
      <c r="S8">
        <v>35424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4175</v>
      </c>
      <c r="M9">
        <v>4811</v>
      </c>
      <c r="N9">
        <v>6634</v>
      </c>
      <c r="O9">
        <v>4006</v>
      </c>
      <c r="P9">
        <v>3378</v>
      </c>
      <c r="Q9">
        <v>4994</v>
      </c>
      <c r="R9">
        <v>4820</v>
      </c>
      <c r="S9">
        <v>4185</v>
      </c>
    </row>
    <row r="10" spans="1:19" x14ac:dyDescent="0.25">
      <c r="A10" s="6" t="s">
        <v>5</v>
      </c>
      <c r="B10">
        <v>9958</v>
      </c>
      <c r="C10">
        <v>11000</v>
      </c>
      <c r="D10">
        <v>5150</v>
      </c>
      <c r="E10">
        <v>5900</v>
      </c>
      <c r="F10">
        <v>6300</v>
      </c>
      <c r="G10">
        <v>8456</v>
      </c>
      <c r="H10">
        <v>9500</v>
      </c>
      <c r="I10">
        <v>7310</v>
      </c>
      <c r="K10" s="6" t="s">
        <v>35</v>
      </c>
      <c r="L10">
        <v>8107</v>
      </c>
      <c r="M10">
        <v>9594</v>
      </c>
      <c r="N10">
        <v>7836</v>
      </c>
      <c r="O10">
        <v>-2596</v>
      </c>
      <c r="P10">
        <v>6943</v>
      </c>
      <c r="Q10">
        <v>5861</v>
      </c>
      <c r="R10">
        <v>8107</v>
      </c>
      <c r="S10">
        <v>5008</v>
      </c>
    </row>
    <row r="11" spans="1:19" x14ac:dyDescent="0.25">
      <c r="A11" s="6" t="s">
        <v>7</v>
      </c>
      <c r="B11" s="19">
        <f>B10/L2</f>
        <v>0.15110544604785967</v>
      </c>
      <c r="C11" s="19">
        <f t="shared" ref="C11:I11" si="3">C10/M2</f>
        <v>0.12875285304617545</v>
      </c>
      <c r="D11" s="19">
        <f t="shared" si="3"/>
        <v>0.12291462803408196</v>
      </c>
      <c r="E11" s="19">
        <f t="shared" si="3"/>
        <v>0.12364825215860507</v>
      </c>
      <c r="F11" s="19">
        <f t="shared" si="3"/>
        <v>7.0000777786419846E-2</v>
      </c>
      <c r="G11" s="19">
        <f t="shared" si="3"/>
        <v>8.582157718461382E-2</v>
      </c>
      <c r="H11" s="19">
        <f t="shared" si="3"/>
        <v>9.1297871318052948E-2</v>
      </c>
      <c r="I11" s="19">
        <f t="shared" si="3"/>
        <v>7.786370124198462E-2</v>
      </c>
      <c r="K11" s="6" t="s">
        <v>59</v>
      </c>
      <c r="L11">
        <v>24146</v>
      </c>
      <c r="M11">
        <v>28759</v>
      </c>
      <c r="N11">
        <v>14953</v>
      </c>
      <c r="O11">
        <v>13789</v>
      </c>
      <c r="P11">
        <v>24633</v>
      </c>
      <c r="Q11">
        <v>25180</v>
      </c>
      <c r="R11">
        <v>24101</v>
      </c>
      <c r="S11">
        <v>21585</v>
      </c>
    </row>
    <row r="12" spans="1:19" ht="15.75" x14ac:dyDescent="0.25">
      <c r="A12" s="5" t="s">
        <v>0</v>
      </c>
      <c r="K12" s="6" t="s">
        <v>56</v>
      </c>
      <c r="L12">
        <v>1186.3</v>
      </c>
      <c r="M12">
        <v>1186.3</v>
      </c>
      <c r="N12">
        <v>1186.3</v>
      </c>
      <c r="O12">
        <v>1186.3</v>
      </c>
      <c r="P12">
        <v>1186.3</v>
      </c>
      <c r="Q12">
        <v>1186.3</v>
      </c>
      <c r="R12">
        <v>1245.9000000000001</v>
      </c>
      <c r="S12">
        <v>1254.4000000000001</v>
      </c>
    </row>
    <row r="13" spans="1:19" x14ac:dyDescent="0.25">
      <c r="A13" s="6" t="s">
        <v>17</v>
      </c>
      <c r="B13" s="18">
        <f>L7/B4</f>
        <v>2.1898214112797243E-2</v>
      </c>
      <c r="C13" s="18">
        <f t="shared" ref="C13:I13" si="4">M7/C4</f>
        <v>2.1056776853760801E-2</v>
      </c>
      <c r="D13" s="18">
        <f t="shared" si="4"/>
        <v>2.1736784164741944E-2</v>
      </c>
      <c r="E13" s="18">
        <f t="shared" si="4"/>
        <v>2.7899411985487302E-2</v>
      </c>
      <c r="F13" s="18">
        <f t="shared" si="4"/>
        <v>2.5479710600817867E-2</v>
      </c>
      <c r="G13" s="18">
        <f t="shared" si="4"/>
        <v>2.5732324305939372E-2</v>
      </c>
      <c r="H13" s="18">
        <f t="shared" si="4"/>
        <v>1.3001248363425996E-2</v>
      </c>
      <c r="I13" s="18">
        <f t="shared" si="4"/>
        <v>1.5378801758886038E-2</v>
      </c>
      <c r="K13" s="6" t="s">
        <v>57</v>
      </c>
      <c r="L13">
        <v>100</v>
      </c>
      <c r="M13">
        <v>111</v>
      </c>
      <c r="N13">
        <v>49</v>
      </c>
      <c r="O13">
        <v>86</v>
      </c>
      <c r="P13">
        <v>131</v>
      </c>
      <c r="Q13">
        <v>84</v>
      </c>
      <c r="R13">
        <v>103.5</v>
      </c>
      <c r="S13">
        <v>90.7</v>
      </c>
    </row>
    <row r="14" spans="1:19" x14ac:dyDescent="0.25">
      <c r="A14" s="6" t="s">
        <v>15</v>
      </c>
      <c r="B14" s="19">
        <f>L8/L4</f>
        <v>0.68221928082947281</v>
      </c>
      <c r="C14" s="19">
        <f t="shared" ref="C14:I14" si="5">M8/M4</f>
        <v>1.0711866680079134</v>
      </c>
      <c r="D14" s="19">
        <f t="shared" si="5"/>
        <v>0.60555479918311772</v>
      </c>
      <c r="E14" s="19">
        <f t="shared" si="5"/>
        <v>0.96020963380845881</v>
      </c>
      <c r="F14" s="19">
        <f t="shared" si="5"/>
        <v>0.87146955313045282</v>
      </c>
      <c r="G14" s="19">
        <f t="shared" si="5"/>
        <v>1.1364508700102354</v>
      </c>
      <c r="H14" s="19">
        <f t="shared" si="5"/>
        <v>1.2600811408900909</v>
      </c>
      <c r="I14" s="19">
        <f t="shared" si="5"/>
        <v>1.0539720321332937</v>
      </c>
      <c r="K14" s="6" t="s">
        <v>32</v>
      </c>
      <c r="L14" s="27">
        <f>L12*L13</f>
        <v>118630</v>
      </c>
      <c r="M14" s="27">
        <f t="shared" ref="M14:S14" si="6">M12*M13</f>
        <v>131679.29999999999</v>
      </c>
      <c r="N14" s="27">
        <f t="shared" si="6"/>
        <v>58128.7</v>
      </c>
      <c r="O14" s="27">
        <f t="shared" si="6"/>
        <v>102021.8</v>
      </c>
      <c r="P14" s="27">
        <f t="shared" si="6"/>
        <v>155405.29999999999</v>
      </c>
      <c r="Q14" s="27">
        <f t="shared" si="6"/>
        <v>99649.2</v>
      </c>
      <c r="R14" s="27">
        <f t="shared" si="6"/>
        <v>128950.65000000001</v>
      </c>
      <c r="S14" s="27">
        <f t="shared" si="6"/>
        <v>113774.08000000002</v>
      </c>
    </row>
    <row r="15" spans="1:19" x14ac:dyDescent="0.25">
      <c r="A15" s="6" t="s">
        <v>45</v>
      </c>
      <c r="B15" s="18">
        <f>L5/L11</f>
        <v>7.2268698749275245E-2</v>
      </c>
      <c r="C15" s="18">
        <f t="shared" ref="C15:I15" si="7">M5/M11</f>
        <v>6.9752077610487156E-2</v>
      </c>
      <c r="D15" s="18">
        <f t="shared" si="7"/>
        <v>0.33424730823246174</v>
      </c>
      <c r="E15" s="18">
        <f t="shared" si="7"/>
        <v>0.54434694321560662</v>
      </c>
      <c r="F15" s="18">
        <f t="shared" si="7"/>
        <v>0.19417042179190516</v>
      </c>
      <c r="G15" s="18">
        <f t="shared" si="7"/>
        <v>0.22208101667990468</v>
      </c>
      <c r="H15" s="18">
        <f t="shared" si="7"/>
        <v>0.57379361852205302</v>
      </c>
      <c r="I15" s="18">
        <f t="shared" si="7"/>
        <v>0.23516330785267547</v>
      </c>
    </row>
    <row r="16" spans="1:19" x14ac:dyDescent="0.25">
      <c r="A16" s="6" t="s">
        <v>16</v>
      </c>
      <c r="B16" s="18">
        <f>L9/B4</f>
        <v>5.7754291800965571E-2</v>
      </c>
      <c r="C16" s="18">
        <f t="shared" ref="C16:I16" si="8">M9/C4</f>
        <v>5.5722856679561721E-2</v>
      </c>
      <c r="D16" s="18">
        <f t="shared" si="8"/>
        <v>7.1599715068966258E-2</v>
      </c>
      <c r="E16" s="18">
        <f t="shared" si="8"/>
        <v>5.5687615552497322E-2</v>
      </c>
      <c r="F16" s="18">
        <f t="shared" si="8"/>
        <v>4.0869165436639487E-2</v>
      </c>
      <c r="G16" s="18">
        <f t="shared" si="8"/>
        <v>5.3080226180859655E-2</v>
      </c>
      <c r="H16" s="18">
        <f t="shared" si="8"/>
        <v>4.891960742522506E-2</v>
      </c>
      <c r="I16" s="18">
        <f t="shared" si="8"/>
        <v>4.7922773909857087E-2</v>
      </c>
    </row>
    <row r="17" spans="1:9" x14ac:dyDescent="0.25">
      <c r="A17" s="6" t="s">
        <v>9</v>
      </c>
      <c r="B17" s="18">
        <f>L10/L2</f>
        <v>0.1230178601235186</v>
      </c>
      <c r="C17" s="18">
        <f t="shared" ref="C17:I17" si="9">M10/M2</f>
        <v>0.11229589746590976</v>
      </c>
      <c r="D17" s="18">
        <f t="shared" si="9"/>
        <v>0.18702116995632354</v>
      </c>
      <c r="E17" s="18">
        <f t="shared" si="9"/>
        <v>-5.4405230949786235E-2</v>
      </c>
      <c r="F17" s="18">
        <f t="shared" si="9"/>
        <v>7.7145301614462383E-2</v>
      </c>
      <c r="G17" s="18">
        <f t="shared" si="9"/>
        <v>5.9484420988531413E-2</v>
      </c>
      <c r="H17" s="18">
        <f t="shared" si="9"/>
        <v>7.7910720292153193E-2</v>
      </c>
      <c r="I17" s="18">
        <f t="shared" si="9"/>
        <v>5.3343558935685223E-2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-1024</v>
      </c>
      <c r="C20">
        <v>785</v>
      </c>
      <c r="D20">
        <v>-457</v>
      </c>
      <c r="E20">
        <v>399</v>
      </c>
      <c r="F20">
        <v>453</v>
      </c>
      <c r="G20">
        <v>-458</v>
      </c>
      <c r="H20">
        <v>140</v>
      </c>
      <c r="I20">
        <v>-205</v>
      </c>
    </row>
    <row r="21" spans="1:9" x14ac:dyDescent="0.25">
      <c r="A21" s="28" t="s">
        <v>73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L18" sqref="L18"/>
    </sheetView>
  </sheetViews>
  <sheetFormatPr defaultRowHeight="15" x14ac:dyDescent="0.25"/>
  <cols>
    <col min="1" max="1" width="19.5703125" customWidth="1"/>
    <col min="10" max="10" width="8.5703125" customWidth="1"/>
    <col min="11" max="11" width="12.5703125" customWidth="1"/>
    <col min="12" max="18" width="9.28515625" bestFit="1" customWidth="1"/>
    <col min="19" max="19" width="9.5703125" bestFit="1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133544</v>
      </c>
      <c r="M2">
        <v>145050</v>
      </c>
      <c r="N2">
        <v>158968</v>
      </c>
      <c r="O2">
        <v>149859</v>
      </c>
      <c r="P2">
        <v>142978</v>
      </c>
      <c r="Q2">
        <v>139004</v>
      </c>
      <c r="R2">
        <v>131531</v>
      </c>
      <c r="S2">
        <v>142272</v>
      </c>
    </row>
    <row r="3" spans="1:19" x14ac:dyDescent="0.25">
      <c r="A3" s="6" t="s">
        <v>10</v>
      </c>
      <c r="B3" s="40">
        <f>LN(L2)</f>
        <v>11.802186290535223</v>
      </c>
      <c r="C3" s="40">
        <f t="shared" ref="C3:I3" si="0">LN(M2)</f>
        <v>11.88483378954955</v>
      </c>
      <c r="D3" s="40">
        <f t="shared" si="0"/>
        <v>11.976458203085652</v>
      </c>
      <c r="E3" s="40">
        <f t="shared" si="0"/>
        <v>11.917450131001337</v>
      </c>
      <c r="F3" s="40">
        <f t="shared" si="0"/>
        <v>11.870446051252665</v>
      </c>
      <c r="G3" s="40">
        <f t="shared" si="0"/>
        <v>11.842257988677197</v>
      </c>
      <c r="H3" s="40">
        <f t="shared" si="0"/>
        <v>11.786997844262174</v>
      </c>
      <c r="I3" s="40">
        <f t="shared" si="0"/>
        <v>11.865495997323869</v>
      </c>
      <c r="K3" s="6" t="s">
        <v>30</v>
      </c>
      <c r="L3">
        <v>94167</v>
      </c>
      <c r="M3">
        <v>98115</v>
      </c>
      <c r="N3">
        <v>103140</v>
      </c>
      <c r="O3">
        <v>103806</v>
      </c>
      <c r="P3">
        <v>74866</v>
      </c>
      <c r="Q3">
        <v>73893</v>
      </c>
      <c r="R3">
        <v>79821</v>
      </c>
      <c r="S3">
        <v>83328</v>
      </c>
    </row>
    <row r="4" spans="1:19" x14ac:dyDescent="0.25">
      <c r="A4" s="6" t="s">
        <v>13</v>
      </c>
      <c r="B4">
        <v>101439</v>
      </c>
      <c r="C4">
        <v>105913</v>
      </c>
      <c r="D4">
        <v>110449</v>
      </c>
      <c r="E4">
        <v>109358</v>
      </c>
      <c r="F4">
        <v>82731</v>
      </c>
      <c r="G4">
        <v>81337</v>
      </c>
      <c r="H4">
        <v>85408</v>
      </c>
      <c r="I4">
        <v>89019</v>
      </c>
      <c r="K4" s="6" t="s">
        <v>31</v>
      </c>
      <c r="L4">
        <v>58299</v>
      </c>
      <c r="M4">
        <v>63590</v>
      </c>
      <c r="N4">
        <v>66450</v>
      </c>
      <c r="O4">
        <v>67156</v>
      </c>
      <c r="P4">
        <v>67255</v>
      </c>
      <c r="Q4">
        <v>60752</v>
      </c>
      <c r="R4">
        <v>59706</v>
      </c>
      <c r="S4">
        <v>63271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1599</v>
      </c>
      <c r="M5">
        <v>3023</v>
      </c>
      <c r="N5">
        <v>5738</v>
      </c>
      <c r="O5">
        <v>5148</v>
      </c>
      <c r="P5">
        <v>1866</v>
      </c>
      <c r="Q5">
        <v>2644</v>
      </c>
      <c r="R5">
        <v>2017</v>
      </c>
      <c r="S5">
        <v>3649</v>
      </c>
    </row>
    <row r="6" spans="1:19" x14ac:dyDescent="0.25">
      <c r="A6" s="6" t="s">
        <v>11</v>
      </c>
      <c r="B6" s="19">
        <f>L3/B4</f>
        <v>0.92831159613166536</v>
      </c>
      <c r="C6" s="19">
        <f t="shared" ref="C6:H6" si="1">M3/C4</f>
        <v>0.92637353299406111</v>
      </c>
      <c r="D6" s="19">
        <f t="shared" si="1"/>
        <v>0.93382466115582763</v>
      </c>
      <c r="E6" s="19">
        <f t="shared" si="1"/>
        <v>0.94923096618445835</v>
      </c>
      <c r="F6" s="19">
        <f t="shared" si="1"/>
        <v>0.90493285467358064</v>
      </c>
      <c r="G6" s="19">
        <f t="shared" si="1"/>
        <v>0.90847953575863383</v>
      </c>
      <c r="H6" s="19">
        <f t="shared" si="1"/>
        <v>0.93458458224053953</v>
      </c>
      <c r="I6" s="19">
        <f>S3/I4</f>
        <v>0.93606982778957304</v>
      </c>
      <c r="K6" s="36" t="s">
        <v>38</v>
      </c>
      <c r="L6">
        <v>24625</v>
      </c>
      <c r="M6">
        <v>21180</v>
      </c>
      <c r="N6">
        <v>22636</v>
      </c>
      <c r="O6">
        <v>26794</v>
      </c>
      <c r="P6">
        <v>25051</v>
      </c>
      <c r="Q6">
        <v>29626</v>
      </c>
      <c r="R6">
        <v>24789</v>
      </c>
      <c r="S6">
        <v>26738</v>
      </c>
    </row>
    <row r="7" spans="1:19" ht="15.75" x14ac:dyDescent="0.25">
      <c r="A7" s="5" t="s">
        <v>24</v>
      </c>
      <c r="K7" s="6" t="s">
        <v>33</v>
      </c>
      <c r="L7">
        <v>562</v>
      </c>
      <c r="M7">
        <v>595</v>
      </c>
      <c r="N7">
        <v>612</v>
      </c>
      <c r="O7">
        <v>738</v>
      </c>
      <c r="P7">
        <v>713</v>
      </c>
      <c r="Q7">
        <v>832</v>
      </c>
      <c r="R7">
        <v>845</v>
      </c>
      <c r="S7">
        <v>998</v>
      </c>
    </row>
    <row r="8" spans="1:19" x14ac:dyDescent="0.25">
      <c r="A8" s="6" t="s">
        <v>8</v>
      </c>
      <c r="B8" s="19">
        <f>(L2+L14-L4)/L2</f>
        <v>1.1926538594021445</v>
      </c>
      <c r="C8" s="19">
        <f t="shared" ref="C8:I8" si="2">(M2+M14-M4)/M2</f>
        <v>1.1181933815925544</v>
      </c>
      <c r="D8" s="19">
        <f t="shared" si="2"/>
        <v>0.87805989255699257</v>
      </c>
      <c r="E8" s="19">
        <f t="shared" si="2"/>
        <v>1.000972881174971</v>
      </c>
      <c r="F8" s="19">
        <f t="shared" si="2"/>
        <v>1.0533412133335198</v>
      </c>
      <c r="G8" s="19">
        <f t="shared" si="2"/>
        <v>1.0803444505194095</v>
      </c>
      <c r="H8" s="19">
        <f t="shared" si="2"/>
        <v>1.3019295831400963</v>
      </c>
      <c r="I8" s="19">
        <f t="shared" si="2"/>
        <v>1.5365693882141254</v>
      </c>
      <c r="K8" s="6" t="s">
        <v>37</v>
      </c>
      <c r="L8">
        <v>38601</v>
      </c>
      <c r="M8">
        <v>42323</v>
      </c>
      <c r="N8">
        <v>52886</v>
      </c>
      <c r="O8">
        <v>44766</v>
      </c>
      <c r="P8">
        <v>37297</v>
      </c>
      <c r="Q8">
        <v>37834</v>
      </c>
      <c r="R8">
        <v>34727</v>
      </c>
      <c r="S8">
        <v>38858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6607</v>
      </c>
      <c r="M9">
        <v>5968</v>
      </c>
      <c r="N9">
        <v>6353</v>
      </c>
      <c r="O9">
        <v>5837</v>
      </c>
      <c r="P9">
        <v>5017</v>
      </c>
      <c r="Q9">
        <v>5050</v>
      </c>
      <c r="R9">
        <v>4961</v>
      </c>
      <c r="S9">
        <v>5227</v>
      </c>
    </row>
    <row r="10" spans="1:19" x14ac:dyDescent="0.25">
      <c r="A10" s="6" t="s">
        <v>5</v>
      </c>
      <c r="B10">
        <v>24625</v>
      </c>
      <c r="C10">
        <v>21180</v>
      </c>
      <c r="D10">
        <v>22636</v>
      </c>
      <c r="E10">
        <v>26794</v>
      </c>
      <c r="F10">
        <v>25051</v>
      </c>
      <c r="G10">
        <v>29626</v>
      </c>
      <c r="H10">
        <v>24789</v>
      </c>
      <c r="I10">
        <v>26738</v>
      </c>
      <c r="K10" s="6" t="s">
        <v>35</v>
      </c>
      <c r="L10">
        <v>5467</v>
      </c>
      <c r="M10">
        <v>7161</v>
      </c>
      <c r="N10">
        <v>5598</v>
      </c>
      <c r="O10">
        <v>4830</v>
      </c>
      <c r="P10">
        <v>5592</v>
      </c>
      <c r="Q10">
        <v>607</v>
      </c>
      <c r="R10">
        <v>5000</v>
      </c>
      <c r="S10">
        <v>5564</v>
      </c>
    </row>
    <row r="11" spans="1:19" x14ac:dyDescent="0.25">
      <c r="A11" s="6" t="s">
        <v>7</v>
      </c>
      <c r="B11" s="19">
        <f>L6/L2</f>
        <v>0.18439615407655904</v>
      </c>
      <c r="C11" s="19">
        <f t="shared" ref="C11:I11" si="3">M6/M2</f>
        <v>0.14601861427094107</v>
      </c>
      <c r="D11" s="19">
        <f t="shared" si="3"/>
        <v>0.14239343767299079</v>
      </c>
      <c r="E11" s="19">
        <f t="shared" si="3"/>
        <v>0.17879473371636004</v>
      </c>
      <c r="F11" s="19">
        <f t="shared" si="3"/>
        <v>0.17520877337772245</v>
      </c>
      <c r="G11" s="19">
        <f t="shared" si="3"/>
        <v>0.21313055739403183</v>
      </c>
      <c r="H11" s="19">
        <f t="shared" si="3"/>
        <v>0.18846507667394</v>
      </c>
      <c r="I11" s="19">
        <f t="shared" si="3"/>
        <v>0.18793578497525865</v>
      </c>
      <c r="K11" s="6" t="s">
        <v>59</v>
      </c>
      <c r="L11">
        <v>43332</v>
      </c>
      <c r="M11">
        <v>46192</v>
      </c>
      <c r="N11">
        <v>38708</v>
      </c>
      <c r="O11">
        <v>37597</v>
      </c>
      <c r="P11">
        <v>36999</v>
      </c>
      <c r="Q11">
        <v>28893</v>
      </c>
      <c r="R11">
        <v>32627</v>
      </c>
      <c r="S11">
        <v>33960</v>
      </c>
    </row>
    <row r="12" spans="1:19" ht="15.75" x14ac:dyDescent="0.25">
      <c r="A12" s="5" t="s">
        <v>0</v>
      </c>
      <c r="K12" s="6" t="s">
        <v>56</v>
      </c>
      <c r="L12">
        <v>705.1</v>
      </c>
      <c r="M12">
        <v>705.1</v>
      </c>
      <c r="N12">
        <v>705.1</v>
      </c>
      <c r="O12">
        <v>705.1</v>
      </c>
      <c r="P12">
        <v>705.1</v>
      </c>
      <c r="Q12">
        <v>705.1</v>
      </c>
      <c r="R12">
        <v>705.1</v>
      </c>
      <c r="S12">
        <v>705.1</v>
      </c>
    </row>
    <row r="13" spans="1:19" x14ac:dyDescent="0.25">
      <c r="A13" s="6" t="s">
        <v>17</v>
      </c>
      <c r="B13" s="39">
        <f>L7/B4</f>
        <v>5.5402754364692079E-3</v>
      </c>
      <c r="C13" s="39">
        <f t="shared" ref="C13:I13" si="4">M7/C4</f>
        <v>5.6178183981192113E-3</v>
      </c>
      <c r="D13" s="39">
        <f t="shared" si="4"/>
        <v>5.5410189318146836E-3</v>
      </c>
      <c r="E13" s="39">
        <f t="shared" si="4"/>
        <v>6.7484774776422393E-3</v>
      </c>
      <c r="F13" s="39">
        <f t="shared" si="4"/>
        <v>8.6182930219627467E-3</v>
      </c>
      <c r="G13" s="39">
        <f t="shared" si="4"/>
        <v>1.0229047051157529E-2</v>
      </c>
      <c r="H13" s="39">
        <f t="shared" si="4"/>
        <v>9.8936867740726867E-3</v>
      </c>
      <c r="I13" s="39">
        <f t="shared" si="4"/>
        <v>1.1211089767353037E-2</v>
      </c>
      <c r="K13" s="6" t="s">
        <v>57</v>
      </c>
      <c r="L13">
        <v>119.17</v>
      </c>
      <c r="M13">
        <v>114.5</v>
      </c>
      <c r="N13">
        <v>66.75</v>
      </c>
      <c r="O13">
        <v>95.45</v>
      </c>
      <c r="P13">
        <v>106.2</v>
      </c>
      <c r="Q13">
        <v>102</v>
      </c>
      <c r="R13">
        <v>141</v>
      </c>
      <c r="S13">
        <v>198</v>
      </c>
    </row>
    <row r="14" spans="1:19" x14ac:dyDescent="0.25">
      <c r="A14" s="6" t="s">
        <v>15</v>
      </c>
      <c r="B14" s="19">
        <f>L8/L4</f>
        <v>0.66212113415324447</v>
      </c>
      <c r="C14" s="19">
        <f t="shared" ref="C14:I14" si="5">M8/M4</f>
        <v>0.6655606227394244</v>
      </c>
      <c r="D14" s="19">
        <f t="shared" si="5"/>
        <v>0.79587659894657636</v>
      </c>
      <c r="E14" s="19">
        <f t="shared" si="5"/>
        <v>0.66659717672285423</v>
      </c>
      <c r="F14" s="19">
        <f t="shared" si="5"/>
        <v>0.55456099918221691</v>
      </c>
      <c r="G14" s="19">
        <f t="shared" si="5"/>
        <v>0.62276139057150381</v>
      </c>
      <c r="H14" s="19">
        <f t="shared" si="5"/>
        <v>0.58163333668308048</v>
      </c>
      <c r="I14" s="19">
        <f t="shared" si="5"/>
        <v>0.61415182311011363</v>
      </c>
      <c r="K14" s="6" t="s">
        <v>32</v>
      </c>
      <c r="L14" s="27">
        <f>L12*L13</f>
        <v>84026.767000000007</v>
      </c>
      <c r="M14" s="27">
        <f t="shared" ref="M14:S14" si="6">M12*M13</f>
        <v>80733.95</v>
      </c>
      <c r="N14" s="27">
        <f t="shared" si="6"/>
        <v>47065.425000000003</v>
      </c>
      <c r="O14" s="27">
        <f t="shared" si="6"/>
        <v>67301.794999999998</v>
      </c>
      <c r="P14" s="27">
        <f t="shared" si="6"/>
        <v>74881.62000000001</v>
      </c>
      <c r="Q14" s="27">
        <f t="shared" si="6"/>
        <v>71920.2</v>
      </c>
      <c r="R14" s="27">
        <f t="shared" si="6"/>
        <v>99419.1</v>
      </c>
      <c r="S14" s="27">
        <f t="shared" si="6"/>
        <v>139609.80000000002</v>
      </c>
    </row>
    <row r="15" spans="1:19" x14ac:dyDescent="0.25">
      <c r="A15" s="6" t="s">
        <v>45</v>
      </c>
      <c r="B15" s="19">
        <f>L5/L11</f>
        <v>3.6901135419551367E-2</v>
      </c>
      <c r="C15" s="19">
        <f t="shared" ref="C15:I15" si="7">M5/M11</f>
        <v>6.5444232767578797E-2</v>
      </c>
      <c r="D15" s="19">
        <f t="shared" si="7"/>
        <v>0.14823809031724708</v>
      </c>
      <c r="E15" s="19">
        <f t="shared" si="7"/>
        <v>0.13692581854935235</v>
      </c>
      <c r="F15" s="19">
        <f t="shared" si="7"/>
        <v>5.0433795507986705E-2</v>
      </c>
      <c r="G15" s="19">
        <f t="shared" si="7"/>
        <v>9.1510054338421076E-2</v>
      </c>
      <c r="H15" s="19">
        <f t="shared" si="7"/>
        <v>6.1819965059613201E-2</v>
      </c>
      <c r="I15" s="19">
        <f t="shared" si="7"/>
        <v>0.10744994110718492</v>
      </c>
    </row>
    <row r="16" spans="1:19" x14ac:dyDescent="0.25">
      <c r="A16" s="6" t="s">
        <v>16</v>
      </c>
      <c r="B16" s="18">
        <f>L9/B4</f>
        <v>6.5132739873224307E-2</v>
      </c>
      <c r="C16" s="18">
        <f t="shared" ref="C16:I16" si="8">M9/C4</f>
        <v>5.6348134789874708E-2</v>
      </c>
      <c r="D16" s="18">
        <f t="shared" si="8"/>
        <v>5.7519760251337725E-2</v>
      </c>
      <c r="E16" s="18">
        <f t="shared" si="8"/>
        <v>5.3375153166663622E-2</v>
      </c>
      <c r="F16" s="18">
        <f t="shared" si="8"/>
        <v>6.0642322708537311E-2</v>
      </c>
      <c r="G16" s="18">
        <f t="shared" si="8"/>
        <v>6.2087364913876834E-2</v>
      </c>
      <c r="H16" s="18">
        <f t="shared" si="8"/>
        <v>5.8085893593106029E-2</v>
      </c>
      <c r="I16" s="18">
        <f t="shared" si="8"/>
        <v>5.8717801817589503E-2</v>
      </c>
    </row>
    <row r="17" spans="1:9" x14ac:dyDescent="0.25">
      <c r="A17" s="6" t="s">
        <v>9</v>
      </c>
      <c r="B17" s="18">
        <f>L10/L2</f>
        <v>4.0937818247169473E-2</v>
      </c>
      <c r="C17" s="18">
        <f t="shared" ref="C17:I17" si="9">M10/M2</f>
        <v>4.9369183040330923E-2</v>
      </c>
      <c r="D17" s="18">
        <f t="shared" si="9"/>
        <v>3.5214634391827287E-2</v>
      </c>
      <c r="E17" s="18">
        <f t="shared" si="9"/>
        <v>3.2230296478689968E-2</v>
      </c>
      <c r="F17" s="18">
        <f t="shared" si="9"/>
        <v>3.911091216830561E-2</v>
      </c>
      <c r="G17" s="18">
        <f t="shared" si="9"/>
        <v>4.3667808120629618E-3</v>
      </c>
      <c r="H17" s="18">
        <f t="shared" si="9"/>
        <v>3.8013852247759085E-2</v>
      </c>
      <c r="I17" s="18">
        <f t="shared" si="9"/>
        <v>3.9108187134502925E-2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-333</v>
      </c>
      <c r="C20">
        <v>-268</v>
      </c>
      <c r="D20">
        <v>504</v>
      </c>
      <c r="E20">
        <v>1498</v>
      </c>
      <c r="F20">
        <v>5105</v>
      </c>
      <c r="G20">
        <v>-713</v>
      </c>
      <c r="H20">
        <v>641</v>
      </c>
      <c r="I20">
        <v>-471</v>
      </c>
    </row>
    <row r="21" spans="1:9" x14ac:dyDescent="0.25">
      <c r="A21" s="28" t="s">
        <v>73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B8" sqref="B8:I8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35720</v>
      </c>
      <c r="M2">
        <v>39185</v>
      </c>
      <c r="N2">
        <v>35718</v>
      </c>
      <c r="O2">
        <v>32796</v>
      </c>
      <c r="P2">
        <v>32884</v>
      </c>
      <c r="Q2">
        <v>36665</v>
      </c>
      <c r="R2">
        <v>38457</v>
      </c>
      <c r="S2">
        <v>37237</v>
      </c>
    </row>
    <row r="3" spans="1:19" x14ac:dyDescent="0.25">
      <c r="A3" s="6" t="s">
        <v>10</v>
      </c>
      <c r="B3" s="19">
        <f>LN(L2)</f>
        <v>10.483466034990435</v>
      </c>
      <c r="C3" s="19">
        <f t="shared" ref="C3:I3" si="0">LN(M2)</f>
        <v>10.576049299486964</v>
      </c>
      <c r="D3" s="19">
        <f t="shared" si="0"/>
        <v>10.483410042381445</v>
      </c>
      <c r="E3" s="19">
        <f t="shared" si="0"/>
        <v>10.398061835716069</v>
      </c>
      <c r="F3" s="19">
        <f t="shared" si="0"/>
        <v>10.400741496272024</v>
      </c>
      <c r="G3" s="19">
        <f t="shared" si="0"/>
        <v>10.5095779005279</v>
      </c>
      <c r="H3" s="19">
        <f t="shared" si="0"/>
        <v>10.557296012980244</v>
      </c>
      <c r="I3" s="19">
        <f t="shared" si="0"/>
        <v>10.525058169606785</v>
      </c>
      <c r="K3" s="6" t="s">
        <v>30</v>
      </c>
      <c r="L3">
        <v>55955</v>
      </c>
      <c r="M3">
        <v>57859</v>
      </c>
      <c r="N3">
        <v>52957</v>
      </c>
      <c r="O3">
        <v>58853</v>
      </c>
      <c r="P3">
        <v>57302</v>
      </c>
      <c r="Q3">
        <v>59924</v>
      </c>
      <c r="R3">
        <v>62232</v>
      </c>
      <c r="S3">
        <v>61477</v>
      </c>
    </row>
    <row r="4" spans="1:19" x14ac:dyDescent="0.25">
      <c r="A4" s="6" t="s">
        <v>13</v>
      </c>
      <c r="B4">
        <v>60523</v>
      </c>
      <c r="C4">
        <v>62907</v>
      </c>
      <c r="D4">
        <v>56571</v>
      </c>
      <c r="E4">
        <v>62666</v>
      </c>
      <c r="F4">
        <v>61339</v>
      </c>
      <c r="G4">
        <v>64057</v>
      </c>
      <c r="H4">
        <v>66458</v>
      </c>
      <c r="I4">
        <v>65700</v>
      </c>
      <c r="K4" s="6" t="s">
        <v>31</v>
      </c>
      <c r="L4">
        <v>9602</v>
      </c>
      <c r="M4">
        <v>8812</v>
      </c>
      <c r="N4">
        <v>8501</v>
      </c>
      <c r="O4">
        <v>8812</v>
      </c>
      <c r="P4">
        <v>8935</v>
      </c>
      <c r="Q4">
        <v>9204</v>
      </c>
      <c r="R4">
        <v>8588</v>
      </c>
      <c r="S4">
        <v>9365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1668</v>
      </c>
      <c r="M5">
        <v>4351</v>
      </c>
      <c r="N5">
        <v>3952</v>
      </c>
      <c r="O5">
        <v>2497</v>
      </c>
      <c r="P5">
        <v>2587</v>
      </c>
      <c r="Q5">
        <v>2507</v>
      </c>
      <c r="R5">
        <v>4880</v>
      </c>
      <c r="S5">
        <v>4049</v>
      </c>
    </row>
    <row r="6" spans="1:19" x14ac:dyDescent="0.25">
      <c r="A6" s="6" t="s">
        <v>11</v>
      </c>
      <c r="B6" s="19">
        <f>L3/B4</f>
        <v>0.9245245609107281</v>
      </c>
      <c r="C6" s="19">
        <f t="shared" ref="C6:I6" si="1">M3/C4</f>
        <v>0.91975455831624464</v>
      </c>
      <c r="D6" s="19">
        <f t="shared" si="1"/>
        <v>0.93611567764402259</v>
      </c>
      <c r="E6" s="19">
        <f t="shared" si="1"/>
        <v>0.93915360801710657</v>
      </c>
      <c r="F6" s="19">
        <f t="shared" si="1"/>
        <v>0.93418542852019104</v>
      </c>
      <c r="G6" s="19">
        <f t="shared" si="1"/>
        <v>0.93547933871395783</v>
      </c>
      <c r="H6" s="19">
        <f t="shared" si="1"/>
        <v>0.93641096632459597</v>
      </c>
      <c r="I6" s="19">
        <f t="shared" si="1"/>
        <v>0.9357229832572298</v>
      </c>
      <c r="K6" s="36" t="s">
        <v>38</v>
      </c>
      <c r="L6">
        <v>4890</v>
      </c>
      <c r="M6">
        <v>4589</v>
      </c>
      <c r="N6">
        <v>1666</v>
      </c>
      <c r="O6">
        <v>1646</v>
      </c>
      <c r="P6">
        <v>2001</v>
      </c>
      <c r="Q6">
        <v>2105</v>
      </c>
      <c r="R6">
        <v>1386</v>
      </c>
      <c r="S6">
        <v>1754</v>
      </c>
    </row>
    <row r="7" spans="1:19" ht="15.75" x14ac:dyDescent="0.25">
      <c r="A7" s="5" t="s">
        <v>24</v>
      </c>
      <c r="K7" s="6" t="s">
        <v>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6" t="s">
        <v>8</v>
      </c>
      <c r="B8" s="19">
        <f>(L2+L14-L4)/L2</f>
        <v>1.6579955207166854</v>
      </c>
      <c r="C8" s="19">
        <f t="shared" ref="C8:I8" si="2">(M2+M14-M4)/M2</f>
        <v>1.4821487814214622</v>
      </c>
      <c r="D8" s="19">
        <f t="shared" si="2"/>
        <v>1.4161879164566886</v>
      </c>
      <c r="E8" s="19">
        <f t="shared" si="2"/>
        <v>1.511137181363581</v>
      </c>
      <c r="F8" s="19">
        <f t="shared" si="2"/>
        <v>1.6015118294611363</v>
      </c>
      <c r="G8" s="19">
        <f t="shared" si="2"/>
        <v>1.3404592936042548</v>
      </c>
      <c r="H8" s="19">
        <f t="shared" si="2"/>
        <v>1.3149795875913357</v>
      </c>
      <c r="I8" s="19">
        <f t="shared" si="2"/>
        <v>1.4186584579853372</v>
      </c>
      <c r="K8" s="6" t="s">
        <v>37</v>
      </c>
      <c r="L8">
        <v>11945</v>
      </c>
      <c r="M8">
        <v>9735</v>
      </c>
      <c r="N8">
        <v>9878</v>
      </c>
      <c r="O8">
        <v>9412</v>
      </c>
      <c r="P8">
        <v>8387</v>
      </c>
      <c r="Q8">
        <v>8208</v>
      </c>
      <c r="R8">
        <v>10348</v>
      </c>
      <c r="S8">
        <v>9864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666.7</v>
      </c>
      <c r="M9">
        <v>838.1</v>
      </c>
      <c r="N9">
        <v>977</v>
      </c>
      <c r="O9">
        <v>950.7</v>
      </c>
      <c r="P9">
        <v>901.9</v>
      </c>
      <c r="Q9">
        <v>1009.8</v>
      </c>
      <c r="R9">
        <v>1039.2</v>
      </c>
      <c r="S9">
        <v>804</v>
      </c>
    </row>
    <row r="10" spans="1:19" x14ac:dyDescent="0.25">
      <c r="A10" s="6" t="s">
        <v>5</v>
      </c>
      <c r="B10">
        <v>4890</v>
      </c>
      <c r="C10">
        <v>4589</v>
      </c>
      <c r="D10">
        <v>1666</v>
      </c>
      <c r="E10">
        <v>1646</v>
      </c>
      <c r="F10">
        <v>2001</v>
      </c>
      <c r="G10">
        <v>2105</v>
      </c>
      <c r="H10">
        <v>1386</v>
      </c>
      <c r="I10">
        <v>1754</v>
      </c>
      <c r="K10" s="6" t="s">
        <v>35</v>
      </c>
      <c r="L10">
        <v>852</v>
      </c>
      <c r="M10">
        <v>526</v>
      </c>
      <c r="N10">
        <v>2321</v>
      </c>
      <c r="O10">
        <v>2118</v>
      </c>
      <c r="P10">
        <v>2080</v>
      </c>
      <c r="Q10">
        <v>1708</v>
      </c>
      <c r="R10">
        <v>1174</v>
      </c>
      <c r="S10">
        <v>1856</v>
      </c>
    </row>
    <row r="11" spans="1:19" x14ac:dyDescent="0.25">
      <c r="A11" s="6" t="s">
        <v>7</v>
      </c>
      <c r="B11" s="18">
        <f>B10/L2</f>
        <v>0.13689809630459127</v>
      </c>
      <c r="C11" s="18">
        <f t="shared" ref="C11:I11" si="3">C10/M2</f>
        <v>0.11711113946663264</v>
      </c>
      <c r="D11" s="18">
        <f t="shared" si="3"/>
        <v>4.6643149112492302E-2</v>
      </c>
      <c r="E11" s="18">
        <f t="shared" si="3"/>
        <v>5.0189047444810342E-2</v>
      </c>
      <c r="F11" s="18">
        <f t="shared" si="3"/>
        <v>6.0850261525361875E-2</v>
      </c>
      <c r="G11" s="18">
        <f t="shared" si="3"/>
        <v>5.7411700531842358E-2</v>
      </c>
      <c r="H11" s="18">
        <f t="shared" si="3"/>
        <v>3.6040252749824482E-2</v>
      </c>
      <c r="I11" s="18">
        <f t="shared" si="3"/>
        <v>4.7103687192845828E-2</v>
      </c>
      <c r="K11" s="6" t="s">
        <v>59</v>
      </c>
      <c r="L11">
        <v>17305</v>
      </c>
      <c r="M11">
        <v>20036</v>
      </c>
      <c r="N11">
        <v>17050</v>
      </c>
      <c r="O11">
        <v>12797</v>
      </c>
      <c r="P11">
        <v>13897</v>
      </c>
      <c r="Q11">
        <v>15229</v>
      </c>
      <c r="R11">
        <v>17459</v>
      </c>
      <c r="S11">
        <v>13395</v>
      </c>
    </row>
    <row r="12" spans="1:19" ht="15.75" x14ac:dyDescent="0.25">
      <c r="A12" s="5" t="s">
        <v>0</v>
      </c>
      <c r="K12" s="6" t="s">
        <v>56</v>
      </c>
      <c r="L12">
        <v>376.2</v>
      </c>
      <c r="M12">
        <v>369.4</v>
      </c>
      <c r="N12">
        <v>365.1</v>
      </c>
      <c r="O12">
        <v>365.1</v>
      </c>
      <c r="P12">
        <v>365.1</v>
      </c>
      <c r="Q12">
        <v>365.1</v>
      </c>
      <c r="R12">
        <v>365.1</v>
      </c>
      <c r="S12">
        <v>365.1</v>
      </c>
    </row>
    <row r="13" spans="1:19" x14ac:dyDescent="0.25">
      <c r="A13" s="6" t="s">
        <v>17</v>
      </c>
      <c r="B13">
        <f>L7/B4</f>
        <v>0</v>
      </c>
      <c r="C13">
        <f t="shared" ref="C13:I13" si="4">M7/C4</f>
        <v>0</v>
      </c>
      <c r="D13">
        <f t="shared" si="4"/>
        <v>0</v>
      </c>
      <c r="E13">
        <f t="shared" si="4"/>
        <v>0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0</v>
      </c>
      <c r="K13" s="6" t="s">
        <v>57</v>
      </c>
      <c r="L13">
        <v>88</v>
      </c>
      <c r="M13">
        <v>75</v>
      </c>
      <c r="N13">
        <v>64</v>
      </c>
      <c r="O13">
        <v>70.05</v>
      </c>
      <c r="P13">
        <v>78.650000000000006</v>
      </c>
      <c r="Q13">
        <v>59.4</v>
      </c>
      <c r="R13">
        <v>56.7</v>
      </c>
      <c r="S13">
        <v>68.349999999999994</v>
      </c>
    </row>
    <row r="14" spans="1:19" x14ac:dyDescent="0.25">
      <c r="A14" s="6" t="s">
        <v>15</v>
      </c>
      <c r="B14" s="19">
        <f>L8/L4</f>
        <v>1.2440116642366175</v>
      </c>
      <c r="C14" s="19">
        <f t="shared" ref="C14:I14" si="5">M8/M4</f>
        <v>1.1047435315478893</v>
      </c>
      <c r="D14" s="19">
        <f t="shared" si="5"/>
        <v>1.1619809434184214</v>
      </c>
      <c r="E14" s="19">
        <f t="shared" si="5"/>
        <v>1.0680889695869269</v>
      </c>
      <c r="F14" s="19">
        <f t="shared" si="5"/>
        <v>0.93866815892557354</v>
      </c>
      <c r="G14" s="19">
        <f t="shared" si="5"/>
        <v>0.89178617992177311</v>
      </c>
      <c r="H14" s="19">
        <f t="shared" si="5"/>
        <v>1.2049371215649745</v>
      </c>
      <c r="I14" s="19">
        <f t="shared" si="5"/>
        <v>1.0532835024025626</v>
      </c>
      <c r="K14" s="6" t="s">
        <v>32</v>
      </c>
      <c r="L14" s="27">
        <f>L12*L13</f>
        <v>33105.599999999999</v>
      </c>
      <c r="M14" s="27">
        <f t="shared" ref="M14:S14" si="6">M12*M13</f>
        <v>27705</v>
      </c>
      <c r="N14" s="27">
        <f t="shared" si="6"/>
        <v>23366.400000000001</v>
      </c>
      <c r="O14" s="27">
        <f t="shared" si="6"/>
        <v>25575.255000000001</v>
      </c>
      <c r="P14" s="27">
        <f t="shared" si="6"/>
        <v>28715.115000000005</v>
      </c>
      <c r="Q14" s="27">
        <f t="shared" si="6"/>
        <v>21686.940000000002</v>
      </c>
      <c r="R14" s="27">
        <f t="shared" si="6"/>
        <v>20701.170000000002</v>
      </c>
      <c r="S14" s="27">
        <f t="shared" si="6"/>
        <v>24954.584999999999</v>
      </c>
    </row>
    <row r="15" spans="1:19" x14ac:dyDescent="0.25">
      <c r="A15" s="6" t="s">
        <v>45</v>
      </c>
      <c r="B15" s="19">
        <f>L5/L11</f>
        <v>9.6388327073100258E-2</v>
      </c>
      <c r="C15" s="19">
        <f t="shared" ref="C15:I15" si="7">M5/M11</f>
        <v>0.21715911359552806</v>
      </c>
      <c r="D15" s="19">
        <f t="shared" si="7"/>
        <v>0.23178885630498533</v>
      </c>
      <c r="E15" s="19">
        <f t="shared" si="7"/>
        <v>0.19512385715402047</v>
      </c>
      <c r="F15" s="19">
        <f t="shared" si="7"/>
        <v>0.18615528531337699</v>
      </c>
      <c r="G15" s="19">
        <f t="shared" si="7"/>
        <v>0.1646201326416705</v>
      </c>
      <c r="H15" s="19">
        <f t="shared" si="7"/>
        <v>0.27951199954178363</v>
      </c>
      <c r="I15" s="19">
        <f t="shared" si="7"/>
        <v>0.30227696901829043</v>
      </c>
    </row>
    <row r="16" spans="1:19" x14ac:dyDescent="0.25">
      <c r="A16" s="6" t="s">
        <v>16</v>
      </c>
      <c r="B16" s="18">
        <f>L9/B4</f>
        <v>1.1015646944136941E-2</v>
      </c>
      <c r="C16" s="18">
        <f t="shared" ref="C16:I16" si="8">M9/C4</f>
        <v>1.3322841655141717E-2</v>
      </c>
      <c r="D16" s="18">
        <f t="shared" si="8"/>
        <v>1.7270332856056992E-2</v>
      </c>
      <c r="E16" s="18">
        <f t="shared" si="8"/>
        <v>1.5170906073468868E-2</v>
      </c>
      <c r="F16" s="18">
        <f t="shared" si="8"/>
        <v>1.4703532825771531E-2</v>
      </c>
      <c r="G16" s="18">
        <f t="shared" si="8"/>
        <v>1.5764085111697395E-2</v>
      </c>
      <c r="H16" s="18">
        <f t="shared" si="8"/>
        <v>1.5636943633573083E-2</v>
      </c>
      <c r="I16" s="18">
        <f t="shared" si="8"/>
        <v>1.223744292237443E-2</v>
      </c>
    </row>
    <row r="17" spans="1:9" x14ac:dyDescent="0.25">
      <c r="A17" s="6" t="s">
        <v>9</v>
      </c>
      <c r="B17" s="18">
        <f>L10/L2</f>
        <v>2.38521836506159E-2</v>
      </c>
      <c r="C17" s="18">
        <f t="shared" ref="C17:I17" si="9">M10/M2</f>
        <v>1.342350389179533E-2</v>
      </c>
      <c r="D17" s="18">
        <f t="shared" si="9"/>
        <v>6.4981241950837113E-2</v>
      </c>
      <c r="E17" s="18">
        <f t="shared" si="9"/>
        <v>6.4581046469081596E-2</v>
      </c>
      <c r="F17" s="18">
        <f t="shared" si="9"/>
        <v>6.3252645663544577E-2</v>
      </c>
      <c r="G17" s="18">
        <f t="shared" si="9"/>
        <v>4.6583935633437885E-2</v>
      </c>
      <c r="H17" s="18">
        <f t="shared" si="9"/>
        <v>3.0527602257066334E-2</v>
      </c>
      <c r="I17" s="18">
        <f t="shared" si="9"/>
        <v>4.9842898192657838E-2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-341</v>
      </c>
      <c r="C20">
        <v>54.3</v>
      </c>
      <c r="D20">
        <v>-263</v>
      </c>
      <c r="E20">
        <v>311.7</v>
      </c>
      <c r="F20">
        <v>414.2</v>
      </c>
      <c r="G20">
        <v>39.299999999999997</v>
      </c>
      <c r="H20">
        <v>-2.8</v>
      </c>
      <c r="I20">
        <v>-197.4</v>
      </c>
    </row>
    <row r="21" spans="1:9" x14ac:dyDescent="0.25">
      <c r="A21" s="28" t="s">
        <v>73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B8" sqref="B8:I8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71307</v>
      </c>
      <c r="M2">
        <v>78941</v>
      </c>
      <c r="N2">
        <v>86869</v>
      </c>
      <c r="O2">
        <v>83765</v>
      </c>
      <c r="P2">
        <v>77712</v>
      </c>
      <c r="Q2">
        <v>82770</v>
      </c>
      <c r="R2">
        <v>69715</v>
      </c>
      <c r="S2">
        <v>87532</v>
      </c>
    </row>
    <row r="3" spans="1:19" x14ac:dyDescent="0.25">
      <c r="A3" s="6" t="s">
        <v>10</v>
      </c>
      <c r="B3" s="19">
        <f>LN(L2)</f>
        <v>11.174749778301461</v>
      </c>
      <c r="C3" s="19">
        <f t="shared" ref="C3:I3" si="0">LN(M2)</f>
        <v>11.2764560169856</v>
      </c>
      <c r="D3" s="19">
        <f t="shared" si="0"/>
        <v>11.372156515733812</v>
      </c>
      <c r="E3" s="19">
        <f t="shared" si="0"/>
        <v>11.335770538127633</v>
      </c>
      <c r="F3" s="19">
        <f t="shared" si="0"/>
        <v>11.260764964585526</v>
      </c>
      <c r="G3" s="19">
        <f t="shared" si="0"/>
        <v>11.323820955879441</v>
      </c>
      <c r="H3" s="19">
        <f t="shared" si="0"/>
        <v>11.152170781629122</v>
      </c>
      <c r="I3" s="19">
        <f t="shared" si="0"/>
        <v>11.379759719774251</v>
      </c>
      <c r="K3" s="6" t="s">
        <v>30</v>
      </c>
      <c r="L3">
        <v>94587</v>
      </c>
      <c r="M3">
        <v>102139</v>
      </c>
      <c r="N3">
        <v>109234</v>
      </c>
      <c r="O3">
        <v>111826</v>
      </c>
      <c r="P3">
        <v>93972</v>
      </c>
      <c r="Q3">
        <v>88219</v>
      </c>
      <c r="R3">
        <v>98290</v>
      </c>
      <c r="S3">
        <v>102921</v>
      </c>
    </row>
    <row r="4" spans="1:19" x14ac:dyDescent="0.25">
      <c r="A4" s="6" t="s">
        <v>13</v>
      </c>
      <c r="B4">
        <v>125603</v>
      </c>
      <c r="C4">
        <v>138781</v>
      </c>
      <c r="D4">
        <v>143674</v>
      </c>
      <c r="E4">
        <v>139124</v>
      </c>
      <c r="F4">
        <v>122224</v>
      </c>
      <c r="G4">
        <v>118734</v>
      </c>
      <c r="H4">
        <v>129350</v>
      </c>
      <c r="I4">
        <v>136488</v>
      </c>
      <c r="K4" s="6" t="s">
        <v>31</v>
      </c>
      <c r="L4">
        <v>19337</v>
      </c>
      <c r="M4">
        <v>20724</v>
      </c>
      <c r="N4">
        <v>18553</v>
      </c>
      <c r="O4">
        <v>20167</v>
      </c>
      <c r="P4">
        <v>20792</v>
      </c>
      <c r="Q4">
        <v>19583</v>
      </c>
      <c r="R4">
        <v>19353</v>
      </c>
      <c r="S4">
        <v>21339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10970</v>
      </c>
      <c r="M5">
        <v>14209</v>
      </c>
      <c r="N5">
        <v>7881</v>
      </c>
      <c r="O5">
        <v>9409</v>
      </c>
      <c r="P5">
        <v>6654</v>
      </c>
      <c r="Q5">
        <v>5309</v>
      </c>
      <c r="R5">
        <v>5770</v>
      </c>
      <c r="S5">
        <v>7271</v>
      </c>
    </row>
    <row r="6" spans="1:19" x14ac:dyDescent="0.25">
      <c r="A6" s="6" t="s">
        <v>11</v>
      </c>
      <c r="B6" s="19">
        <f>L3/B4</f>
        <v>0.7530632230121892</v>
      </c>
      <c r="C6" s="19">
        <f t="shared" ref="C6:I6" si="1">M3/C4</f>
        <v>0.73597250344067267</v>
      </c>
      <c r="D6" s="19">
        <f t="shared" si="1"/>
        <v>0.76029065801745621</v>
      </c>
      <c r="E6" s="19">
        <f t="shared" si="1"/>
        <v>0.80378655012794342</v>
      </c>
      <c r="F6" s="19">
        <f t="shared" si="1"/>
        <v>0.76885063489985606</v>
      </c>
      <c r="G6" s="19">
        <f t="shared" si="1"/>
        <v>0.74299695116815745</v>
      </c>
      <c r="H6" s="19">
        <f t="shared" si="1"/>
        <v>0.75987630459992273</v>
      </c>
      <c r="I6" s="19">
        <f t="shared" si="1"/>
        <v>0.75406629154211358</v>
      </c>
      <c r="K6" s="36" t="s">
        <v>38</v>
      </c>
      <c r="L6">
        <v>4939</v>
      </c>
      <c r="M6">
        <v>5234</v>
      </c>
      <c r="N6">
        <v>6204</v>
      </c>
      <c r="O6">
        <v>11456</v>
      </c>
      <c r="P6">
        <v>12133</v>
      </c>
      <c r="Q6">
        <v>10796</v>
      </c>
      <c r="R6">
        <v>9785</v>
      </c>
      <c r="S6">
        <v>6698</v>
      </c>
    </row>
    <row r="7" spans="1:19" ht="15.75" x14ac:dyDescent="0.25">
      <c r="A7" s="5" t="s">
        <v>24</v>
      </c>
      <c r="K7" s="6" t="s">
        <v>33</v>
      </c>
      <c r="L7">
        <v>72</v>
      </c>
      <c r="M7">
        <v>75</v>
      </c>
      <c r="N7">
        <v>70</v>
      </c>
      <c r="O7">
        <v>58</v>
      </c>
      <c r="P7">
        <v>43</v>
      </c>
      <c r="Q7">
        <v>42</v>
      </c>
      <c r="R7">
        <v>114</v>
      </c>
      <c r="S7">
        <v>210</v>
      </c>
    </row>
    <row r="8" spans="1:19" x14ac:dyDescent="0.25">
      <c r="A8" s="6" t="s">
        <v>8</v>
      </c>
      <c r="B8" s="19">
        <f>(L2+L14-L4)/L2</f>
        <v>1.5211690296885299</v>
      </c>
      <c r="C8" s="19">
        <f t="shared" ref="C8:I8" si="2">(M2+M14-M4)/M2</f>
        <v>1.3847937066923399</v>
      </c>
      <c r="D8" s="19">
        <f t="shared" si="2"/>
        <v>1.1570986197607893</v>
      </c>
      <c r="E8" s="19">
        <f t="shared" si="2"/>
        <v>1.3585387691756701</v>
      </c>
      <c r="F8" s="19">
        <f t="shared" si="2"/>
        <v>1.4376158122297715</v>
      </c>
      <c r="G8" s="19">
        <f t="shared" si="2"/>
        <v>1.3300350368490998</v>
      </c>
      <c r="H8" s="19">
        <f t="shared" si="2"/>
        <v>1.3492361758588538</v>
      </c>
      <c r="I8" s="19">
        <f t="shared" si="2"/>
        <v>1.3731321116848696</v>
      </c>
      <c r="K8" s="6" t="s">
        <v>37</v>
      </c>
      <c r="L8">
        <v>15441</v>
      </c>
      <c r="M8">
        <v>19415</v>
      </c>
      <c r="N8">
        <v>13454</v>
      </c>
      <c r="O8">
        <v>15770</v>
      </c>
      <c r="P8">
        <v>14845</v>
      </c>
      <c r="Q8">
        <v>13510</v>
      </c>
      <c r="R8">
        <v>13212</v>
      </c>
      <c r="S8">
        <v>14965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2014</v>
      </c>
      <c r="M9">
        <v>1966</v>
      </c>
      <c r="N9">
        <v>2536</v>
      </c>
      <c r="O9">
        <v>1718</v>
      </c>
      <c r="P9">
        <v>2020</v>
      </c>
      <c r="Q9">
        <v>2206</v>
      </c>
      <c r="R9">
        <v>2568</v>
      </c>
      <c r="S9">
        <v>2190</v>
      </c>
    </row>
    <row r="10" spans="1:19" x14ac:dyDescent="0.25">
      <c r="A10" s="6" t="s">
        <v>5</v>
      </c>
      <c r="B10">
        <v>4939</v>
      </c>
      <c r="C10">
        <v>5234</v>
      </c>
      <c r="D10">
        <v>6204</v>
      </c>
      <c r="E10">
        <v>11456</v>
      </c>
      <c r="F10">
        <v>12133</v>
      </c>
      <c r="G10">
        <v>10796</v>
      </c>
      <c r="H10">
        <v>9785</v>
      </c>
      <c r="I10">
        <v>6698</v>
      </c>
      <c r="K10" s="6" t="s">
        <v>35</v>
      </c>
      <c r="L10">
        <v>3655</v>
      </c>
      <c r="M10">
        <v>4121</v>
      </c>
      <c r="N10">
        <v>3157</v>
      </c>
      <c r="O10">
        <v>4221</v>
      </c>
      <c r="P10">
        <v>4028</v>
      </c>
      <c r="Q10">
        <v>7595</v>
      </c>
      <c r="R10">
        <v>2861</v>
      </c>
      <c r="S10">
        <v>3769</v>
      </c>
    </row>
    <row r="11" spans="1:19" x14ac:dyDescent="0.25">
      <c r="A11" s="6" t="s">
        <v>7</v>
      </c>
      <c r="B11" s="18">
        <f>B10/L2</f>
        <v>6.9263887135905311E-2</v>
      </c>
      <c r="C11" s="18">
        <f t="shared" ref="C11:I11" si="3">C10/M2</f>
        <v>6.6302681749661141E-2</v>
      </c>
      <c r="D11" s="18">
        <f t="shared" si="3"/>
        <v>7.141788209833197E-2</v>
      </c>
      <c r="E11" s="18">
        <f t="shared" si="3"/>
        <v>0.13676356473467438</v>
      </c>
      <c r="F11" s="18">
        <f t="shared" si="3"/>
        <v>0.15612775375746346</v>
      </c>
      <c r="G11" s="18">
        <f t="shared" si="3"/>
        <v>0.13043373202851274</v>
      </c>
      <c r="H11" s="18">
        <f t="shared" si="3"/>
        <v>0.14035716847163451</v>
      </c>
      <c r="I11" s="18">
        <f t="shared" si="3"/>
        <v>7.6520586756843215E-2</v>
      </c>
      <c r="K11" s="6" t="s">
        <v>59</v>
      </c>
      <c r="L11">
        <v>45364</v>
      </c>
      <c r="M11">
        <v>53948</v>
      </c>
      <c r="N11">
        <v>62425</v>
      </c>
      <c r="O11">
        <v>57879</v>
      </c>
      <c r="P11">
        <v>52932</v>
      </c>
      <c r="Q11">
        <v>57151</v>
      </c>
      <c r="R11">
        <v>59385</v>
      </c>
      <c r="S11">
        <v>55273</v>
      </c>
    </row>
    <row r="12" spans="1:19" ht="15.75" x14ac:dyDescent="0.25">
      <c r="A12" s="5" t="s">
        <v>0</v>
      </c>
      <c r="K12" s="6" t="s">
        <v>56</v>
      </c>
      <c r="S12" s="19"/>
    </row>
    <row r="13" spans="1:19" x14ac:dyDescent="0.25">
      <c r="A13" s="6" t="s">
        <v>17</v>
      </c>
      <c r="B13" s="38">
        <f>L7/B4</f>
        <v>5.7323471573131216E-4</v>
      </c>
      <c r="C13" s="38">
        <f t="shared" ref="C13:I13" si="4">M7/C4</f>
        <v>5.4041979809916346E-4</v>
      </c>
      <c r="D13" s="38">
        <f t="shared" si="4"/>
        <v>4.8721410972061749E-4</v>
      </c>
      <c r="E13" s="38">
        <f t="shared" si="4"/>
        <v>4.1689428136051291E-4</v>
      </c>
      <c r="F13" s="38">
        <f t="shared" si="4"/>
        <v>3.5181306453724309E-4</v>
      </c>
      <c r="G13" s="38">
        <f t="shared" si="4"/>
        <v>3.5373187124159886E-4</v>
      </c>
      <c r="H13" s="38">
        <f t="shared" si="4"/>
        <v>8.8132972555083104E-4</v>
      </c>
      <c r="I13" s="38">
        <f t="shared" si="4"/>
        <v>1.5385967997186567E-3</v>
      </c>
      <c r="K13" s="6" t="s">
        <v>57</v>
      </c>
      <c r="S13" s="19"/>
    </row>
    <row r="14" spans="1:19" x14ac:dyDescent="0.25">
      <c r="A14" s="6" t="s">
        <v>15</v>
      </c>
      <c r="B14" s="19">
        <f>L8/L4</f>
        <v>0.79852097016083157</v>
      </c>
      <c r="C14" s="19">
        <f t="shared" ref="C14:I14" si="5">M8/M4</f>
        <v>0.93683651804670909</v>
      </c>
      <c r="D14" s="19">
        <f t="shared" si="5"/>
        <v>0.72516574138953271</v>
      </c>
      <c r="E14" s="19">
        <f t="shared" si="5"/>
        <v>0.78197054594138937</v>
      </c>
      <c r="F14" s="19">
        <f t="shared" si="5"/>
        <v>0.71397652943439782</v>
      </c>
      <c r="G14" s="19">
        <f t="shared" si="5"/>
        <v>0.68988408313332994</v>
      </c>
      <c r="H14" s="19">
        <f t="shared" si="5"/>
        <v>0.68268485506123078</v>
      </c>
      <c r="I14" s="19">
        <f t="shared" si="5"/>
        <v>0.70129809269412813</v>
      </c>
      <c r="K14" s="6" t="s">
        <v>32</v>
      </c>
      <c r="L14">
        <v>56500</v>
      </c>
      <c r="M14">
        <v>51100</v>
      </c>
      <c r="N14">
        <v>32200</v>
      </c>
      <c r="O14">
        <v>50200</v>
      </c>
      <c r="P14">
        <v>54800</v>
      </c>
      <c r="Q14">
        <v>46900</v>
      </c>
      <c r="R14">
        <v>43700</v>
      </c>
      <c r="S14">
        <v>54000</v>
      </c>
    </row>
    <row r="15" spans="1:19" x14ac:dyDescent="0.25">
      <c r="A15" s="6" t="s">
        <v>45</v>
      </c>
      <c r="B15" s="19">
        <f>L5/L11</f>
        <v>0.24182170884401727</v>
      </c>
      <c r="C15" s="19">
        <f t="shared" ref="C15:I15" si="6">M5/M11</f>
        <v>0.26338325795210205</v>
      </c>
      <c r="D15" s="19">
        <f t="shared" si="6"/>
        <v>0.12624749699639568</v>
      </c>
      <c r="E15" s="19">
        <f t="shared" si="6"/>
        <v>0.16256327856390054</v>
      </c>
      <c r="F15" s="19">
        <f t="shared" si="6"/>
        <v>0.12570845613239628</v>
      </c>
      <c r="G15" s="19">
        <f t="shared" si="6"/>
        <v>9.2894262567584124E-2</v>
      </c>
      <c r="H15" s="19">
        <f t="shared" si="6"/>
        <v>9.7162583143891548E-2</v>
      </c>
      <c r="I15" s="19">
        <f t="shared" si="6"/>
        <v>0.13154704828759067</v>
      </c>
      <c r="S15" s="19"/>
    </row>
    <row r="16" spans="1:19" x14ac:dyDescent="0.25">
      <c r="A16" s="6" t="s">
        <v>16</v>
      </c>
      <c r="B16" s="18">
        <f>L9/B4</f>
        <v>1.6034648853928649E-2</v>
      </c>
      <c r="C16" s="18">
        <f t="shared" ref="C16:I16" si="7">M9/C4</f>
        <v>1.4166204307506071E-2</v>
      </c>
      <c r="D16" s="18">
        <f t="shared" si="7"/>
        <v>1.7651071175021227E-2</v>
      </c>
      <c r="E16" s="18">
        <f t="shared" si="7"/>
        <v>1.2348696127195883E-2</v>
      </c>
      <c r="F16" s="18">
        <f t="shared" si="7"/>
        <v>1.652703233407514E-2</v>
      </c>
      <c r="G16" s="18">
        <f t="shared" si="7"/>
        <v>1.8579345427594453E-2</v>
      </c>
      <c r="H16" s="18">
        <f t="shared" si="7"/>
        <v>1.9853111712408195E-2</v>
      </c>
      <c r="I16" s="18">
        <f t="shared" si="7"/>
        <v>1.6045366625637419E-2</v>
      </c>
    </row>
    <row r="17" spans="1:9" x14ac:dyDescent="0.25">
      <c r="A17" s="6" t="s">
        <v>9</v>
      </c>
      <c r="B17" s="18">
        <f>L10/L2</f>
        <v>5.1257239822177343E-2</v>
      </c>
      <c r="C17" s="18">
        <f t="shared" ref="C17:I17" si="8">M10/M2</f>
        <v>5.220354441924982E-2</v>
      </c>
      <c r="D17" s="18">
        <f t="shared" si="8"/>
        <v>3.6342078301810771E-2</v>
      </c>
      <c r="E17" s="18">
        <f t="shared" si="8"/>
        <v>5.03909747507909E-2</v>
      </c>
      <c r="F17" s="18">
        <f t="shared" si="8"/>
        <v>5.1832406835495164E-2</v>
      </c>
      <c r="G17" s="18">
        <f t="shared" si="8"/>
        <v>9.1760299625468167E-2</v>
      </c>
      <c r="H17" s="18">
        <f t="shared" si="8"/>
        <v>4.1038513949652154E-2</v>
      </c>
      <c r="I17" s="18">
        <f t="shared" si="8"/>
        <v>4.3058538591600783E-2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756</v>
      </c>
      <c r="C20">
        <v>-1345</v>
      </c>
      <c r="D20">
        <v>-456</v>
      </c>
      <c r="E20">
        <v>-391</v>
      </c>
      <c r="F20">
        <v>490</v>
      </c>
      <c r="G20">
        <v>-1220</v>
      </c>
      <c r="H20">
        <v>78</v>
      </c>
      <c r="I20">
        <v>727</v>
      </c>
    </row>
    <row r="21" spans="1:9" x14ac:dyDescent="0.25">
      <c r="A21" s="28" t="s">
        <v>73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B8" sqref="B8:I8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46638</v>
      </c>
      <c r="M2">
        <v>47102</v>
      </c>
      <c r="N2">
        <v>56100</v>
      </c>
      <c r="O2">
        <v>51015</v>
      </c>
      <c r="P2">
        <v>54401</v>
      </c>
      <c r="Q2">
        <v>59374</v>
      </c>
      <c r="R2">
        <v>60757</v>
      </c>
      <c r="S2">
        <v>70991</v>
      </c>
    </row>
    <row r="3" spans="1:19" x14ac:dyDescent="0.25">
      <c r="A3" s="6" t="s">
        <v>10</v>
      </c>
      <c r="B3" s="19">
        <f>LN(L2)</f>
        <v>10.750170938458275</v>
      </c>
      <c r="C3" s="19">
        <f t="shared" ref="C3:I3" si="0">LN(M2)</f>
        <v>10.760070741947999</v>
      </c>
      <c r="D3" s="19">
        <f t="shared" si="0"/>
        <v>10.934891091510787</v>
      </c>
      <c r="E3" s="19">
        <f t="shared" si="0"/>
        <v>10.839874986109406</v>
      </c>
      <c r="F3" s="19">
        <f t="shared" si="0"/>
        <v>10.904137815028022</v>
      </c>
      <c r="G3" s="19">
        <f t="shared" si="0"/>
        <v>10.99161169908985</v>
      </c>
      <c r="H3" s="19">
        <f t="shared" si="0"/>
        <v>11.0146375809022</v>
      </c>
      <c r="I3" s="19">
        <f t="shared" si="0"/>
        <v>11.170308387425273</v>
      </c>
      <c r="K3" s="6" t="s">
        <v>30</v>
      </c>
      <c r="L3">
        <v>51999</v>
      </c>
      <c r="M3">
        <v>55637</v>
      </c>
      <c r="N3">
        <v>61152</v>
      </c>
      <c r="O3">
        <v>54648</v>
      </c>
      <c r="P3">
        <v>59129</v>
      </c>
      <c r="Q3">
        <v>64064</v>
      </c>
      <c r="R3">
        <v>62852</v>
      </c>
      <c r="S3">
        <v>61845</v>
      </c>
    </row>
    <row r="4" spans="1:19" x14ac:dyDescent="0.25">
      <c r="A4" s="6" t="s">
        <v>13</v>
      </c>
      <c r="B4">
        <v>53101</v>
      </c>
      <c r="C4">
        <v>58559</v>
      </c>
      <c r="D4">
        <v>63361</v>
      </c>
      <c r="E4">
        <v>56227</v>
      </c>
      <c r="F4">
        <v>61029</v>
      </c>
      <c r="G4">
        <v>66216</v>
      </c>
      <c r="H4">
        <v>64575</v>
      </c>
      <c r="I4">
        <v>63597</v>
      </c>
      <c r="K4" s="6" t="s">
        <v>31</v>
      </c>
      <c r="L4">
        <v>19706</v>
      </c>
      <c r="M4">
        <v>19009</v>
      </c>
      <c r="N4">
        <v>19689</v>
      </c>
      <c r="O4">
        <v>18280</v>
      </c>
      <c r="P4">
        <v>19894</v>
      </c>
      <c r="Q4">
        <v>22455</v>
      </c>
      <c r="R4">
        <v>22468</v>
      </c>
      <c r="S4">
        <v>21152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7242</v>
      </c>
      <c r="M5">
        <v>2946</v>
      </c>
      <c r="N5">
        <v>2793</v>
      </c>
      <c r="O5">
        <v>4430</v>
      </c>
      <c r="P5">
        <v>2395</v>
      </c>
      <c r="Q5">
        <v>4825</v>
      </c>
      <c r="R5">
        <v>8244</v>
      </c>
      <c r="S5">
        <v>5369</v>
      </c>
    </row>
    <row r="6" spans="1:19" x14ac:dyDescent="0.25">
      <c r="A6" s="6" t="s">
        <v>11</v>
      </c>
      <c r="B6" s="18">
        <f>L3/B4</f>
        <v>0.97924709515828323</v>
      </c>
      <c r="C6" s="18">
        <f t="shared" ref="C6:I6" si="1">M3/C4</f>
        <v>0.95010160692634782</v>
      </c>
      <c r="D6" s="18">
        <f t="shared" si="1"/>
        <v>0.9651362825712978</v>
      </c>
      <c r="E6" s="18">
        <f t="shared" si="1"/>
        <v>0.97191740622832445</v>
      </c>
      <c r="F6" s="18">
        <f t="shared" si="1"/>
        <v>0.96886725982729527</v>
      </c>
      <c r="G6" s="18">
        <f t="shared" si="1"/>
        <v>0.9675003020418026</v>
      </c>
      <c r="H6" s="18">
        <f t="shared" si="1"/>
        <v>0.97331784746418892</v>
      </c>
      <c r="I6" s="18">
        <f t="shared" si="1"/>
        <v>0.97245153073258173</v>
      </c>
      <c r="K6" s="36" t="s">
        <v>38</v>
      </c>
      <c r="L6">
        <v>5190</v>
      </c>
      <c r="M6">
        <v>6100</v>
      </c>
      <c r="N6">
        <v>4890</v>
      </c>
      <c r="O6">
        <v>5044</v>
      </c>
      <c r="P6">
        <v>8932</v>
      </c>
      <c r="Q6">
        <v>8744</v>
      </c>
      <c r="R6">
        <v>8015</v>
      </c>
      <c r="S6">
        <v>7821</v>
      </c>
    </row>
    <row r="7" spans="1:19" ht="15.75" x14ac:dyDescent="0.25">
      <c r="A7" s="5" t="s">
        <v>24</v>
      </c>
      <c r="K7" s="6" t="s">
        <v>33</v>
      </c>
      <c r="L7">
        <v>875</v>
      </c>
      <c r="M7">
        <v>900</v>
      </c>
      <c r="N7">
        <v>1175</v>
      </c>
      <c r="O7">
        <v>1217</v>
      </c>
      <c r="P7">
        <v>1184</v>
      </c>
      <c r="Q7">
        <v>1481</v>
      </c>
      <c r="R7">
        <v>1607</v>
      </c>
      <c r="S7">
        <v>1840</v>
      </c>
    </row>
    <row r="8" spans="1:19" x14ac:dyDescent="0.25">
      <c r="A8" s="6" t="s">
        <v>8</v>
      </c>
      <c r="B8" s="19">
        <f>(L2+L14-L4)/L2</f>
        <v>1.6827708306531153</v>
      </c>
      <c r="C8" s="19">
        <f t="shared" ref="C8:I8" si="2">(M2+M14-M4)/M2</f>
        <v>1.6093560146065986</v>
      </c>
      <c r="D8" s="19">
        <f t="shared" si="2"/>
        <v>1.2759879679144386</v>
      </c>
      <c r="E8" s="19">
        <f t="shared" si="2"/>
        <v>1.7447825149465843</v>
      </c>
      <c r="F8" s="19">
        <f t="shared" si="2"/>
        <v>2.2378720979393756</v>
      </c>
      <c r="G8" s="19">
        <f t="shared" si="2"/>
        <v>1.7383144137164415</v>
      </c>
      <c r="H8" s="19">
        <f t="shared" si="2"/>
        <v>1.8531849828003357</v>
      </c>
      <c r="I8" s="19">
        <f t="shared" si="2"/>
        <v>1.7840023383245762</v>
      </c>
      <c r="K8" s="6" t="s">
        <v>37</v>
      </c>
      <c r="L8">
        <v>12754</v>
      </c>
      <c r="M8">
        <v>13015</v>
      </c>
      <c r="N8">
        <v>18549</v>
      </c>
      <c r="O8">
        <v>14994</v>
      </c>
      <c r="P8">
        <v>16651</v>
      </c>
      <c r="Q8">
        <v>18311</v>
      </c>
      <c r="R8">
        <v>19864</v>
      </c>
      <c r="S8">
        <v>26084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1933</v>
      </c>
      <c r="M9">
        <v>1907</v>
      </c>
      <c r="N9">
        <v>2531</v>
      </c>
      <c r="O9">
        <v>1975</v>
      </c>
      <c r="P9">
        <v>1651</v>
      </c>
      <c r="Q9">
        <v>1839</v>
      </c>
      <c r="R9">
        <v>1968</v>
      </c>
      <c r="S9">
        <v>1746</v>
      </c>
    </row>
    <row r="10" spans="1:19" x14ac:dyDescent="0.25">
      <c r="A10" s="6" t="s">
        <v>5</v>
      </c>
      <c r="B10">
        <v>5190</v>
      </c>
      <c r="C10">
        <v>6100</v>
      </c>
      <c r="D10">
        <v>4890</v>
      </c>
      <c r="E10">
        <v>5044</v>
      </c>
      <c r="F10">
        <v>8932</v>
      </c>
      <c r="G10">
        <v>8744</v>
      </c>
      <c r="H10">
        <v>8015</v>
      </c>
      <c r="I10">
        <v>7821</v>
      </c>
      <c r="K10" s="6" t="s">
        <v>35</v>
      </c>
      <c r="L10">
        <v>4432</v>
      </c>
      <c r="M10">
        <v>4767</v>
      </c>
      <c r="N10">
        <v>4741</v>
      </c>
      <c r="O10">
        <v>1705</v>
      </c>
      <c r="P10">
        <v>5296</v>
      </c>
      <c r="Q10">
        <v>6224</v>
      </c>
      <c r="R10">
        <v>4816</v>
      </c>
      <c r="S10">
        <v>1044</v>
      </c>
    </row>
    <row r="11" spans="1:19" x14ac:dyDescent="0.25">
      <c r="A11" s="6" t="s">
        <v>7</v>
      </c>
      <c r="B11" s="19">
        <f>B10/L2</f>
        <v>0.11128264505338994</v>
      </c>
      <c r="C11" s="19">
        <f t="shared" ref="C11:I11" si="3">C10/M2</f>
        <v>0.12950617808161013</v>
      </c>
      <c r="D11" s="19">
        <f t="shared" si="3"/>
        <v>8.7165775401069512E-2</v>
      </c>
      <c r="E11" s="19">
        <f t="shared" si="3"/>
        <v>9.8872880525335688E-2</v>
      </c>
      <c r="F11" s="19">
        <f t="shared" si="3"/>
        <v>0.16418815830591349</v>
      </c>
      <c r="G11" s="19">
        <f t="shared" si="3"/>
        <v>0.14726984875534746</v>
      </c>
      <c r="H11" s="19">
        <f t="shared" si="3"/>
        <v>0.13191895584047927</v>
      </c>
      <c r="I11" s="19">
        <f t="shared" si="3"/>
        <v>0.11016889464861743</v>
      </c>
      <c r="K11" s="6" t="s">
        <v>59</v>
      </c>
      <c r="L11">
        <v>12045</v>
      </c>
      <c r="M11">
        <v>12832</v>
      </c>
      <c r="N11">
        <v>14298</v>
      </c>
      <c r="O11">
        <v>14375</v>
      </c>
      <c r="P11">
        <v>13633</v>
      </c>
      <c r="Q11">
        <v>13245</v>
      </c>
      <c r="R11">
        <v>13903</v>
      </c>
      <c r="S11">
        <v>16741</v>
      </c>
    </row>
    <row r="12" spans="1:19" ht="15.75" x14ac:dyDescent="0.25">
      <c r="A12" s="5" t="s">
        <v>0</v>
      </c>
      <c r="K12" s="6" t="s">
        <v>56</v>
      </c>
      <c r="L12">
        <v>455.3</v>
      </c>
      <c r="M12">
        <v>455.3</v>
      </c>
      <c r="N12">
        <v>455.3</v>
      </c>
      <c r="O12">
        <v>455.3</v>
      </c>
      <c r="P12">
        <v>455.3</v>
      </c>
      <c r="Q12">
        <v>455.3</v>
      </c>
      <c r="R12">
        <v>455.3</v>
      </c>
      <c r="S12">
        <v>455.3</v>
      </c>
    </row>
    <row r="13" spans="1:19" x14ac:dyDescent="0.25">
      <c r="A13" s="6" t="s">
        <v>17</v>
      </c>
      <c r="B13" s="18">
        <f>L7/B4</f>
        <v>1.647803242876782E-2</v>
      </c>
      <c r="C13" s="18">
        <f t="shared" ref="C13:I13" si="4">M7/C4</f>
        <v>1.5369114909749142E-2</v>
      </c>
      <c r="D13" s="18">
        <f t="shared" si="4"/>
        <v>1.8544530547182022E-2</v>
      </c>
      <c r="E13" s="18">
        <f t="shared" si="4"/>
        <v>2.1644405712558025E-2</v>
      </c>
      <c r="F13" s="18">
        <f t="shared" si="4"/>
        <v>1.9400612823411819E-2</v>
      </c>
      <c r="G13" s="18">
        <f t="shared" si="4"/>
        <v>2.2366195481454635E-2</v>
      </c>
      <c r="H13" s="18">
        <f t="shared" si="4"/>
        <v>2.4885791715060009E-2</v>
      </c>
      <c r="I13" s="18">
        <f t="shared" si="4"/>
        <v>2.8932182335644763E-2</v>
      </c>
      <c r="K13" s="6" t="s">
        <v>57</v>
      </c>
      <c r="L13">
        <v>113.22</v>
      </c>
      <c r="M13">
        <v>104.79</v>
      </c>
      <c r="N13">
        <v>77.25</v>
      </c>
      <c r="O13">
        <v>123.6</v>
      </c>
      <c r="P13">
        <v>191.6</v>
      </c>
      <c r="Q13">
        <v>145.6</v>
      </c>
      <c r="R13">
        <v>163.19999999999999</v>
      </c>
      <c r="S13">
        <v>168.7</v>
      </c>
    </row>
    <row r="14" spans="1:19" x14ac:dyDescent="0.25">
      <c r="A14" s="6" t="s">
        <v>15</v>
      </c>
      <c r="B14" s="19">
        <f>L8/L4</f>
        <v>0.64721404648330461</v>
      </c>
      <c r="C14" s="19">
        <f t="shared" ref="C14:I14" si="5">M8/M4</f>
        <v>0.68467567994108058</v>
      </c>
      <c r="D14" s="19">
        <f t="shared" si="5"/>
        <v>0.9420996495505104</v>
      </c>
      <c r="E14" s="19">
        <f t="shared" si="5"/>
        <v>0.82024070021881834</v>
      </c>
      <c r="F14" s="19">
        <f t="shared" si="5"/>
        <v>0.83698602593746863</v>
      </c>
      <c r="G14" s="19">
        <f t="shared" si="5"/>
        <v>0.81545312847918061</v>
      </c>
      <c r="H14" s="19">
        <f t="shared" si="5"/>
        <v>0.88410183371906714</v>
      </c>
      <c r="I14" s="19">
        <f t="shared" si="5"/>
        <v>1.2331694402420574</v>
      </c>
      <c r="K14" s="6" t="s">
        <v>32</v>
      </c>
      <c r="L14" s="27">
        <f>L12*L13</f>
        <v>51549.065999999999</v>
      </c>
      <c r="M14" s="27">
        <f t="shared" ref="M14:S14" si="6">M12*M13</f>
        <v>47710.887000000002</v>
      </c>
      <c r="N14" s="27">
        <f t="shared" si="6"/>
        <v>35171.925000000003</v>
      </c>
      <c r="O14" s="27">
        <f t="shared" si="6"/>
        <v>56275.08</v>
      </c>
      <c r="P14" s="27">
        <f t="shared" si="6"/>
        <v>87235.48</v>
      </c>
      <c r="Q14" s="27">
        <f t="shared" si="6"/>
        <v>66291.679999999993</v>
      </c>
      <c r="R14" s="27">
        <f t="shared" si="6"/>
        <v>74304.959999999992</v>
      </c>
      <c r="S14" s="27">
        <f t="shared" si="6"/>
        <v>76809.11</v>
      </c>
    </row>
    <row r="15" spans="1:19" x14ac:dyDescent="0.25">
      <c r="A15" s="6" t="s">
        <v>45</v>
      </c>
      <c r="B15" s="19">
        <f>L5/L11</f>
        <v>0.60124533001245328</v>
      </c>
      <c r="C15" s="19">
        <f t="shared" ref="C15:I15" si="7">M5/M11</f>
        <v>0.22958229426433915</v>
      </c>
      <c r="D15" s="19">
        <f t="shared" si="7"/>
        <v>0.19534200587494754</v>
      </c>
      <c r="E15" s="19">
        <f t="shared" si="7"/>
        <v>0.30817391304347824</v>
      </c>
      <c r="F15" s="19">
        <f t="shared" si="7"/>
        <v>0.17567666691117143</v>
      </c>
      <c r="G15" s="19">
        <f t="shared" si="7"/>
        <v>0.3642884107210268</v>
      </c>
      <c r="H15" s="19">
        <f t="shared" si="7"/>
        <v>0.59296554700424364</v>
      </c>
      <c r="I15" s="19">
        <f t="shared" si="7"/>
        <v>0.32070963502777611</v>
      </c>
    </row>
    <row r="16" spans="1:19" x14ac:dyDescent="0.25">
      <c r="A16" s="6" t="s">
        <v>16</v>
      </c>
      <c r="B16" s="18">
        <f>L9/B4</f>
        <v>3.6402327639780796E-2</v>
      </c>
      <c r="C16" s="18">
        <f t="shared" ref="C16:I16" si="8">M9/C4</f>
        <v>3.2565446814324016E-2</v>
      </c>
      <c r="D16" s="18">
        <f t="shared" si="8"/>
        <v>3.994570792758953E-2</v>
      </c>
      <c r="E16" s="18">
        <f t="shared" si="8"/>
        <v>3.5125473526953242E-2</v>
      </c>
      <c r="F16" s="18">
        <f t="shared" si="8"/>
        <v>2.7052712644808206E-2</v>
      </c>
      <c r="G16" s="18">
        <f t="shared" si="8"/>
        <v>2.7772743747734686E-2</v>
      </c>
      <c r="H16" s="18">
        <f t="shared" si="8"/>
        <v>3.0476190476190476E-2</v>
      </c>
      <c r="I16" s="18">
        <f t="shared" si="8"/>
        <v>2.745412519458465E-2</v>
      </c>
    </row>
    <row r="17" spans="1:9" x14ac:dyDescent="0.25">
      <c r="A17" s="6" t="s">
        <v>9</v>
      </c>
      <c r="B17" s="18">
        <f>L10/L2</f>
        <v>9.5029804022470951E-2</v>
      </c>
      <c r="C17" s="18">
        <f t="shared" ref="C17:I17" si="9">M10/M2</f>
        <v>0.10120589359262876</v>
      </c>
      <c r="D17" s="18">
        <f t="shared" si="9"/>
        <v>8.4509803921568621E-2</v>
      </c>
      <c r="E17" s="18">
        <f t="shared" si="9"/>
        <v>3.3421542683524451E-2</v>
      </c>
      <c r="F17" s="18">
        <f t="shared" si="9"/>
        <v>9.7351151633242039E-2</v>
      </c>
      <c r="G17" s="18">
        <f t="shared" si="9"/>
        <v>0.10482702866574595</v>
      </c>
      <c r="H17" s="18">
        <f t="shared" si="9"/>
        <v>7.9266586566156982E-2</v>
      </c>
      <c r="I17" s="18">
        <f t="shared" si="9"/>
        <v>1.4706089504303362E-2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72</v>
      </c>
      <c r="B20">
        <v>-3765</v>
      </c>
      <c r="C20">
        <v>2456</v>
      </c>
      <c r="D20">
        <v>-2259</v>
      </c>
      <c r="E20">
        <v>-888</v>
      </c>
      <c r="F20">
        <v>-616</v>
      </c>
      <c r="G20">
        <v>-1336</v>
      </c>
      <c r="H20">
        <v>144</v>
      </c>
      <c r="I20">
        <v>-39</v>
      </c>
    </row>
    <row r="21" spans="1:9" x14ac:dyDescent="0.25">
      <c r="A21" s="28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19" sqref="K19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22795</v>
      </c>
      <c r="M2">
        <v>91706</v>
      </c>
      <c r="N2">
        <v>69255</v>
      </c>
      <c r="O2">
        <v>60419</v>
      </c>
      <c r="P2">
        <v>61054</v>
      </c>
      <c r="Q2">
        <v>63439</v>
      </c>
      <c r="R2">
        <v>58619</v>
      </c>
      <c r="S2">
        <v>55936</v>
      </c>
    </row>
    <row r="3" spans="1:19" x14ac:dyDescent="0.25">
      <c r="A3" s="6" t="s">
        <v>10</v>
      </c>
      <c r="B3" s="19">
        <f>LN(L2)</f>
        <v>10.034296492647542</v>
      </c>
      <c r="C3" s="19">
        <f t="shared" ref="C3:I3" si="0">LN(M2)</f>
        <v>11.426343086856512</v>
      </c>
      <c r="D3" s="19">
        <f t="shared" si="0"/>
        <v>11.145550623609198</v>
      </c>
      <c r="E3" s="19">
        <f t="shared" si="0"/>
        <v>11.009058903992708</v>
      </c>
      <c r="F3" s="19">
        <f t="shared" si="0"/>
        <v>11.019513997458025</v>
      </c>
      <c r="G3" s="19">
        <f t="shared" si="0"/>
        <v>11.057834093258894</v>
      </c>
      <c r="H3" s="19">
        <f t="shared" si="0"/>
        <v>10.978814155095153</v>
      </c>
      <c r="I3" s="19">
        <f t="shared" si="0"/>
        <v>10.931963459015208</v>
      </c>
      <c r="K3" s="6" t="s">
        <v>30</v>
      </c>
      <c r="L3">
        <v>19765</v>
      </c>
      <c r="M3">
        <v>35166</v>
      </c>
      <c r="N3">
        <v>40811</v>
      </c>
      <c r="O3">
        <v>22739</v>
      </c>
      <c r="P3">
        <v>30966</v>
      </c>
      <c r="Q3">
        <v>35234</v>
      </c>
      <c r="R3">
        <v>31310</v>
      </c>
      <c r="S3">
        <v>28189</v>
      </c>
    </row>
    <row r="4" spans="1:19" x14ac:dyDescent="0.25">
      <c r="A4" s="6" t="s">
        <v>13</v>
      </c>
      <c r="B4">
        <v>31054</v>
      </c>
      <c r="C4">
        <v>40441</v>
      </c>
      <c r="D4">
        <v>54329</v>
      </c>
      <c r="E4">
        <v>29838</v>
      </c>
      <c r="F4">
        <v>39883</v>
      </c>
      <c r="G4">
        <v>44640</v>
      </c>
      <c r="H4">
        <v>38923</v>
      </c>
      <c r="I4">
        <v>35022</v>
      </c>
      <c r="K4" s="6" t="s">
        <v>31</v>
      </c>
      <c r="L4">
        <v>15551</v>
      </c>
      <c r="M4">
        <v>29145</v>
      </c>
      <c r="N4">
        <v>35193</v>
      </c>
      <c r="O4">
        <v>30784</v>
      </c>
      <c r="P4">
        <v>29829</v>
      </c>
      <c r="Q4">
        <v>30768</v>
      </c>
      <c r="R4">
        <v>28769</v>
      </c>
      <c r="S4">
        <v>27126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1373</v>
      </c>
      <c r="M5">
        <v>1707</v>
      </c>
      <c r="N5">
        <v>2713</v>
      </c>
      <c r="O5">
        <v>3652</v>
      </c>
      <c r="P5">
        <v>1314</v>
      </c>
      <c r="Q5">
        <v>1648</v>
      </c>
      <c r="R5">
        <v>3004</v>
      </c>
      <c r="S5">
        <v>2124</v>
      </c>
    </row>
    <row r="6" spans="1:19" x14ac:dyDescent="0.25">
      <c r="A6" s="6" t="s">
        <v>11</v>
      </c>
      <c r="B6" s="19">
        <f>L3/B4</f>
        <v>0.63647195208346752</v>
      </c>
      <c r="C6" s="19">
        <f t="shared" ref="C6:I6" si="1">M3/C4</f>
        <v>0.86956306718429321</v>
      </c>
      <c r="D6" s="19">
        <f t="shared" si="1"/>
        <v>0.75118260965598482</v>
      </c>
      <c r="E6" s="19">
        <f t="shared" si="1"/>
        <v>0.76208190897513239</v>
      </c>
      <c r="F6" s="19">
        <f t="shared" si="1"/>
        <v>0.77642103151718778</v>
      </c>
      <c r="G6" s="19">
        <f t="shared" si="1"/>
        <v>0.78929211469534055</v>
      </c>
      <c r="H6" s="19">
        <f t="shared" si="1"/>
        <v>0.80440870436502843</v>
      </c>
      <c r="I6" s="19">
        <f t="shared" si="1"/>
        <v>0.80489406658671692</v>
      </c>
      <c r="K6" s="36" t="s">
        <v>38</v>
      </c>
      <c r="L6">
        <v>5339</v>
      </c>
      <c r="M6">
        <v>8850</v>
      </c>
      <c r="N6">
        <v>6574</v>
      </c>
      <c r="O6">
        <v>4769</v>
      </c>
      <c r="P6">
        <v>5496</v>
      </c>
      <c r="Q6">
        <v>6223</v>
      </c>
      <c r="R6">
        <v>4967</v>
      </c>
      <c r="S6">
        <v>5214</v>
      </c>
    </row>
    <row r="7" spans="1:19" ht="15.75" x14ac:dyDescent="0.25">
      <c r="A7" s="5" t="s">
        <v>24</v>
      </c>
      <c r="K7" s="6" t="s">
        <v>33</v>
      </c>
      <c r="L7">
        <v>0</v>
      </c>
      <c r="M7">
        <v>0</v>
      </c>
      <c r="N7">
        <v>0</v>
      </c>
      <c r="O7">
        <v>200</v>
      </c>
      <c r="P7">
        <v>190</v>
      </c>
      <c r="Q7">
        <v>223</v>
      </c>
      <c r="R7">
        <v>235</v>
      </c>
      <c r="S7">
        <v>203</v>
      </c>
    </row>
    <row r="8" spans="1:19" x14ac:dyDescent="0.25">
      <c r="A8" s="6" t="s">
        <v>8</v>
      </c>
      <c r="B8" s="19">
        <f>(L2+L14-L4)/L2</f>
        <v>2.0078779995613076</v>
      </c>
      <c r="C8" s="19">
        <f t="shared" ref="C8:I8" si="2">(M2+M14-M4)/M2</f>
        <v>1.3038121824090025</v>
      </c>
      <c r="D8" s="19">
        <f t="shared" si="2"/>
        <v>0.80986499169735038</v>
      </c>
      <c r="E8" s="19">
        <f t="shared" si="2"/>
        <v>1.1450568529767127</v>
      </c>
      <c r="F8" s="19">
        <f t="shared" si="2"/>
        <v>1.1109132898745373</v>
      </c>
      <c r="G8" s="19">
        <f t="shared" si="2"/>
        <v>0.82465888491306616</v>
      </c>
      <c r="H8" s="19">
        <f t="shared" si="2"/>
        <v>0.82168827513263609</v>
      </c>
      <c r="I8" s="19">
        <f t="shared" si="2"/>
        <v>0.80052685211670482</v>
      </c>
      <c r="K8" s="6" t="s">
        <v>37</v>
      </c>
      <c r="L8">
        <v>1735</v>
      </c>
      <c r="M8">
        <v>45246</v>
      </c>
      <c r="N8">
        <v>19957</v>
      </c>
      <c r="O8">
        <v>19013</v>
      </c>
      <c r="P8">
        <v>19949</v>
      </c>
      <c r="Q8">
        <v>20790</v>
      </c>
      <c r="R8">
        <v>19645</v>
      </c>
      <c r="S8">
        <v>18834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1407</v>
      </c>
      <c r="M9">
        <v>57592</v>
      </c>
      <c r="N9">
        <v>2606</v>
      </c>
      <c r="O9">
        <v>1902</v>
      </c>
      <c r="P9">
        <v>2011</v>
      </c>
      <c r="Q9">
        <v>3111</v>
      </c>
      <c r="R9">
        <v>1461</v>
      </c>
      <c r="S9">
        <v>828</v>
      </c>
    </row>
    <row r="10" spans="1:19" x14ac:dyDescent="0.25">
      <c r="A10" s="6" t="s">
        <v>5</v>
      </c>
      <c r="B10">
        <v>5339</v>
      </c>
      <c r="C10">
        <v>8850</v>
      </c>
      <c r="D10">
        <v>6574</v>
      </c>
      <c r="E10">
        <v>4769</v>
      </c>
      <c r="F10">
        <v>5496</v>
      </c>
      <c r="G10">
        <v>6223</v>
      </c>
      <c r="H10">
        <v>4967</v>
      </c>
      <c r="I10">
        <v>5214</v>
      </c>
      <c r="K10" s="6" t="s">
        <v>35</v>
      </c>
      <c r="L10">
        <v>4253</v>
      </c>
      <c r="M10">
        <v>4560</v>
      </c>
      <c r="N10">
        <v>6935</v>
      </c>
      <c r="O10">
        <v>-1002</v>
      </c>
      <c r="P10">
        <v>557</v>
      </c>
      <c r="Q10">
        <v>1560</v>
      </c>
      <c r="R10">
        <v>15</v>
      </c>
      <c r="S10">
        <v>-1066</v>
      </c>
    </row>
    <row r="11" spans="1:19" x14ac:dyDescent="0.25">
      <c r="A11" s="6" t="s">
        <v>7</v>
      </c>
      <c r="B11" s="18">
        <f>B10/L2</f>
        <v>0.23421803026979601</v>
      </c>
      <c r="C11" s="18">
        <f t="shared" ref="C11:I11" si="3">C10/M2</f>
        <v>9.6504045536824193E-2</v>
      </c>
      <c r="D11" s="18">
        <f t="shared" si="3"/>
        <v>9.4924554183813445E-2</v>
      </c>
      <c r="E11" s="18">
        <f t="shared" si="3"/>
        <v>7.8932124000728243E-2</v>
      </c>
      <c r="F11" s="18">
        <f t="shared" si="3"/>
        <v>9.0018671995282865E-2</v>
      </c>
      <c r="G11" s="18">
        <f t="shared" si="3"/>
        <v>9.8094232254606784E-2</v>
      </c>
      <c r="H11" s="18">
        <f t="shared" si="3"/>
        <v>8.4733618792541668E-2</v>
      </c>
      <c r="I11" s="18">
        <f t="shared" si="3"/>
        <v>9.3213672768878722E-2</v>
      </c>
      <c r="K11" s="6" t="s">
        <v>59</v>
      </c>
      <c r="L11">
        <v>4938</v>
      </c>
      <c r="M11">
        <v>12748</v>
      </c>
      <c r="N11">
        <v>9215</v>
      </c>
      <c r="O11">
        <v>8706</v>
      </c>
      <c r="P11">
        <v>8985</v>
      </c>
      <c r="Q11">
        <v>9971</v>
      </c>
      <c r="R11">
        <v>7001</v>
      </c>
      <c r="S11">
        <v>9095</v>
      </c>
    </row>
    <row r="12" spans="1:19" ht="15.75" x14ac:dyDescent="0.25">
      <c r="A12" s="5" t="s">
        <v>0</v>
      </c>
      <c r="K12" s="6" t="s">
        <v>56</v>
      </c>
      <c r="L12">
        <v>259.10000000000002</v>
      </c>
      <c r="M12">
        <v>323.89999999999998</v>
      </c>
      <c r="N12">
        <v>323.89999999999998</v>
      </c>
      <c r="O12">
        <v>323.89999999999998</v>
      </c>
      <c r="P12">
        <v>323.89999999999998</v>
      </c>
      <c r="Q12">
        <v>323.89999999999998</v>
      </c>
      <c r="R12">
        <v>323.89999999999998</v>
      </c>
      <c r="S12">
        <v>323.89999999999998</v>
      </c>
    </row>
    <row r="13" spans="1:19" x14ac:dyDescent="0.25">
      <c r="A13" s="6" t="s">
        <v>17</v>
      </c>
      <c r="B13">
        <f>L7/B4</f>
        <v>0</v>
      </c>
      <c r="C13">
        <f t="shared" ref="C13:I13" si="4">M7/C4</f>
        <v>0</v>
      </c>
      <c r="D13">
        <f t="shared" si="4"/>
        <v>0</v>
      </c>
      <c r="E13" s="39">
        <f t="shared" si="4"/>
        <v>6.7028621221261481E-3</v>
      </c>
      <c r="F13" s="39">
        <f t="shared" si="4"/>
        <v>4.7639345084371787E-3</v>
      </c>
      <c r="G13" s="39">
        <f t="shared" si="4"/>
        <v>4.9955197132616489E-3</v>
      </c>
      <c r="H13" s="39">
        <f t="shared" si="4"/>
        <v>6.03756133905403E-3</v>
      </c>
      <c r="I13" s="39">
        <f t="shared" si="4"/>
        <v>5.7963565758665982E-3</v>
      </c>
      <c r="K13" s="6" t="s">
        <v>57</v>
      </c>
      <c r="L13">
        <v>148.69</v>
      </c>
      <c r="M13">
        <v>176</v>
      </c>
      <c r="N13">
        <v>68</v>
      </c>
      <c r="O13">
        <v>122.1</v>
      </c>
      <c r="P13">
        <v>113</v>
      </c>
      <c r="Q13">
        <v>60.65</v>
      </c>
      <c r="R13">
        <v>56.55</v>
      </c>
      <c r="S13">
        <v>49.3</v>
      </c>
    </row>
    <row r="14" spans="1:19" x14ac:dyDescent="0.25">
      <c r="A14" s="6" t="s">
        <v>15</v>
      </c>
      <c r="B14" s="19">
        <f>L8/L4</f>
        <v>0.11156838788502348</v>
      </c>
      <c r="C14" s="19">
        <f t="shared" ref="C14:I14" si="5">M8/M4</f>
        <v>1.5524446731857953</v>
      </c>
      <c r="D14" s="19">
        <f t="shared" si="5"/>
        <v>0.56707299747108797</v>
      </c>
      <c r="E14" s="19">
        <f t="shared" si="5"/>
        <v>0.61762603950103945</v>
      </c>
      <c r="F14" s="19">
        <f t="shared" si="5"/>
        <v>0.66877870528680139</v>
      </c>
      <c r="G14" s="19">
        <f t="shared" si="5"/>
        <v>0.67570202808112323</v>
      </c>
      <c r="H14" s="19">
        <f t="shared" si="5"/>
        <v>0.68285307101393866</v>
      </c>
      <c r="I14" s="19">
        <f t="shared" si="5"/>
        <v>0.69431541694315413</v>
      </c>
      <c r="K14" s="6" t="s">
        <v>32</v>
      </c>
      <c r="L14" s="27">
        <f>L12*L13</f>
        <v>38525.579000000005</v>
      </c>
      <c r="M14" s="27">
        <f t="shared" ref="M14:S14" si="6">M12*M13</f>
        <v>57006.399999999994</v>
      </c>
      <c r="N14" s="27">
        <f t="shared" si="6"/>
        <v>22025.199999999997</v>
      </c>
      <c r="O14" s="27">
        <f t="shared" si="6"/>
        <v>39548.189999999995</v>
      </c>
      <c r="P14" s="27">
        <f t="shared" si="6"/>
        <v>36600.699999999997</v>
      </c>
      <c r="Q14" s="27">
        <f t="shared" si="6"/>
        <v>19644.535</v>
      </c>
      <c r="R14" s="27">
        <f t="shared" si="6"/>
        <v>18316.544999999998</v>
      </c>
      <c r="S14" s="27">
        <f t="shared" si="6"/>
        <v>15968.269999999999</v>
      </c>
    </row>
    <row r="15" spans="1:19" x14ac:dyDescent="0.25">
      <c r="A15" s="6" t="s">
        <v>45</v>
      </c>
      <c r="B15" s="19">
        <f>L5/L11</f>
        <v>0.27804779262859458</v>
      </c>
      <c r="C15" s="19">
        <f t="shared" ref="C15:I15" si="7">M5/M11</f>
        <v>0.13390335738939441</v>
      </c>
      <c r="D15" s="19">
        <f t="shared" si="7"/>
        <v>0.29441128594682581</v>
      </c>
      <c r="E15" s="19">
        <f t="shared" si="7"/>
        <v>0.41948081782678615</v>
      </c>
      <c r="F15" s="19">
        <f t="shared" si="7"/>
        <v>0.14624373956594325</v>
      </c>
      <c r="G15" s="19">
        <f t="shared" si="7"/>
        <v>0.16527930999899709</v>
      </c>
      <c r="H15" s="19">
        <f t="shared" si="7"/>
        <v>0.42908155977717471</v>
      </c>
      <c r="I15" s="19">
        <f t="shared" si="7"/>
        <v>0.23353490929081913</v>
      </c>
    </row>
    <row r="16" spans="1:19" x14ac:dyDescent="0.25">
      <c r="A16" s="6" t="s">
        <v>16</v>
      </c>
      <c r="B16" s="19">
        <f>L9/B4</f>
        <v>4.530817286017904E-2</v>
      </c>
      <c r="C16" s="19">
        <f t="shared" ref="C16:I16" si="8">M9/C4</f>
        <v>1.4240993051606043</v>
      </c>
      <c r="D16" s="19">
        <f t="shared" si="8"/>
        <v>4.7967015774264203E-2</v>
      </c>
      <c r="E16" s="19">
        <f t="shared" si="8"/>
        <v>6.374421878141967E-2</v>
      </c>
      <c r="F16" s="19">
        <f t="shared" si="8"/>
        <v>5.0422485770879821E-2</v>
      </c>
      <c r="G16" s="19">
        <f t="shared" si="8"/>
        <v>6.969086021505376E-2</v>
      </c>
      <c r="H16" s="19">
        <f t="shared" si="8"/>
        <v>3.7535647303650797E-2</v>
      </c>
      <c r="I16" s="19">
        <f t="shared" si="8"/>
        <v>2.3642281994175091E-2</v>
      </c>
    </row>
    <row r="17" spans="1:9" x14ac:dyDescent="0.25">
      <c r="A17" s="6" t="s">
        <v>9</v>
      </c>
      <c r="B17" s="18">
        <f>L10/L2</f>
        <v>0.18657600350954157</v>
      </c>
      <c r="C17" s="18">
        <f t="shared" ref="C17:I17" si="9">M10/M2</f>
        <v>4.9724118378295858E-2</v>
      </c>
      <c r="D17" s="18">
        <f t="shared" si="9"/>
        <v>0.10013717421124829</v>
      </c>
      <c r="E17" s="18">
        <f t="shared" si="9"/>
        <v>-1.6584187093463976E-2</v>
      </c>
      <c r="F17" s="18">
        <f t="shared" si="9"/>
        <v>9.1230713794345983E-3</v>
      </c>
      <c r="G17" s="18">
        <f t="shared" si="9"/>
        <v>2.4590551553460804E-2</v>
      </c>
      <c r="H17" s="39">
        <f t="shared" si="9"/>
        <v>2.5588972858629457E-4</v>
      </c>
      <c r="I17" s="18">
        <f t="shared" si="9"/>
        <v>-1.9057494279176201E-2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-1456</v>
      </c>
      <c r="C20">
        <v>-1985</v>
      </c>
      <c r="D20">
        <v>-2762</v>
      </c>
      <c r="E20">
        <v>443</v>
      </c>
      <c r="F20">
        <v>780</v>
      </c>
      <c r="G20">
        <v>-257</v>
      </c>
      <c r="H20">
        <v>526</v>
      </c>
      <c r="I20">
        <v>8</v>
      </c>
    </row>
    <row r="21" spans="1:9" x14ac:dyDescent="0.25">
      <c r="A21" s="28" t="s">
        <v>73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B3" sqref="B3:I3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15670</v>
      </c>
      <c r="M2">
        <v>16467</v>
      </c>
      <c r="N2">
        <v>18355</v>
      </c>
      <c r="O2">
        <v>16337</v>
      </c>
      <c r="P2">
        <v>14739</v>
      </c>
      <c r="Q2">
        <v>14507</v>
      </c>
      <c r="R2">
        <v>14371</v>
      </c>
      <c r="S2">
        <v>14881</v>
      </c>
    </row>
    <row r="3" spans="1:19" x14ac:dyDescent="0.25">
      <c r="A3" s="6" t="s">
        <v>10</v>
      </c>
      <c r="B3" s="19">
        <f>LN(L2)</f>
        <v>9.6595033353500668</v>
      </c>
      <c r="C3" s="19">
        <f t="shared" ref="C3:I3" si="0">LN(M2)</f>
        <v>9.7091136572179995</v>
      </c>
      <c r="D3" s="19">
        <f t="shared" si="0"/>
        <v>9.8176572959309354</v>
      </c>
      <c r="E3" s="19">
        <f t="shared" si="0"/>
        <v>9.7011877530265078</v>
      </c>
      <c r="F3" s="19">
        <f t="shared" si="0"/>
        <v>9.5982523208367585</v>
      </c>
      <c r="G3" s="19">
        <f t="shared" si="0"/>
        <v>9.5823865705389029</v>
      </c>
      <c r="H3" s="19">
        <f t="shared" si="0"/>
        <v>9.5729675660742473</v>
      </c>
      <c r="I3" s="19">
        <f t="shared" si="0"/>
        <v>9.6078405104300497</v>
      </c>
      <c r="K3" s="6" t="s">
        <v>30</v>
      </c>
      <c r="L3">
        <v>7499</v>
      </c>
      <c r="M3">
        <v>7346</v>
      </c>
      <c r="N3">
        <v>7770</v>
      </c>
      <c r="O3">
        <v>8925</v>
      </c>
      <c r="P3">
        <v>7923</v>
      </c>
      <c r="Q3">
        <v>5353</v>
      </c>
      <c r="R3">
        <v>5763</v>
      </c>
      <c r="S3">
        <v>5582</v>
      </c>
    </row>
    <row r="4" spans="1:19" x14ac:dyDescent="0.25">
      <c r="A4" s="6" t="s">
        <v>13</v>
      </c>
      <c r="B4">
        <v>12273</v>
      </c>
      <c r="C4">
        <v>11970</v>
      </c>
      <c r="D4">
        <v>12611</v>
      </c>
      <c r="E4">
        <v>14204</v>
      </c>
      <c r="F4">
        <v>13606</v>
      </c>
      <c r="G4">
        <v>11666</v>
      </c>
      <c r="H4">
        <v>12486</v>
      </c>
      <c r="I4">
        <v>12610</v>
      </c>
      <c r="K4" s="6" t="s">
        <v>31</v>
      </c>
      <c r="L4">
        <v>8253</v>
      </c>
      <c r="M4">
        <v>22182</v>
      </c>
      <c r="N4">
        <v>22148</v>
      </c>
      <c r="O4">
        <v>23229</v>
      </c>
      <c r="P4">
        <v>21578</v>
      </c>
      <c r="Q4">
        <v>19525</v>
      </c>
      <c r="R4">
        <v>21230</v>
      </c>
      <c r="S4">
        <v>22192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3042</v>
      </c>
      <c r="M5">
        <v>3439</v>
      </c>
      <c r="N5">
        <v>3178</v>
      </c>
      <c r="O5">
        <v>2530</v>
      </c>
      <c r="P5">
        <v>3275</v>
      </c>
      <c r="Q5">
        <v>2533</v>
      </c>
      <c r="R5">
        <v>2824</v>
      </c>
      <c r="S5">
        <v>3164</v>
      </c>
    </row>
    <row r="6" spans="1:19" x14ac:dyDescent="0.25">
      <c r="A6" s="6" t="s">
        <v>11</v>
      </c>
      <c r="B6" s="19">
        <f>L3/B4</f>
        <v>0.61101605149515192</v>
      </c>
      <c r="C6" s="19">
        <f t="shared" ref="C6:I6" si="1">M3/C4</f>
        <v>0.61370091896407686</v>
      </c>
      <c r="D6" s="19">
        <f t="shared" si="1"/>
        <v>0.61612877646499087</v>
      </c>
      <c r="E6" s="19">
        <f t="shared" si="1"/>
        <v>0.62834412841453113</v>
      </c>
      <c r="F6" s="19">
        <f t="shared" si="1"/>
        <v>0.58231662501837422</v>
      </c>
      <c r="G6" s="19">
        <f t="shared" si="1"/>
        <v>0.45885479170238297</v>
      </c>
      <c r="H6" s="19">
        <f t="shared" si="1"/>
        <v>0.46155694377703027</v>
      </c>
      <c r="I6" s="19">
        <f t="shared" si="1"/>
        <v>0.44266455194290244</v>
      </c>
      <c r="K6" s="36" t="s">
        <v>38</v>
      </c>
      <c r="L6">
        <v>5201</v>
      </c>
      <c r="M6">
        <v>7336</v>
      </c>
      <c r="N6">
        <v>7336</v>
      </c>
      <c r="O6">
        <v>6936</v>
      </c>
      <c r="P6">
        <v>7081</v>
      </c>
      <c r="Q6">
        <v>6846</v>
      </c>
      <c r="R6">
        <v>6104</v>
      </c>
      <c r="S6">
        <v>5931</v>
      </c>
    </row>
    <row r="7" spans="1:19" ht="15.75" x14ac:dyDescent="0.25">
      <c r="A7" s="5" t="s">
        <v>24</v>
      </c>
      <c r="K7" s="6" t="s">
        <v>33</v>
      </c>
      <c r="L7">
        <v>95</v>
      </c>
      <c r="M7">
        <v>82</v>
      </c>
      <c r="N7">
        <v>88</v>
      </c>
      <c r="O7">
        <v>96</v>
      </c>
      <c r="P7">
        <v>96</v>
      </c>
      <c r="Q7">
        <v>80</v>
      </c>
      <c r="R7">
        <v>99</v>
      </c>
      <c r="S7">
        <v>99</v>
      </c>
    </row>
    <row r="8" spans="1:19" x14ac:dyDescent="0.25">
      <c r="A8" s="6" t="s">
        <v>8</v>
      </c>
      <c r="B8" s="19">
        <f>(L2+L14-L4)/L2</f>
        <v>2.7132737715379704</v>
      </c>
      <c r="C8" s="19">
        <f t="shared" ref="C8:I8" si="2">(M2+M14-M4)/M2</f>
        <v>2.0516791158073722</v>
      </c>
      <c r="D8" s="19">
        <f t="shared" si="2"/>
        <v>1.3079269953691093</v>
      </c>
      <c r="E8" s="19">
        <f t="shared" si="2"/>
        <v>1.8000856950480504</v>
      </c>
      <c r="F8" s="19">
        <f t="shared" si="2"/>
        <v>2.372006241943144</v>
      </c>
      <c r="G8" s="19">
        <f t="shared" si="2"/>
        <v>3.0938167781071209</v>
      </c>
      <c r="H8" s="19">
        <f t="shared" si="2"/>
        <v>2.549648597870712</v>
      </c>
      <c r="I8" s="19">
        <f t="shared" si="2"/>
        <v>2.2706135340366909</v>
      </c>
      <c r="K8" s="6" t="s">
        <v>37</v>
      </c>
      <c r="L8">
        <v>8691</v>
      </c>
      <c r="M8">
        <v>10564</v>
      </c>
      <c r="N8">
        <v>8756</v>
      </c>
      <c r="O8">
        <v>9746</v>
      </c>
      <c r="P8">
        <v>10958</v>
      </c>
      <c r="Q8">
        <v>11307</v>
      </c>
      <c r="R8">
        <v>12005</v>
      </c>
      <c r="S8">
        <v>9452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290</v>
      </c>
      <c r="M9">
        <v>523</v>
      </c>
      <c r="N9">
        <v>319</v>
      </c>
      <c r="O9">
        <v>471</v>
      </c>
      <c r="P9">
        <v>311</v>
      </c>
      <c r="Q9">
        <v>245</v>
      </c>
      <c r="R9">
        <v>251</v>
      </c>
      <c r="S9">
        <v>306</v>
      </c>
    </row>
    <row r="10" spans="1:19" x14ac:dyDescent="0.25">
      <c r="A10" s="6" t="s">
        <v>5</v>
      </c>
      <c r="B10">
        <v>5201</v>
      </c>
      <c r="C10">
        <v>7336</v>
      </c>
      <c r="D10">
        <v>7336</v>
      </c>
      <c r="E10">
        <v>6936</v>
      </c>
      <c r="F10">
        <v>7081</v>
      </c>
      <c r="G10">
        <v>6846</v>
      </c>
      <c r="H10">
        <v>6104</v>
      </c>
      <c r="I10">
        <v>5931</v>
      </c>
      <c r="K10" s="6" t="s">
        <v>35</v>
      </c>
      <c r="L10">
        <v>2335</v>
      </c>
      <c r="M10">
        <v>2056</v>
      </c>
      <c r="N10">
        <v>2261</v>
      </c>
      <c r="O10">
        <v>3146</v>
      </c>
      <c r="P10">
        <v>2958</v>
      </c>
      <c r="Q10">
        <v>2538</v>
      </c>
      <c r="R10">
        <v>2907</v>
      </c>
      <c r="S10">
        <v>2711</v>
      </c>
    </row>
    <row r="11" spans="1:19" x14ac:dyDescent="0.25">
      <c r="A11" s="6" t="s">
        <v>7</v>
      </c>
      <c r="B11" s="19">
        <f>B10/L2</f>
        <v>0.33190810465858328</v>
      </c>
      <c r="C11" s="19">
        <f t="shared" ref="C11:I11" si="3">C10/M2</f>
        <v>0.44549705471549161</v>
      </c>
      <c r="D11" s="19">
        <f t="shared" si="3"/>
        <v>0.39967311359302643</v>
      </c>
      <c r="E11" s="19">
        <f t="shared" si="3"/>
        <v>0.42455775234131116</v>
      </c>
      <c r="F11" s="19">
        <f t="shared" si="3"/>
        <v>0.48042608046678881</v>
      </c>
      <c r="G11" s="19">
        <f t="shared" si="3"/>
        <v>0.47191011235955055</v>
      </c>
      <c r="H11" s="19">
        <f t="shared" si="3"/>
        <v>0.42474427666829029</v>
      </c>
      <c r="I11" s="19">
        <f t="shared" si="3"/>
        <v>0.39856192460184126</v>
      </c>
      <c r="K11" s="6" t="s">
        <v>59</v>
      </c>
      <c r="L11">
        <v>3965</v>
      </c>
      <c r="M11">
        <v>5117</v>
      </c>
      <c r="N11">
        <v>4381</v>
      </c>
      <c r="O11">
        <v>4440</v>
      </c>
      <c r="P11">
        <v>3485</v>
      </c>
      <c r="Q11">
        <v>4714</v>
      </c>
      <c r="R11">
        <v>4305</v>
      </c>
      <c r="S11">
        <v>3774</v>
      </c>
    </row>
    <row r="12" spans="1:19" ht="15.75" x14ac:dyDescent="0.25">
      <c r="A12" s="5" t="s">
        <v>0</v>
      </c>
      <c r="K12" s="6" t="s">
        <v>56</v>
      </c>
    </row>
    <row r="13" spans="1:19" x14ac:dyDescent="0.25">
      <c r="A13" s="6" t="s">
        <v>17</v>
      </c>
      <c r="B13" s="39">
        <f>L7/B4</f>
        <v>7.7405687281023386E-3</v>
      </c>
      <c r="C13" s="39">
        <f t="shared" ref="C13:I13" si="4">M7/C4</f>
        <v>6.8504594820384297E-3</v>
      </c>
      <c r="D13" s="39">
        <f t="shared" si="4"/>
        <v>6.9780350487669493E-3</v>
      </c>
      <c r="E13" s="39">
        <f t="shared" si="4"/>
        <v>6.7586595325260486E-3</v>
      </c>
      <c r="F13" s="39">
        <f t="shared" si="4"/>
        <v>7.05571071586065E-3</v>
      </c>
      <c r="G13" s="39">
        <f t="shared" si="4"/>
        <v>6.8575347162695014E-3</v>
      </c>
      <c r="H13" s="39">
        <f t="shared" si="4"/>
        <v>7.9288803459875053E-3</v>
      </c>
      <c r="I13" s="39">
        <f t="shared" si="4"/>
        <v>7.8509119746233147E-3</v>
      </c>
      <c r="K13" s="6" t="s">
        <v>57</v>
      </c>
    </row>
    <row r="14" spans="1:19" x14ac:dyDescent="0.25">
      <c r="A14" s="6" t="s">
        <v>15</v>
      </c>
      <c r="B14" s="19">
        <f>L8/L4</f>
        <v>1.0530716103235187</v>
      </c>
      <c r="C14" s="19">
        <f t="shared" ref="C14:I14" si="5">M8/M4</f>
        <v>0.47624199801640971</v>
      </c>
      <c r="D14" s="19">
        <f t="shared" si="5"/>
        <v>0.39534043705977967</v>
      </c>
      <c r="E14" s="19">
        <f t="shared" si="5"/>
        <v>0.41956175470317275</v>
      </c>
      <c r="F14" s="19">
        <f t="shared" si="5"/>
        <v>0.50783205116322183</v>
      </c>
      <c r="G14" s="19">
        <f t="shared" si="5"/>
        <v>0.57910371318822018</v>
      </c>
      <c r="H14" s="19">
        <f t="shared" si="5"/>
        <v>0.56547338671691005</v>
      </c>
      <c r="I14" s="19">
        <f t="shared" si="5"/>
        <v>0.42591925018024512</v>
      </c>
      <c r="K14" s="6" t="s">
        <v>32</v>
      </c>
      <c r="L14">
        <v>35100</v>
      </c>
      <c r="M14">
        <v>39500</v>
      </c>
      <c r="N14">
        <v>27800</v>
      </c>
      <c r="O14">
        <v>36300</v>
      </c>
      <c r="P14">
        <v>41800</v>
      </c>
      <c r="Q14">
        <v>49900</v>
      </c>
      <c r="R14">
        <v>43500</v>
      </c>
      <c r="S14">
        <v>41100</v>
      </c>
    </row>
    <row r="15" spans="1:19" x14ac:dyDescent="0.25">
      <c r="A15" s="6" t="s">
        <v>45</v>
      </c>
      <c r="B15" s="19">
        <f>L5/L11</f>
        <v>0.76721311475409837</v>
      </c>
      <c r="C15" s="19">
        <f t="shared" ref="C15:I15" si="6">M5/M11</f>
        <v>0.6720734805550127</v>
      </c>
      <c r="D15" s="19">
        <f t="shared" si="6"/>
        <v>0.72540515863957999</v>
      </c>
      <c r="E15" s="19">
        <f t="shared" si="6"/>
        <v>0.56981981981981977</v>
      </c>
      <c r="F15" s="19">
        <f t="shared" si="6"/>
        <v>0.93974175035868002</v>
      </c>
      <c r="G15" s="19">
        <f t="shared" si="6"/>
        <v>0.53733559609673309</v>
      </c>
      <c r="H15" s="19">
        <f t="shared" si="6"/>
        <v>0.65598141695702672</v>
      </c>
      <c r="I15" s="19">
        <f t="shared" si="6"/>
        <v>0.83836777954425012</v>
      </c>
    </row>
    <row r="16" spans="1:19" x14ac:dyDescent="0.25">
      <c r="A16" s="6" t="s">
        <v>16</v>
      </c>
      <c r="B16" s="18">
        <f>L9/B4</f>
        <v>2.3629104538417666E-2</v>
      </c>
      <c r="C16" s="18">
        <f t="shared" ref="C16:I16" si="7">M9/C4</f>
        <v>4.3692564745196324E-2</v>
      </c>
      <c r="D16" s="18">
        <f t="shared" si="7"/>
        <v>2.5295377051780192E-2</v>
      </c>
      <c r="E16" s="18">
        <f t="shared" si="7"/>
        <v>3.3159673331455926E-2</v>
      </c>
      <c r="F16" s="18">
        <f t="shared" si="7"/>
        <v>2.2857562839923563E-2</v>
      </c>
      <c r="G16" s="18">
        <f t="shared" si="7"/>
        <v>2.1001200068575348E-2</v>
      </c>
      <c r="H16" s="18">
        <f t="shared" si="7"/>
        <v>2.0102514816594586E-2</v>
      </c>
      <c r="I16" s="18">
        <f t="shared" si="7"/>
        <v>2.4266455194290246E-2</v>
      </c>
    </row>
    <row r="17" spans="1:9" x14ac:dyDescent="0.25">
      <c r="A17" s="6" t="s">
        <v>9</v>
      </c>
      <c r="B17" s="19">
        <f>L10/L2</f>
        <v>0.14901084875558393</v>
      </c>
      <c r="C17" s="19">
        <f t="shared" ref="C17:I17" si="8">M10/M2</f>
        <v>0.12485577215036132</v>
      </c>
      <c r="D17" s="19">
        <f t="shared" si="8"/>
        <v>0.12318169436120947</v>
      </c>
      <c r="E17" s="19">
        <f t="shared" si="8"/>
        <v>0.19256901511905491</v>
      </c>
      <c r="F17" s="19">
        <f t="shared" si="8"/>
        <v>0.20069204152249134</v>
      </c>
      <c r="G17" s="19">
        <f t="shared" si="8"/>
        <v>0.17495002412628385</v>
      </c>
      <c r="H17" s="19">
        <f t="shared" si="8"/>
        <v>0.20228237422587156</v>
      </c>
      <c r="I17" s="19">
        <f t="shared" si="8"/>
        <v>0.1821786170284255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-109</v>
      </c>
      <c r="C20">
        <v>-351</v>
      </c>
      <c r="D20">
        <v>-184</v>
      </c>
      <c r="E20">
        <v>66</v>
      </c>
      <c r="F20">
        <v>34</v>
      </c>
      <c r="G20">
        <v>-22</v>
      </c>
      <c r="H20">
        <v>-16</v>
      </c>
      <c r="I20">
        <v>-28</v>
      </c>
    </row>
    <row r="21" spans="1:9" x14ac:dyDescent="0.25">
      <c r="A21" s="28" t="s">
        <v>73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B14" sqref="B14:I14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66164</v>
      </c>
      <c r="M2">
        <v>48648</v>
      </c>
      <c r="N2">
        <v>47133</v>
      </c>
      <c r="O2">
        <v>43005</v>
      </c>
      <c r="P2">
        <v>42085</v>
      </c>
      <c r="Q2">
        <v>46864</v>
      </c>
      <c r="R2">
        <v>49189</v>
      </c>
      <c r="S2">
        <v>39855</v>
      </c>
    </row>
    <row r="3" spans="1:19" x14ac:dyDescent="0.25">
      <c r="A3" s="6" t="s">
        <v>10</v>
      </c>
      <c r="B3" s="19">
        <f>LN(L2)</f>
        <v>11.099891787362111</v>
      </c>
      <c r="C3" s="19">
        <f t="shared" ref="C3:I3" si="0">LN(M2)</f>
        <v>10.792365976799946</v>
      </c>
      <c r="D3" s="19">
        <f t="shared" si="0"/>
        <v>10.760728671615707</v>
      </c>
      <c r="E3" s="19">
        <f t="shared" si="0"/>
        <v>10.66907166698558</v>
      </c>
      <c r="F3" s="19">
        <f t="shared" si="0"/>
        <v>10.647446661645677</v>
      </c>
      <c r="G3" s="19">
        <f t="shared" si="0"/>
        <v>10.755005069067515</v>
      </c>
      <c r="H3" s="19">
        <f t="shared" si="0"/>
        <v>10.803425300247511</v>
      </c>
      <c r="I3" s="19">
        <f t="shared" si="0"/>
        <v>10.593003146862024</v>
      </c>
      <c r="K3" s="6" t="s">
        <v>30</v>
      </c>
      <c r="L3">
        <v>27417</v>
      </c>
      <c r="M3">
        <v>27832</v>
      </c>
      <c r="N3">
        <v>26899</v>
      </c>
      <c r="O3">
        <v>27855</v>
      </c>
      <c r="P3">
        <v>27874</v>
      </c>
      <c r="Q3">
        <v>27837</v>
      </c>
      <c r="R3">
        <v>18039</v>
      </c>
      <c r="S3">
        <v>17411</v>
      </c>
    </row>
    <row r="4" spans="1:19" x14ac:dyDescent="0.25">
      <c r="A4" s="6" t="s">
        <v>13</v>
      </c>
      <c r="B4">
        <v>38530</v>
      </c>
      <c r="C4">
        <v>38930</v>
      </c>
      <c r="D4">
        <v>38272</v>
      </c>
      <c r="E4">
        <v>32296</v>
      </c>
      <c r="F4">
        <v>30443</v>
      </c>
      <c r="G4">
        <v>29538</v>
      </c>
      <c r="H4">
        <v>30742</v>
      </c>
      <c r="I4">
        <v>29871</v>
      </c>
      <c r="K4" s="6" t="s">
        <v>31</v>
      </c>
      <c r="L4">
        <v>29123</v>
      </c>
      <c r="M4">
        <v>26849</v>
      </c>
      <c r="N4">
        <v>28201</v>
      </c>
      <c r="O4">
        <v>28823</v>
      </c>
      <c r="P4">
        <v>28875</v>
      </c>
      <c r="Q4">
        <v>21452</v>
      </c>
      <c r="R4">
        <v>20429</v>
      </c>
      <c r="S4">
        <v>21591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2459</v>
      </c>
      <c r="M5">
        <v>2619</v>
      </c>
      <c r="N5">
        <v>1312</v>
      </c>
      <c r="O5">
        <v>1250</v>
      </c>
      <c r="P5">
        <v>976</v>
      </c>
      <c r="Q5">
        <v>834</v>
      </c>
      <c r="R5">
        <v>1348</v>
      </c>
      <c r="S5">
        <v>1673</v>
      </c>
    </row>
    <row r="6" spans="1:19" x14ac:dyDescent="0.25">
      <c r="A6" s="6" t="s">
        <v>11</v>
      </c>
      <c r="B6" s="19">
        <f>L3/B4</f>
        <v>0.71157539579548401</v>
      </c>
      <c r="C6" s="19">
        <f t="shared" ref="C6:I6" si="1">M3/C4</f>
        <v>0.71492422296429492</v>
      </c>
      <c r="D6" s="19">
        <f t="shared" si="1"/>
        <v>0.70283758361204018</v>
      </c>
      <c r="E6" s="19">
        <f t="shared" si="1"/>
        <v>0.86249071092395346</v>
      </c>
      <c r="F6" s="19">
        <f t="shared" si="1"/>
        <v>0.91561278454817197</v>
      </c>
      <c r="G6" s="19">
        <f t="shared" si="1"/>
        <v>0.94241316270566733</v>
      </c>
      <c r="H6" s="19">
        <f t="shared" si="1"/>
        <v>0.58678680632359637</v>
      </c>
      <c r="I6" s="19">
        <f t="shared" si="1"/>
        <v>0.5828730206554853</v>
      </c>
      <c r="K6" s="36" t="s">
        <v>78</v>
      </c>
      <c r="L6">
        <v>14325</v>
      </c>
      <c r="M6">
        <v>11536</v>
      </c>
      <c r="N6">
        <v>3580</v>
      </c>
      <c r="O6">
        <v>1400</v>
      </c>
      <c r="P6">
        <v>1198</v>
      </c>
      <c r="Q6">
        <v>12295</v>
      </c>
      <c r="R6">
        <v>14898</v>
      </c>
      <c r="S6">
        <v>6837</v>
      </c>
    </row>
    <row r="7" spans="1:19" ht="15.75" x14ac:dyDescent="0.25">
      <c r="A7" s="5" t="s">
        <v>24</v>
      </c>
      <c r="K7" s="6" t="s">
        <v>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6" t="s">
        <v>8</v>
      </c>
      <c r="B8" s="19">
        <f>(L2+L14-L4)/L2</f>
        <v>1.2316516534671422</v>
      </c>
      <c r="C8" s="19">
        <f t="shared" ref="C8:I8" si="2">(M2+M14-M4)/M2</f>
        <v>1.6433255221180727</v>
      </c>
      <c r="D8" s="19">
        <f t="shared" si="2"/>
        <v>1.0515159230263298</v>
      </c>
      <c r="E8" s="19">
        <f t="shared" si="2"/>
        <v>1.4606036507382865</v>
      </c>
      <c r="F8" s="19">
        <f t="shared" si="2"/>
        <v>1.7833622430794818</v>
      </c>
      <c r="G8" s="19">
        <f t="shared" si="2"/>
        <v>1.8168485404574941</v>
      </c>
      <c r="H8" s="19">
        <f t="shared" si="2"/>
        <v>1.6492939478338653</v>
      </c>
      <c r="I8" s="19">
        <f t="shared" si="2"/>
        <v>1.2775152427549867</v>
      </c>
      <c r="K8" s="6" t="s">
        <v>37</v>
      </c>
      <c r="L8">
        <v>17105</v>
      </c>
      <c r="M8">
        <v>7306</v>
      </c>
      <c r="N8">
        <v>9485</v>
      </c>
      <c r="O8">
        <v>3249</v>
      </c>
      <c r="P8">
        <v>2626</v>
      </c>
      <c r="Q8">
        <v>14190</v>
      </c>
      <c r="R8">
        <v>16953</v>
      </c>
      <c r="S8">
        <v>8751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5365</v>
      </c>
      <c r="M9">
        <v>5198</v>
      </c>
      <c r="N9">
        <v>4623</v>
      </c>
      <c r="O9">
        <v>4846</v>
      </c>
      <c r="P9">
        <v>4094</v>
      </c>
      <c r="Q9">
        <v>6095</v>
      </c>
      <c r="R9">
        <v>5294</v>
      </c>
      <c r="S9">
        <v>5534</v>
      </c>
    </row>
    <row r="10" spans="1:19" x14ac:dyDescent="0.25">
      <c r="A10" s="6" t="s">
        <v>5</v>
      </c>
      <c r="B10">
        <v>14325</v>
      </c>
      <c r="C10">
        <v>11536</v>
      </c>
      <c r="D10">
        <v>3580</v>
      </c>
      <c r="E10">
        <v>1400</v>
      </c>
      <c r="F10">
        <v>1198</v>
      </c>
      <c r="G10">
        <v>12295</v>
      </c>
      <c r="H10">
        <v>14898</v>
      </c>
      <c r="I10">
        <v>6837</v>
      </c>
      <c r="K10" s="6" t="s">
        <v>35</v>
      </c>
      <c r="L10">
        <v>-235</v>
      </c>
      <c r="M10">
        <v>-190</v>
      </c>
      <c r="N10">
        <v>1715</v>
      </c>
      <c r="O10">
        <v>3446</v>
      </c>
      <c r="P10">
        <v>4121</v>
      </c>
      <c r="Q10">
        <v>2056</v>
      </c>
      <c r="R10">
        <v>976</v>
      </c>
      <c r="S10">
        <v>655</v>
      </c>
    </row>
    <row r="11" spans="1:19" x14ac:dyDescent="0.25">
      <c r="A11" s="6" t="s">
        <v>7</v>
      </c>
      <c r="B11" s="19">
        <f>B10/L2</f>
        <v>0.21650746629587087</v>
      </c>
      <c r="C11" s="19">
        <f t="shared" ref="C11:I11" si="3">C10/M2</f>
        <v>0.23713205064956422</v>
      </c>
      <c r="D11" s="19">
        <f t="shared" si="3"/>
        <v>7.5955275496997862E-2</v>
      </c>
      <c r="E11" s="19">
        <f t="shared" si="3"/>
        <v>3.2554354144866876E-2</v>
      </c>
      <c r="F11" s="19">
        <f t="shared" si="3"/>
        <v>2.846619935844125E-2</v>
      </c>
      <c r="G11" s="19">
        <f t="shared" si="3"/>
        <v>0.26235489928303174</v>
      </c>
      <c r="H11" s="19">
        <f t="shared" si="3"/>
        <v>0.3028725934660188</v>
      </c>
      <c r="I11" s="19">
        <f t="shared" si="3"/>
        <v>0.17154685735792247</v>
      </c>
      <c r="K11" s="6" t="s">
        <v>59</v>
      </c>
      <c r="L11">
        <v>15202</v>
      </c>
      <c r="M11">
        <v>21131</v>
      </c>
      <c r="N11">
        <v>7995</v>
      </c>
      <c r="O11">
        <v>16013</v>
      </c>
      <c r="P11">
        <v>10975</v>
      </c>
      <c r="Q11">
        <v>8951</v>
      </c>
      <c r="R11">
        <v>11488</v>
      </c>
      <c r="S11">
        <v>14587</v>
      </c>
    </row>
    <row r="12" spans="1:19" ht="15.75" x14ac:dyDescent="0.25">
      <c r="A12" s="5" t="s">
        <v>0</v>
      </c>
      <c r="K12" s="6" t="s">
        <v>56</v>
      </c>
      <c r="L12">
        <v>444.5</v>
      </c>
      <c r="M12">
        <v>449</v>
      </c>
      <c r="N12">
        <v>443.9</v>
      </c>
      <c r="O12">
        <v>441.3</v>
      </c>
      <c r="P12">
        <v>443</v>
      </c>
      <c r="Q12">
        <v>446.1</v>
      </c>
      <c r="R12">
        <v>447.2</v>
      </c>
      <c r="S12">
        <v>448.2</v>
      </c>
    </row>
    <row r="13" spans="1:19" x14ac:dyDescent="0.25">
      <c r="A13" s="6" t="s">
        <v>17</v>
      </c>
      <c r="B13">
        <f>L7/B4</f>
        <v>0</v>
      </c>
      <c r="C13">
        <f t="shared" ref="C13:I13" si="4">M7/C4</f>
        <v>0</v>
      </c>
      <c r="D13">
        <f t="shared" si="4"/>
        <v>0</v>
      </c>
      <c r="E13">
        <f t="shared" si="4"/>
        <v>0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0</v>
      </c>
      <c r="K13" s="6" t="s">
        <v>57</v>
      </c>
      <c r="L13">
        <v>100</v>
      </c>
      <c r="M13">
        <v>129.5</v>
      </c>
      <c r="N13">
        <v>69</v>
      </c>
      <c r="O13">
        <v>110.2</v>
      </c>
      <c r="P13">
        <v>139.6</v>
      </c>
      <c r="Q13">
        <v>133.9</v>
      </c>
      <c r="R13">
        <v>117.1</v>
      </c>
      <c r="S13">
        <v>72.849999999999994</v>
      </c>
    </row>
    <row r="14" spans="1:19" x14ac:dyDescent="0.25">
      <c r="A14" s="6" t="s">
        <v>15</v>
      </c>
      <c r="B14" s="19">
        <f>L8/L4</f>
        <v>0.58733646945713014</v>
      </c>
      <c r="C14" s="19">
        <f t="shared" ref="C14:I14" si="5">M8/M4</f>
        <v>0.27211441766918693</v>
      </c>
      <c r="D14" s="19">
        <f t="shared" si="5"/>
        <v>0.33633559093649162</v>
      </c>
      <c r="E14" s="19">
        <f t="shared" si="5"/>
        <v>0.11272247857613711</v>
      </c>
      <c r="F14" s="19">
        <f t="shared" si="5"/>
        <v>9.0943722943722938E-2</v>
      </c>
      <c r="G14" s="19">
        <f t="shared" si="5"/>
        <v>0.66147678538131638</v>
      </c>
      <c r="H14" s="19">
        <f t="shared" si="5"/>
        <v>0.82984972343237551</v>
      </c>
      <c r="I14" s="19">
        <f t="shared" si="5"/>
        <v>0.40530776712519107</v>
      </c>
      <c r="K14" s="6" t="s">
        <v>32</v>
      </c>
      <c r="L14">
        <f>L12*L13</f>
        <v>44450</v>
      </c>
      <c r="M14" s="27">
        <f t="shared" ref="M14:S14" si="6">M12*M13</f>
        <v>58145.5</v>
      </c>
      <c r="N14" s="27">
        <f t="shared" si="6"/>
        <v>30629.1</v>
      </c>
      <c r="O14" s="27">
        <f t="shared" si="6"/>
        <v>48631.26</v>
      </c>
      <c r="P14" s="27">
        <f t="shared" si="6"/>
        <v>61842.799999999996</v>
      </c>
      <c r="Q14" s="27">
        <f t="shared" si="6"/>
        <v>59732.790000000008</v>
      </c>
      <c r="R14" s="27">
        <f t="shared" si="6"/>
        <v>52367.119999999995</v>
      </c>
      <c r="S14" s="27">
        <f t="shared" si="6"/>
        <v>32651.369999999995</v>
      </c>
    </row>
    <row r="15" spans="1:19" x14ac:dyDescent="0.25">
      <c r="A15" s="6" t="s">
        <v>45</v>
      </c>
      <c r="B15" s="19">
        <f>L5/L11</f>
        <v>0.16175503223260099</v>
      </c>
      <c r="C15" s="19">
        <f t="shared" ref="C15:I15" si="7">M5/M11</f>
        <v>0.12394112914675122</v>
      </c>
      <c r="D15" s="19">
        <f t="shared" si="7"/>
        <v>0.1641025641025641</v>
      </c>
      <c r="E15" s="19">
        <f t="shared" si="7"/>
        <v>7.8061574970336597E-2</v>
      </c>
      <c r="F15" s="19">
        <f t="shared" si="7"/>
        <v>8.8929384965831429E-2</v>
      </c>
      <c r="G15" s="19">
        <f t="shared" si="7"/>
        <v>9.3173947045022909E-2</v>
      </c>
      <c r="H15" s="19">
        <f t="shared" si="7"/>
        <v>0.11733983286908078</v>
      </c>
      <c r="I15" s="19">
        <f t="shared" si="7"/>
        <v>0.11469116336463975</v>
      </c>
    </row>
    <row r="16" spans="1:19" x14ac:dyDescent="0.25">
      <c r="A16" s="6" t="s">
        <v>16</v>
      </c>
      <c r="B16" s="19">
        <f>L9/B4</f>
        <v>0.13924214897482481</v>
      </c>
      <c r="C16" s="19">
        <f t="shared" ref="C16:I16" si="8">M9/C4</f>
        <v>0.13352170562548163</v>
      </c>
      <c r="D16" s="19">
        <f t="shared" si="8"/>
        <v>0.12079326923076923</v>
      </c>
      <c r="E16" s="19">
        <f t="shared" si="8"/>
        <v>0.15004954173891505</v>
      </c>
      <c r="F16" s="19">
        <f t="shared" si="8"/>
        <v>0.13448083303222416</v>
      </c>
      <c r="G16" s="19">
        <f t="shared" si="8"/>
        <v>0.20634436996411401</v>
      </c>
      <c r="H16" s="19">
        <f t="shared" si="8"/>
        <v>0.17220740355214365</v>
      </c>
      <c r="I16" s="19">
        <f t="shared" si="8"/>
        <v>0.1852632988517291</v>
      </c>
    </row>
    <row r="17" spans="1:9" x14ac:dyDescent="0.25">
      <c r="A17" s="6" t="s">
        <v>9</v>
      </c>
      <c r="B17" s="18">
        <f>L10/L2</f>
        <v>-3.5517804243999757E-3</v>
      </c>
      <c r="C17" s="18">
        <f t="shared" ref="C17:I17" si="9">M10/M2</f>
        <v>-3.9056076303239599E-3</v>
      </c>
      <c r="D17" s="18">
        <f t="shared" si="9"/>
        <v>3.6386395943394226E-2</v>
      </c>
      <c r="E17" s="18">
        <f t="shared" si="9"/>
        <v>8.0130217416579469E-2</v>
      </c>
      <c r="F17" s="18">
        <f t="shared" si="9"/>
        <v>9.7920874420815013E-2</v>
      </c>
      <c r="G17" s="18">
        <f t="shared" si="9"/>
        <v>4.3871628542164559E-2</v>
      </c>
      <c r="H17" s="18">
        <f t="shared" si="9"/>
        <v>1.9841834556506534E-2</v>
      </c>
      <c r="I17" s="18">
        <f t="shared" si="9"/>
        <v>1.643457533559152E-2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-4321</v>
      </c>
      <c r="C20">
        <v>-3146</v>
      </c>
      <c r="D20">
        <v>2813</v>
      </c>
      <c r="E20">
        <v>-2079</v>
      </c>
      <c r="F20">
        <v>-4300</v>
      </c>
      <c r="G20">
        <v>-233</v>
      </c>
      <c r="H20">
        <v>1479</v>
      </c>
      <c r="I20">
        <v>2028</v>
      </c>
    </row>
    <row r="21" spans="1:9" x14ac:dyDescent="0.25">
      <c r="A21" s="28" t="s">
        <v>73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L20" sqref="L20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199392</v>
      </c>
      <c r="M2">
        <v>216702</v>
      </c>
      <c r="N2">
        <v>264286</v>
      </c>
      <c r="O2">
        <v>269670</v>
      </c>
      <c r="P2">
        <v>250551</v>
      </c>
      <c r="Q2">
        <v>252883</v>
      </c>
      <c r="R2">
        <v>253046</v>
      </c>
      <c r="S2">
        <v>252828</v>
      </c>
    </row>
    <row r="3" spans="1:19" x14ac:dyDescent="0.25">
      <c r="A3" s="6" t="s">
        <v>10</v>
      </c>
      <c r="B3" s="19">
        <f>LN(L2)</f>
        <v>12.203028015343948</v>
      </c>
      <c r="C3" s="19">
        <f t="shared" ref="C3:I3" si="0">LN(M2)</f>
        <v>12.286278416831191</v>
      </c>
      <c r="D3" s="19">
        <f t="shared" si="0"/>
        <v>12.484787129079692</v>
      </c>
      <c r="E3" s="19">
        <f t="shared" si="0"/>
        <v>12.504954268235554</v>
      </c>
      <c r="F3" s="19">
        <f t="shared" si="0"/>
        <v>12.431417771599223</v>
      </c>
      <c r="G3" s="19">
        <f t="shared" si="0"/>
        <v>12.440682210153518</v>
      </c>
      <c r="H3" s="19">
        <f t="shared" si="0"/>
        <v>12.441326569364554</v>
      </c>
      <c r="I3" s="19">
        <f t="shared" si="0"/>
        <v>12.44046469461513</v>
      </c>
      <c r="K3" s="6" t="s">
        <v>30</v>
      </c>
      <c r="L3">
        <v>54763</v>
      </c>
      <c r="M3">
        <v>60298</v>
      </c>
      <c r="N3">
        <v>67695</v>
      </c>
      <c r="O3">
        <v>72838</v>
      </c>
      <c r="P3">
        <v>70287</v>
      </c>
      <c r="Q3">
        <v>68295</v>
      </c>
      <c r="R3">
        <v>68183</v>
      </c>
      <c r="S3">
        <v>66115</v>
      </c>
    </row>
    <row r="4" spans="1:19" x14ac:dyDescent="0.25">
      <c r="A4" s="6" t="s">
        <v>13</v>
      </c>
      <c r="B4">
        <v>91060</v>
      </c>
      <c r="C4">
        <v>96344</v>
      </c>
      <c r="D4">
        <v>103585</v>
      </c>
      <c r="E4">
        <v>109550</v>
      </c>
      <c r="F4">
        <v>106979</v>
      </c>
      <c r="G4">
        <v>104804</v>
      </c>
      <c r="H4">
        <v>104898</v>
      </c>
      <c r="I4">
        <v>101700</v>
      </c>
      <c r="K4" s="6" t="s">
        <v>31</v>
      </c>
      <c r="L4">
        <v>127717</v>
      </c>
      <c r="M4">
        <v>127057</v>
      </c>
      <c r="N4">
        <v>141448</v>
      </c>
      <c r="O4">
        <v>142499</v>
      </c>
      <c r="P4">
        <v>132665</v>
      </c>
      <c r="Q4">
        <v>122871</v>
      </c>
      <c r="R4">
        <v>109106</v>
      </c>
      <c r="S4">
        <v>112934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11603</v>
      </c>
      <c r="M5">
        <v>7802</v>
      </c>
      <c r="N5">
        <v>11826</v>
      </c>
      <c r="O5">
        <v>22488</v>
      </c>
      <c r="P5">
        <v>15344</v>
      </c>
      <c r="Q5">
        <v>12600</v>
      </c>
      <c r="R5">
        <v>29805</v>
      </c>
      <c r="S5">
        <v>31721</v>
      </c>
    </row>
    <row r="6" spans="1:19" x14ac:dyDescent="0.25">
      <c r="A6" s="6" t="s">
        <v>11</v>
      </c>
      <c r="B6" s="18">
        <f>L3/B4</f>
        <v>0.60139468482319347</v>
      </c>
      <c r="C6" s="18">
        <f t="shared" ref="C6:I6" si="1">M3/C4</f>
        <v>0.62586149630490739</v>
      </c>
      <c r="D6" s="18">
        <f t="shared" si="1"/>
        <v>0.65352126273109046</v>
      </c>
      <c r="E6" s="18">
        <f t="shared" si="1"/>
        <v>0.66488361478776814</v>
      </c>
      <c r="F6" s="18">
        <f t="shared" si="1"/>
        <v>0.65701679768926613</v>
      </c>
      <c r="G6" s="18">
        <f t="shared" si="1"/>
        <v>0.65164497538261901</v>
      </c>
      <c r="H6" s="18">
        <f t="shared" si="1"/>
        <v>0.64999332685084554</v>
      </c>
      <c r="I6" s="18">
        <f t="shared" si="1"/>
        <v>0.65009832841691251</v>
      </c>
      <c r="K6" s="36" t="s">
        <v>38</v>
      </c>
      <c r="L6">
        <v>19827</v>
      </c>
      <c r="M6">
        <v>20231</v>
      </c>
      <c r="N6">
        <v>6149</v>
      </c>
      <c r="O6">
        <v>7900</v>
      </c>
      <c r="P6">
        <v>10905</v>
      </c>
      <c r="Q6">
        <v>9990</v>
      </c>
      <c r="R6">
        <v>7281</v>
      </c>
      <c r="S6">
        <v>7233</v>
      </c>
    </row>
    <row r="7" spans="1:19" ht="15.75" x14ac:dyDescent="0.25">
      <c r="A7" s="5" t="s">
        <v>24</v>
      </c>
      <c r="K7" s="6" t="s">
        <v>33</v>
      </c>
      <c r="L7">
        <v>1837</v>
      </c>
      <c r="M7">
        <v>1732</v>
      </c>
      <c r="N7">
        <v>1178</v>
      </c>
      <c r="O7">
        <v>1008</v>
      </c>
      <c r="P7">
        <v>801</v>
      </c>
      <c r="Q7">
        <v>508</v>
      </c>
      <c r="R7">
        <v>382</v>
      </c>
      <c r="S7">
        <v>294</v>
      </c>
    </row>
    <row r="8" spans="1:19" x14ac:dyDescent="0.25">
      <c r="A8" s="6" t="s">
        <v>8</v>
      </c>
      <c r="B8" s="19">
        <f>(L2+L14-L4)/L2</f>
        <v>1.62627199185524</v>
      </c>
      <c r="C8" s="19">
        <f t="shared" ref="C8:I8" si="2">(M2+M14-M4)/M2</f>
        <v>1.6673600151359933</v>
      </c>
      <c r="D8" s="19">
        <f t="shared" si="2"/>
        <v>1.1257442694656545</v>
      </c>
      <c r="E8" s="19">
        <f t="shared" si="2"/>
        <v>1.3349776578781476</v>
      </c>
      <c r="F8" s="19">
        <f t="shared" si="2"/>
        <v>1.4257761892788297</v>
      </c>
      <c r="G8" s="19">
        <f t="shared" si="2"/>
        <v>1.321783552077443</v>
      </c>
      <c r="H8" s="19">
        <f t="shared" si="2"/>
        <v>1.3227800716075337</v>
      </c>
      <c r="I8" s="19">
        <f t="shared" si="2"/>
        <v>1.4704496930719697</v>
      </c>
      <c r="K8" s="6" t="s">
        <v>37</v>
      </c>
      <c r="L8">
        <v>27729</v>
      </c>
      <c r="M8">
        <v>43579</v>
      </c>
      <c r="N8">
        <v>65799</v>
      </c>
      <c r="O8">
        <v>71833</v>
      </c>
      <c r="P8">
        <v>65436</v>
      </c>
      <c r="Q8">
        <v>79842</v>
      </c>
      <c r="R8">
        <v>91587</v>
      </c>
      <c r="S8">
        <v>90723</v>
      </c>
    </row>
    <row r="9" spans="1:19" x14ac:dyDescent="0.25">
      <c r="A9" s="6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6" t="s">
        <v>34</v>
      </c>
      <c r="L9">
        <v>11101</v>
      </c>
      <c r="M9">
        <v>13531</v>
      </c>
      <c r="N9">
        <v>15795</v>
      </c>
      <c r="O9">
        <v>14007</v>
      </c>
      <c r="P9">
        <v>14934</v>
      </c>
      <c r="Q9">
        <v>17384</v>
      </c>
      <c r="R9">
        <v>15685</v>
      </c>
      <c r="S9">
        <v>16332</v>
      </c>
    </row>
    <row r="10" spans="1:19" x14ac:dyDescent="0.25">
      <c r="A10" s="6" t="s">
        <v>5</v>
      </c>
      <c r="B10">
        <v>19827</v>
      </c>
      <c r="C10">
        <v>20231</v>
      </c>
      <c r="D10">
        <v>6149</v>
      </c>
      <c r="E10">
        <v>7900</v>
      </c>
      <c r="F10">
        <v>10905</v>
      </c>
      <c r="G10">
        <v>9990</v>
      </c>
      <c r="H10">
        <v>7281</v>
      </c>
      <c r="I10">
        <v>7233</v>
      </c>
      <c r="K10" s="6" t="s">
        <v>35</v>
      </c>
      <c r="L10">
        <v>19283</v>
      </c>
      <c r="M10">
        <v>20298</v>
      </c>
      <c r="N10">
        <v>21442</v>
      </c>
      <c r="O10">
        <v>21280</v>
      </c>
      <c r="P10">
        <v>23562</v>
      </c>
      <c r="Q10">
        <v>21119</v>
      </c>
      <c r="R10">
        <v>21168</v>
      </c>
      <c r="S10">
        <v>16767</v>
      </c>
    </row>
    <row r="11" spans="1:19" x14ac:dyDescent="0.25">
      <c r="A11" s="6" t="s">
        <v>7</v>
      </c>
      <c r="B11" s="18">
        <f>B10/L2</f>
        <v>9.9437289359653347E-2</v>
      </c>
      <c r="C11" s="18">
        <f t="shared" ref="C11:I11" si="3">C10/M2</f>
        <v>9.3358621517106444E-2</v>
      </c>
      <c r="D11" s="18">
        <f t="shared" si="3"/>
        <v>2.3266461333555314E-2</v>
      </c>
      <c r="E11" s="18">
        <f t="shared" si="3"/>
        <v>2.9295064337894465E-2</v>
      </c>
      <c r="F11" s="18">
        <f t="shared" si="3"/>
        <v>4.3524072943233114E-2</v>
      </c>
      <c r="G11" s="18">
        <f t="shared" si="3"/>
        <v>3.9504434857226461E-2</v>
      </c>
      <c r="H11" s="18">
        <f t="shared" si="3"/>
        <v>2.8773424594737716E-2</v>
      </c>
      <c r="I11" s="18">
        <f t="shared" si="3"/>
        <v>2.8608381983008212E-2</v>
      </c>
      <c r="K11" s="6" t="s">
        <v>59</v>
      </c>
      <c r="L11">
        <v>30347</v>
      </c>
      <c r="M11">
        <v>29501</v>
      </c>
      <c r="N11">
        <v>41501</v>
      </c>
      <c r="O11">
        <v>36293</v>
      </c>
      <c r="P11">
        <v>32500</v>
      </c>
      <c r="Q11">
        <v>36168</v>
      </c>
      <c r="R11">
        <v>35531</v>
      </c>
      <c r="S11">
        <v>36668</v>
      </c>
    </row>
    <row r="12" spans="1:19" ht="15.75" x14ac:dyDescent="0.25">
      <c r="A12" s="5" t="s">
        <v>0</v>
      </c>
      <c r="K12" s="6" t="s">
        <v>56</v>
      </c>
      <c r="L12">
        <v>4490.5</v>
      </c>
      <c r="M12">
        <v>4490.5</v>
      </c>
      <c r="N12">
        <v>4490.5</v>
      </c>
      <c r="O12">
        <v>4490.5</v>
      </c>
      <c r="P12">
        <v>4490.5</v>
      </c>
      <c r="Q12">
        <v>4367</v>
      </c>
      <c r="R12">
        <v>4330.1000000000004</v>
      </c>
      <c r="S12">
        <v>4330.1000000000004</v>
      </c>
    </row>
    <row r="13" spans="1:19" x14ac:dyDescent="0.25">
      <c r="A13" s="6" t="s">
        <v>17</v>
      </c>
      <c r="B13" s="39">
        <f>L7/B4</f>
        <v>2.0173511970129586E-2</v>
      </c>
      <c r="C13" s="39">
        <f t="shared" ref="C13:I13" si="4">M7/C4</f>
        <v>1.79772481939716E-2</v>
      </c>
      <c r="D13" s="39">
        <f t="shared" si="4"/>
        <v>1.1372302939614809E-2</v>
      </c>
      <c r="E13" s="39">
        <f t="shared" si="4"/>
        <v>9.2012779552715657E-3</v>
      </c>
      <c r="F13" s="39">
        <f t="shared" si="4"/>
        <v>7.4874508081025247E-3</v>
      </c>
      <c r="G13" s="39">
        <f t="shared" si="4"/>
        <v>4.8471432388076793E-3</v>
      </c>
      <c r="H13" s="39">
        <f t="shared" si="4"/>
        <v>3.6416328242673836E-3</v>
      </c>
      <c r="I13" s="39">
        <f t="shared" si="4"/>
        <v>2.8908554572271384E-3</v>
      </c>
      <c r="K13" s="6" t="s">
        <v>57</v>
      </c>
      <c r="L13">
        <v>56.25</v>
      </c>
      <c r="M13">
        <v>60.5</v>
      </c>
      <c r="N13">
        <v>38.9</v>
      </c>
      <c r="O13">
        <v>51.85</v>
      </c>
      <c r="P13">
        <v>53.3</v>
      </c>
      <c r="Q13">
        <v>46.77</v>
      </c>
      <c r="R13">
        <v>44.06</v>
      </c>
      <c r="S13">
        <v>53.55</v>
      </c>
    </row>
    <row r="14" spans="1:19" x14ac:dyDescent="0.25">
      <c r="A14" s="6" t="s">
        <v>15</v>
      </c>
      <c r="B14" s="19">
        <f>L8/L4</f>
        <v>0.21711283540953827</v>
      </c>
      <c r="C14" s="19">
        <f t="shared" ref="C14:I14" si="5">M8/M4</f>
        <v>0.3429877928803608</v>
      </c>
      <c r="D14" s="19">
        <f t="shared" si="5"/>
        <v>0.46518155081726148</v>
      </c>
      <c r="E14" s="19">
        <f t="shared" si="5"/>
        <v>0.50409476557730226</v>
      </c>
      <c r="F14" s="19">
        <f t="shared" si="5"/>
        <v>0.49324237741680171</v>
      </c>
      <c r="G14" s="19">
        <f t="shared" si="5"/>
        <v>0.64980345240129889</v>
      </c>
      <c r="H14" s="19">
        <f t="shared" si="5"/>
        <v>0.83943137865928552</v>
      </c>
      <c r="I14" s="19">
        <f t="shared" si="5"/>
        <v>0.8033276072750456</v>
      </c>
      <c r="K14" s="6" t="s">
        <v>32</v>
      </c>
      <c r="L14" s="27">
        <f>L12*L13</f>
        <v>252590.625</v>
      </c>
      <c r="M14" s="27">
        <f t="shared" ref="M14:S14" si="6">M12*M13</f>
        <v>271675.25</v>
      </c>
      <c r="N14" s="27">
        <f t="shared" si="6"/>
        <v>174680.44999999998</v>
      </c>
      <c r="O14" s="27">
        <f t="shared" si="6"/>
        <v>232832.42500000002</v>
      </c>
      <c r="P14" s="27">
        <f t="shared" si="6"/>
        <v>239343.65</v>
      </c>
      <c r="Q14" s="27">
        <f t="shared" si="6"/>
        <v>204244.59000000003</v>
      </c>
      <c r="R14" s="27">
        <f t="shared" si="6"/>
        <v>190784.20600000003</v>
      </c>
      <c r="S14" s="27">
        <f t="shared" si="6"/>
        <v>231876.85500000001</v>
      </c>
    </row>
    <row r="15" spans="1:19" x14ac:dyDescent="0.25">
      <c r="A15" s="6" t="s">
        <v>45</v>
      </c>
      <c r="B15" s="19">
        <f>L5/L11</f>
        <v>0.38234421853890005</v>
      </c>
      <c r="C15" s="19">
        <f t="shared" ref="C15:I15" si="7">M5/M11</f>
        <v>0.26446561133520896</v>
      </c>
      <c r="D15" s="19">
        <f t="shared" si="7"/>
        <v>0.28495698898821714</v>
      </c>
      <c r="E15" s="19">
        <f t="shared" si="7"/>
        <v>0.61962361887967377</v>
      </c>
      <c r="F15" s="19">
        <f t="shared" si="7"/>
        <v>0.47212307692307692</v>
      </c>
      <c r="G15" s="19">
        <f t="shared" si="7"/>
        <v>0.34837425348374251</v>
      </c>
      <c r="H15" s="19">
        <f t="shared" si="7"/>
        <v>0.83884495229517886</v>
      </c>
      <c r="I15" s="19">
        <f t="shared" si="7"/>
        <v>0.86508672411912291</v>
      </c>
    </row>
    <row r="16" spans="1:19" x14ac:dyDescent="0.25">
      <c r="A16" s="6" t="s">
        <v>16</v>
      </c>
      <c r="B16" s="19">
        <f>L9/B4</f>
        <v>0.12190863167142543</v>
      </c>
      <c r="C16" s="19">
        <f t="shared" ref="C16:H16" si="8">M9/C4</f>
        <v>0.14044465664701486</v>
      </c>
      <c r="D16" s="19">
        <f t="shared" si="8"/>
        <v>0.15248346768354493</v>
      </c>
      <c r="E16" s="19">
        <f t="shared" si="8"/>
        <v>0.12785942492012781</v>
      </c>
      <c r="F16" s="19">
        <f t="shared" si="8"/>
        <v>0.13959749109638339</v>
      </c>
      <c r="G16" s="19">
        <f t="shared" si="8"/>
        <v>0.16587153162093049</v>
      </c>
      <c r="H16" s="19">
        <f t="shared" si="8"/>
        <v>0.14952620641003642</v>
      </c>
      <c r="I16" s="19">
        <f>S9/I4</f>
        <v>0.16058997050147492</v>
      </c>
    </row>
    <row r="17" spans="1:9" x14ac:dyDescent="0.25">
      <c r="A17" s="6" t="s">
        <v>9</v>
      </c>
      <c r="B17" s="18">
        <f>L10/L2</f>
        <v>9.6708995345851395E-2</v>
      </c>
      <c r="C17" s="18">
        <f t="shared" ref="C17:I17" si="9">M10/M2</f>
        <v>9.366780186615721E-2</v>
      </c>
      <c r="D17" s="18">
        <f t="shared" si="9"/>
        <v>8.1131804181833314E-2</v>
      </c>
      <c r="E17" s="18">
        <f t="shared" si="9"/>
        <v>7.8911261912708128E-2</v>
      </c>
      <c r="F17" s="18">
        <f t="shared" si="9"/>
        <v>9.404073422177521E-2</v>
      </c>
      <c r="G17" s="18">
        <f t="shared" si="9"/>
        <v>8.3512928903880457E-2</v>
      </c>
      <c r="H17" s="18">
        <f t="shared" si="9"/>
        <v>8.3652774594342533E-2</v>
      </c>
      <c r="I17" s="18">
        <f t="shared" si="9"/>
        <v>6.6317812900469883E-2</v>
      </c>
    </row>
    <row r="18" spans="1:9" x14ac:dyDescent="0.25">
      <c r="A18" s="6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-561</v>
      </c>
      <c r="C20">
        <v>-379</v>
      </c>
      <c r="D20">
        <v>-331</v>
      </c>
      <c r="E20">
        <v>89</v>
      </c>
      <c r="F20">
        <v>63</v>
      </c>
      <c r="G20">
        <v>-118</v>
      </c>
      <c r="H20">
        <v>28</v>
      </c>
      <c r="I20">
        <v>334</v>
      </c>
    </row>
    <row r="21" spans="1:9" x14ac:dyDescent="0.25">
      <c r="A21" s="28" t="s">
        <v>73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16" sqref="K16"/>
    </sheetView>
  </sheetViews>
  <sheetFormatPr defaultRowHeight="15" x14ac:dyDescent="0.25"/>
  <cols>
    <col min="1" max="1" width="18" customWidth="1"/>
    <col min="2" max="3" width="9.7109375" customWidth="1"/>
    <col min="6" max="6" width="10.42578125" bestFit="1" customWidth="1"/>
    <col min="10" max="10" width="7.140625" customWidth="1"/>
    <col min="11" max="11" width="12.5703125" customWidth="1"/>
    <col min="12" max="12" width="8.5703125" customWidth="1"/>
    <col min="14" max="19" width="9.5703125" bestFit="1" customWidth="1"/>
  </cols>
  <sheetData>
    <row r="1" spans="1:19" ht="17.25" x14ac:dyDescent="0.25">
      <c r="A1" s="4" t="s">
        <v>12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258427</v>
      </c>
      <c r="M2">
        <v>321647</v>
      </c>
      <c r="N2" s="17">
        <v>372419</v>
      </c>
      <c r="O2" s="17">
        <v>332265</v>
      </c>
      <c r="P2" s="17">
        <v>318004</v>
      </c>
      <c r="Q2" s="17">
        <v>353245</v>
      </c>
      <c r="R2" s="17">
        <v>339165</v>
      </c>
      <c r="S2" s="17">
        <v>344829</v>
      </c>
    </row>
    <row r="3" spans="1:19" x14ac:dyDescent="0.25">
      <c r="A3" s="6" t="s">
        <v>10</v>
      </c>
      <c r="B3" s="19">
        <f>LN(L2)</f>
        <v>12.462368534596058</v>
      </c>
      <c r="C3" s="19">
        <f t="shared" ref="C3:D3" si="0">LN(M2)</f>
        <v>12.681209949887521</v>
      </c>
      <c r="D3" s="19">
        <f t="shared" si="0"/>
        <v>12.827774843491715</v>
      </c>
      <c r="E3" s="19">
        <f>LN(O2)</f>
        <v>12.713688122283271</v>
      </c>
      <c r="F3" s="19">
        <f>LN(P2)</f>
        <v>12.669819240299557</v>
      </c>
      <c r="G3" s="19">
        <f t="shared" ref="G3" si="1">LN(Q2)</f>
        <v>12.774917146164931</v>
      </c>
      <c r="H3" s="19">
        <f t="shared" ref="H3" si="2">LN(R2)</f>
        <v>12.734241993613789</v>
      </c>
      <c r="I3" s="19">
        <f>LN(S2)</f>
        <v>12.75080392096344</v>
      </c>
      <c r="K3" s="6" t="s">
        <v>30</v>
      </c>
      <c r="L3" s="44">
        <v>245030</v>
      </c>
      <c r="M3" s="45">
        <v>271418</v>
      </c>
      <c r="N3" s="44">
        <v>290743</v>
      </c>
      <c r="O3" s="44">
        <v>207949</v>
      </c>
      <c r="P3" s="44">
        <v>252286</v>
      </c>
      <c r="Q3" s="44">
        <v>296259</v>
      </c>
      <c r="R3" s="44">
        <v>288277</v>
      </c>
      <c r="S3" s="44">
        <v>263746</v>
      </c>
    </row>
    <row r="4" spans="1:19" x14ac:dyDescent="0.25">
      <c r="A4" s="6" t="s">
        <v>13</v>
      </c>
      <c r="B4" s="14">
        <v>258835</v>
      </c>
      <c r="C4" s="15">
        <v>285405</v>
      </c>
      <c r="D4" s="15">
        <f>304642+471</f>
        <v>305113</v>
      </c>
      <c r="E4" s="15">
        <f>218361+108</f>
        <v>218469</v>
      </c>
      <c r="F4" s="16">
        <f>264749-34</f>
        <v>264715</v>
      </c>
      <c r="G4" s="15">
        <f>310367-19</f>
        <v>310348</v>
      </c>
      <c r="H4" s="15">
        <f>299814+596</f>
        <v>300410</v>
      </c>
      <c r="I4" s="15">
        <f>272622+144</f>
        <v>272766</v>
      </c>
      <c r="K4" s="6" t="s">
        <v>31</v>
      </c>
      <c r="L4">
        <v>87188</v>
      </c>
      <c r="M4">
        <v>75129</v>
      </c>
      <c r="N4">
        <v>75046</v>
      </c>
      <c r="O4">
        <v>58485</v>
      </c>
      <c r="P4">
        <v>66101</v>
      </c>
      <c r="Q4">
        <v>76682</v>
      </c>
      <c r="R4">
        <v>78321</v>
      </c>
      <c r="S4">
        <v>68467</v>
      </c>
    </row>
    <row r="5" spans="1:19" x14ac:dyDescent="0.25">
      <c r="A5" s="6" t="s">
        <v>4</v>
      </c>
      <c r="B5">
        <v>1</v>
      </c>
      <c r="C5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K5" s="6" t="s">
        <v>58</v>
      </c>
      <c r="L5">
        <v>29907</v>
      </c>
      <c r="M5">
        <v>30026</v>
      </c>
      <c r="N5">
        <v>22575</v>
      </c>
      <c r="O5">
        <v>37404</v>
      </c>
      <c r="P5">
        <v>31491</v>
      </c>
      <c r="Q5">
        <v>35951</v>
      </c>
      <c r="R5">
        <v>27146</v>
      </c>
      <c r="S5">
        <v>28230</v>
      </c>
    </row>
    <row r="6" spans="1:19" x14ac:dyDescent="0.25">
      <c r="A6" s="6" t="s">
        <v>11</v>
      </c>
      <c r="B6" s="42">
        <f>L3/B4</f>
        <v>0.94666486371626712</v>
      </c>
      <c r="C6" s="42">
        <f t="shared" ref="C6:I6" si="3">M3/C4</f>
        <v>0.95099244932639582</v>
      </c>
      <c r="D6" s="42">
        <f t="shared" si="3"/>
        <v>0.95290269506707348</v>
      </c>
      <c r="E6" s="42">
        <f t="shared" si="3"/>
        <v>0.95184671509459007</v>
      </c>
      <c r="F6" s="42">
        <f t="shared" si="3"/>
        <v>0.95304761724873921</v>
      </c>
      <c r="G6" s="42">
        <f t="shared" si="3"/>
        <v>0.95460257517367597</v>
      </c>
      <c r="H6" s="42">
        <f t="shared" si="3"/>
        <v>0.95961186378615893</v>
      </c>
      <c r="I6" s="42">
        <f t="shared" si="3"/>
        <v>0.96693136241320399</v>
      </c>
      <c r="K6" s="36" t="s">
        <v>69</v>
      </c>
      <c r="L6">
        <v>123253</v>
      </c>
      <c r="M6">
        <v>40800</v>
      </c>
      <c r="N6">
        <v>53789</v>
      </c>
      <c r="O6">
        <v>18150</v>
      </c>
      <c r="P6">
        <v>15362</v>
      </c>
      <c r="Q6">
        <v>26666</v>
      </c>
      <c r="R6">
        <f>47077+719</f>
        <v>47796</v>
      </c>
      <c r="S6">
        <v>25425</v>
      </c>
    </row>
    <row r="7" spans="1:19" ht="15.75" x14ac:dyDescent="0.25">
      <c r="A7" s="5" t="s">
        <v>24</v>
      </c>
      <c r="D7" s="3"/>
      <c r="E7" s="3"/>
      <c r="F7" s="3"/>
      <c r="G7" s="3"/>
      <c r="H7" s="3"/>
      <c r="I7" s="3"/>
      <c r="K7" s="6" t="s">
        <v>33</v>
      </c>
      <c r="L7" s="20">
        <v>8354</v>
      </c>
      <c r="M7">
        <v>11059</v>
      </c>
      <c r="N7">
        <v>14348</v>
      </c>
      <c r="O7">
        <v>13193</v>
      </c>
      <c r="P7">
        <v>12970</v>
      </c>
      <c r="Q7">
        <v>13276</v>
      </c>
      <c r="R7">
        <v>14794</v>
      </c>
      <c r="S7">
        <v>16281</v>
      </c>
    </row>
    <row r="8" spans="1:19" x14ac:dyDescent="0.25">
      <c r="A8" s="6" t="s">
        <v>8</v>
      </c>
      <c r="B8" s="19">
        <f>(L2+L14-L4)/L2</f>
        <v>0.80465775634898817</v>
      </c>
      <c r="C8" s="19">
        <f t="shared" ref="C8:I8" si="4">(M2+M14-M4)/M2</f>
        <v>1.4495098664063399</v>
      </c>
      <c r="D8" s="19">
        <f t="shared" si="4"/>
        <v>1.0319862842658403</v>
      </c>
      <c r="E8" s="19">
        <f t="shared" si="4"/>
        <v>1.1988597956450424</v>
      </c>
      <c r="F8" s="19">
        <f t="shared" si="4"/>
        <v>1.5474726732997068</v>
      </c>
      <c r="G8" s="19">
        <f t="shared" si="4"/>
        <v>1.2150096958201815</v>
      </c>
      <c r="H8" s="19">
        <f t="shared" si="4"/>
        <v>1.3000468798372473</v>
      </c>
      <c r="I8" s="19">
        <f t="shared" si="4"/>
        <v>1.2981118177415472</v>
      </c>
      <c r="K8" s="6" t="s">
        <v>37</v>
      </c>
      <c r="L8">
        <v>75648</v>
      </c>
      <c r="M8">
        <v>118093</v>
      </c>
      <c r="N8">
        <v>157432</v>
      </c>
      <c r="O8">
        <v>164903</v>
      </c>
      <c r="P8">
        <v>131205</v>
      </c>
      <c r="Q8">
        <v>137150</v>
      </c>
      <c r="R8">
        <v>150368</v>
      </c>
      <c r="S8">
        <v>147323</v>
      </c>
    </row>
    <row r="9" spans="1:19" x14ac:dyDescent="0.25">
      <c r="A9" s="6" t="s">
        <v>6</v>
      </c>
      <c r="B9">
        <v>1</v>
      </c>
      <c r="C9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K9" s="6" t="s">
        <v>34</v>
      </c>
      <c r="L9">
        <v>14034</v>
      </c>
      <c r="M9">
        <v>14938</v>
      </c>
      <c r="N9">
        <v>18292</v>
      </c>
      <c r="O9">
        <v>14573</v>
      </c>
      <c r="P9">
        <v>15186</v>
      </c>
      <c r="Q9">
        <v>20099</v>
      </c>
      <c r="R9">
        <v>24685</v>
      </c>
      <c r="S9">
        <v>20672</v>
      </c>
    </row>
    <row r="10" spans="1:19" x14ac:dyDescent="0.25">
      <c r="A10" s="6" t="s">
        <v>5</v>
      </c>
      <c r="B10">
        <f>L6</f>
        <v>123253</v>
      </c>
      <c r="C10">
        <f t="shared" ref="C10:I10" si="5">M6</f>
        <v>40800</v>
      </c>
      <c r="D10">
        <f t="shared" si="5"/>
        <v>53789</v>
      </c>
      <c r="E10">
        <f t="shared" si="5"/>
        <v>18150</v>
      </c>
      <c r="F10">
        <f t="shared" si="5"/>
        <v>15362</v>
      </c>
      <c r="G10">
        <f t="shared" si="5"/>
        <v>26666</v>
      </c>
      <c r="H10">
        <f t="shared" si="5"/>
        <v>47796</v>
      </c>
      <c r="I10">
        <f t="shared" si="5"/>
        <v>25425</v>
      </c>
      <c r="K10" s="6" t="s">
        <v>35</v>
      </c>
      <c r="L10">
        <v>16318</v>
      </c>
      <c r="M10">
        <v>15028</v>
      </c>
      <c r="N10">
        <v>10016</v>
      </c>
      <c r="O10">
        <v>-14685</v>
      </c>
      <c r="P10">
        <v>11212</v>
      </c>
      <c r="Q10">
        <v>18115</v>
      </c>
      <c r="R10">
        <v>11258</v>
      </c>
      <c r="S10">
        <v>3802</v>
      </c>
    </row>
    <row r="11" spans="1:19" x14ac:dyDescent="0.25">
      <c r="A11" s="6" t="s">
        <v>7</v>
      </c>
      <c r="B11" s="43">
        <f>B10/L2</f>
        <v>0.47693545953015748</v>
      </c>
      <c r="C11" s="43">
        <f t="shared" ref="C11:I11" si="6">C10/M2</f>
        <v>0.12684713365894909</v>
      </c>
      <c r="D11" s="43">
        <f t="shared" si="6"/>
        <v>0.14443140656088976</v>
      </c>
      <c r="E11" s="43">
        <f t="shared" si="6"/>
        <v>5.4625073360119181E-2</v>
      </c>
      <c r="F11" s="43">
        <f t="shared" si="6"/>
        <v>4.8307568458258385E-2</v>
      </c>
      <c r="G11" s="43">
        <f t="shared" si="6"/>
        <v>7.5488683491627628E-2</v>
      </c>
      <c r="H11" s="43">
        <f t="shared" si="6"/>
        <v>0.14092255981601876</v>
      </c>
      <c r="I11" s="43">
        <f t="shared" si="6"/>
        <v>7.3732197697989443E-2</v>
      </c>
      <c r="K11" s="6" t="s">
        <v>59</v>
      </c>
      <c r="L11">
        <v>96119</v>
      </c>
      <c r="M11">
        <v>130279</v>
      </c>
      <c r="N11">
        <v>155257</v>
      </c>
      <c r="O11">
        <v>122581</v>
      </c>
      <c r="P11">
        <v>124059</v>
      </c>
      <c r="Q11">
        <v>143679</v>
      </c>
      <c r="R11">
        <v>129480</v>
      </c>
      <c r="S11">
        <v>140316</v>
      </c>
    </row>
    <row r="12" spans="1:19" ht="15.75" x14ac:dyDescent="0.25">
      <c r="A12" s="5" t="s">
        <v>0</v>
      </c>
      <c r="D12" s="3"/>
      <c r="E12" s="3"/>
      <c r="F12" s="3"/>
      <c r="G12" s="3"/>
      <c r="H12" s="3"/>
      <c r="I12" s="3"/>
      <c r="K12" s="6" t="s">
        <v>56</v>
      </c>
      <c r="L12">
        <v>404.7</v>
      </c>
      <c r="M12">
        <v>2025</v>
      </c>
      <c r="N12">
        <v>2027</v>
      </c>
      <c r="O12">
        <v>2027</v>
      </c>
      <c r="P12">
        <v>2027</v>
      </c>
      <c r="Q12">
        <v>2027</v>
      </c>
      <c r="R12">
        <v>2028</v>
      </c>
      <c r="S12">
        <v>2028</v>
      </c>
    </row>
    <row r="13" spans="1:19" x14ac:dyDescent="0.25">
      <c r="A13" s="6" t="s">
        <v>17</v>
      </c>
      <c r="B13" s="25">
        <f>L7/B4</f>
        <v>3.2275387795313616E-2</v>
      </c>
      <c r="C13" s="25">
        <f t="shared" ref="C13:I13" si="7">M7/C4</f>
        <v>3.8748445191920257E-2</v>
      </c>
      <c r="D13" s="25">
        <f t="shared" si="7"/>
        <v>4.7025200499487073E-2</v>
      </c>
      <c r="E13" s="25">
        <f t="shared" si="7"/>
        <v>6.0388430395159037E-2</v>
      </c>
      <c r="F13" s="25">
        <f t="shared" si="7"/>
        <v>4.899609013467314E-2</v>
      </c>
      <c r="G13" s="25">
        <f t="shared" si="7"/>
        <v>4.2777784938198407E-2</v>
      </c>
      <c r="H13" s="25">
        <f t="shared" si="7"/>
        <v>4.9246030425085713E-2</v>
      </c>
      <c r="I13" s="25">
        <f t="shared" si="7"/>
        <v>5.9688524229559406E-2</v>
      </c>
      <c r="K13" s="6" t="s">
        <v>57</v>
      </c>
      <c r="L13" s="25">
        <v>90.7</v>
      </c>
      <c r="M13">
        <v>108.5</v>
      </c>
      <c r="N13">
        <v>42.9</v>
      </c>
      <c r="O13">
        <v>61.45</v>
      </c>
      <c r="P13">
        <v>118.5</v>
      </c>
      <c r="Q13">
        <v>75.3</v>
      </c>
      <c r="R13">
        <v>88.8</v>
      </c>
      <c r="S13">
        <v>84.45</v>
      </c>
    </row>
    <row r="14" spans="1:19" x14ac:dyDescent="0.25">
      <c r="A14" s="6" t="s">
        <v>15</v>
      </c>
      <c r="B14" s="19">
        <f>L8/L4</f>
        <v>0.86764233610129837</v>
      </c>
      <c r="C14" s="19">
        <f t="shared" ref="C14:I14" si="8">M8/M4</f>
        <v>1.5718697174193721</v>
      </c>
      <c r="D14" s="19">
        <f t="shared" si="8"/>
        <v>2.097806678570477</v>
      </c>
      <c r="E14" s="19">
        <f t="shared" si="8"/>
        <v>2.8195776694879027</v>
      </c>
      <c r="F14" s="19">
        <f t="shared" si="8"/>
        <v>1.9849170209225278</v>
      </c>
      <c r="G14" s="19">
        <f t="shared" si="8"/>
        <v>1.7885553324117784</v>
      </c>
      <c r="H14" s="19">
        <f t="shared" si="8"/>
        <v>1.9198937705085481</v>
      </c>
      <c r="I14" s="19">
        <f t="shared" si="8"/>
        <v>2.1517373333138594</v>
      </c>
      <c r="K14" s="6" t="s">
        <v>32</v>
      </c>
      <c r="L14" s="27">
        <f>L12*L13</f>
        <v>36706.29</v>
      </c>
      <c r="M14" s="27">
        <f t="shared" ref="M14:S14" si="9">M12*M13</f>
        <v>219712.5</v>
      </c>
      <c r="N14" s="27">
        <f t="shared" si="9"/>
        <v>86958.3</v>
      </c>
      <c r="O14" s="27">
        <f t="shared" si="9"/>
        <v>124559.15000000001</v>
      </c>
      <c r="P14" s="27">
        <f t="shared" si="9"/>
        <v>240199.5</v>
      </c>
      <c r="Q14" s="27">
        <f t="shared" si="9"/>
        <v>152633.1</v>
      </c>
      <c r="R14" s="27">
        <f t="shared" si="9"/>
        <v>180086.39999999999</v>
      </c>
      <c r="S14" s="27">
        <f t="shared" si="9"/>
        <v>171264.6</v>
      </c>
    </row>
    <row r="15" spans="1:19" x14ac:dyDescent="0.25">
      <c r="A15" s="6" t="s">
        <v>45</v>
      </c>
      <c r="B15" s="19">
        <f>(L5+L15)/L11</f>
        <v>0.31114555915063619</v>
      </c>
      <c r="C15" s="19">
        <f t="shared" ref="C15:I15" si="10">(M5+M15)/M11</f>
        <v>0.23047459682681015</v>
      </c>
      <c r="D15" s="19">
        <f t="shared" si="10"/>
        <v>0.14540407195810817</v>
      </c>
      <c r="E15" s="19">
        <f t="shared" si="10"/>
        <v>0.30513701144549321</v>
      </c>
      <c r="F15" s="19">
        <f t="shared" si="10"/>
        <v>0.25383889923342928</v>
      </c>
      <c r="G15" s="19">
        <f t="shared" si="10"/>
        <v>0.25021749872980742</v>
      </c>
      <c r="H15" s="19">
        <f t="shared" si="10"/>
        <v>0.20965400061785605</v>
      </c>
      <c r="I15" s="19">
        <f t="shared" si="10"/>
        <v>0.2011887454032327</v>
      </c>
      <c r="K15" s="37"/>
    </row>
    <row r="16" spans="1:19" x14ac:dyDescent="0.25">
      <c r="A16" s="6" t="s">
        <v>16</v>
      </c>
      <c r="B16" s="18">
        <f>L9/B4</f>
        <v>5.4219869801224715E-2</v>
      </c>
      <c r="C16" s="18">
        <f t="shared" ref="C16:I16" si="11">M9/C4</f>
        <v>5.233965767943799E-2</v>
      </c>
      <c r="D16" s="18">
        <f t="shared" si="11"/>
        <v>5.9951558930625704E-2</v>
      </c>
      <c r="E16" s="18">
        <f t="shared" si="11"/>
        <v>6.6705116057655778E-2</v>
      </c>
      <c r="F16" s="18">
        <f t="shared" si="11"/>
        <v>5.7367357346580286E-2</v>
      </c>
      <c r="G16" s="18">
        <f t="shared" si="11"/>
        <v>6.4762782424890766E-2</v>
      </c>
      <c r="H16" s="18">
        <f t="shared" si="11"/>
        <v>8.2171032921673715E-2</v>
      </c>
      <c r="I16" s="18">
        <f t="shared" si="11"/>
        <v>7.5786571640160436E-2</v>
      </c>
    </row>
    <row r="17" spans="1:9" x14ac:dyDescent="0.25">
      <c r="A17" s="6" t="s">
        <v>9</v>
      </c>
      <c r="B17" s="25">
        <f t="shared" ref="B17" si="12">L10/L2</f>
        <v>6.3143556981275176E-2</v>
      </c>
      <c r="C17" s="25">
        <f t="shared" ref="C17" si="13">M10/M2</f>
        <v>4.6722027564379584E-2</v>
      </c>
      <c r="D17" s="25">
        <f t="shared" ref="D17" si="14">N10/N2</f>
        <v>2.6894438790716908E-2</v>
      </c>
      <c r="E17" s="25">
        <f t="shared" ref="E17" si="15">O10/O2</f>
        <v>-4.4196650264096429E-2</v>
      </c>
      <c r="F17" s="25">
        <f t="shared" ref="F17" si="16">P10/P2</f>
        <v>3.52574181456837E-2</v>
      </c>
      <c r="G17" s="25">
        <f t="shared" ref="G17" si="17">Q10/Q2</f>
        <v>5.1281688346614958E-2</v>
      </c>
      <c r="H17" s="25">
        <f t="shared" ref="H17" si="18">R10/R2</f>
        <v>3.319328350507865E-2</v>
      </c>
      <c r="I17" s="25">
        <f t="shared" ref="I17" si="19">S10/S2</f>
        <v>1.1025754794405342E-2</v>
      </c>
    </row>
    <row r="18" spans="1:9" x14ac:dyDescent="0.25">
      <c r="A18" s="6" t="s">
        <v>49</v>
      </c>
      <c r="B18" s="26">
        <v>1</v>
      </c>
      <c r="C18" s="26">
        <v>1</v>
      </c>
      <c r="D18" s="26">
        <v>1</v>
      </c>
      <c r="E18" s="26">
        <v>0</v>
      </c>
      <c r="F18" s="26">
        <v>1</v>
      </c>
      <c r="G18" s="26">
        <v>1</v>
      </c>
      <c r="H18" s="26">
        <v>1</v>
      </c>
      <c r="I18" s="26">
        <v>1</v>
      </c>
    </row>
    <row r="19" spans="1:9" x14ac:dyDescent="0.25">
      <c r="A19" s="6" t="s">
        <v>53</v>
      </c>
      <c r="B19" s="26">
        <v>1</v>
      </c>
      <c r="C19" s="26">
        <v>1</v>
      </c>
      <c r="D19" s="26">
        <v>1</v>
      </c>
      <c r="E19" s="26">
        <v>1</v>
      </c>
      <c r="F19" s="26">
        <v>1</v>
      </c>
      <c r="G19" s="26">
        <v>1</v>
      </c>
      <c r="H19" s="26">
        <v>1</v>
      </c>
      <c r="I19" s="26">
        <v>1</v>
      </c>
    </row>
    <row r="20" spans="1:9" x14ac:dyDescent="0.25">
      <c r="A20" t="s">
        <v>72</v>
      </c>
      <c r="B20">
        <v>1364</v>
      </c>
      <c r="C20">
        <v>202</v>
      </c>
      <c r="D20">
        <v>-1077</v>
      </c>
      <c r="E20">
        <v>-392</v>
      </c>
      <c r="F20">
        <v>-351</v>
      </c>
      <c r="G20">
        <v>25</v>
      </c>
      <c r="H20">
        <v>223</v>
      </c>
      <c r="I20">
        <v>274</v>
      </c>
    </row>
    <row r="21" spans="1:9" x14ac:dyDescent="0.25">
      <c r="A21" s="28" t="s">
        <v>73</v>
      </c>
      <c r="B21">
        <v>1</v>
      </c>
      <c r="C21">
        <v>1</v>
      </c>
      <c r="D21">
        <v>-1</v>
      </c>
      <c r="E21">
        <v>-1</v>
      </c>
      <c r="F21">
        <v>-1</v>
      </c>
      <c r="G21">
        <v>1</v>
      </c>
      <c r="H21">
        <v>1</v>
      </c>
      <c r="I21">
        <v>1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  <pageSetup paperSize="9" orientation="portrait" horizontalDpi="4294967293" verticalDpi="0" r:id="rId1"/>
  <ignoredErrors>
    <ignoredError sqref="D4:I4" unlocked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3" sqref="B3"/>
    </sheetView>
  </sheetViews>
  <sheetFormatPr defaultRowHeight="15" x14ac:dyDescent="0.25"/>
  <cols>
    <col min="1" max="1" width="19.7109375" customWidth="1"/>
    <col min="2" max="3" width="9.140625" customWidth="1"/>
    <col min="4" max="4" width="10" customWidth="1"/>
    <col min="6" max="6" width="9.5703125" bestFit="1" customWidth="1"/>
    <col min="7" max="7" width="12.42578125" customWidth="1"/>
    <col min="11" max="11" width="12.5703125" customWidth="1"/>
  </cols>
  <sheetData>
    <row r="1" spans="1:11" ht="18" thickBot="1" x14ac:dyDescent="0.3">
      <c r="A1" s="9" t="s">
        <v>62</v>
      </c>
      <c r="B1" s="7" t="s">
        <v>63</v>
      </c>
      <c r="C1" s="7" t="s">
        <v>61</v>
      </c>
      <c r="D1" s="7" t="s">
        <v>66</v>
      </c>
      <c r="E1" s="7" t="s">
        <v>64</v>
      </c>
      <c r="F1" s="7" t="s">
        <v>65</v>
      </c>
      <c r="G1" s="7" t="s">
        <v>67</v>
      </c>
      <c r="H1" s="7"/>
      <c r="I1" s="7"/>
      <c r="K1" s="7"/>
    </row>
    <row r="2" spans="1:11" ht="15.75" x14ac:dyDescent="0.25">
      <c r="A2" s="5" t="s">
        <v>27</v>
      </c>
      <c r="K2" s="28"/>
    </row>
    <row r="3" spans="1:11" x14ac:dyDescent="0.25">
      <c r="A3" s="6" t="s">
        <v>10</v>
      </c>
      <c r="B3" s="19">
        <f>AVERAGE('Volvo '!B3:I3,AAK!B3:I3)</f>
        <v>10.915694445415189</v>
      </c>
      <c r="C3" s="19">
        <f>MEDIAN('Volvo '!B3:I3,AAK!B3:I3)</f>
        <v>10.887542486594555</v>
      </c>
      <c r="D3" s="19">
        <f>STDEV('Volvo '!B3:I3,AAK!B3:I3)</f>
        <v>1.848767325898927</v>
      </c>
      <c r="E3" s="19">
        <f>MIN('Volvo '!B3:I3,AAK!B3:I3)</f>
        <v>8.84404789894249</v>
      </c>
      <c r="F3" s="19">
        <f>MAX('Volvo '!B3:I3,AAK!B3:I3)</f>
        <v>12.827774843491715</v>
      </c>
      <c r="K3" s="28"/>
    </row>
    <row r="4" spans="1:11" x14ac:dyDescent="0.25">
      <c r="A4" s="6" t="s">
        <v>13</v>
      </c>
      <c r="B4" s="27">
        <f>AVERAGE('Volvo '!B4:I4,AAK!B4:I4)</f>
        <v>146127.3125</v>
      </c>
      <c r="C4" s="27">
        <f>MEDIAN('Volvo '!B4:I4,AAK!B4:I4)</f>
        <v>117838</v>
      </c>
      <c r="D4" s="27">
        <f>STDEV('Volvo '!B4:I4,AAK!B4:I4)</f>
        <v>136761.3335655556</v>
      </c>
      <c r="E4" s="27">
        <f>MIN('Volvo '!B4:I4,AAK!B4:I4)</f>
        <v>10929</v>
      </c>
      <c r="F4" s="27">
        <f>MAX('Volvo '!B4:I4,AAK!B4:I4)</f>
        <v>310348</v>
      </c>
      <c r="K4" s="28"/>
    </row>
    <row r="5" spans="1:11" x14ac:dyDescent="0.25">
      <c r="A5" s="6" t="s">
        <v>4</v>
      </c>
      <c r="B5" s="27">
        <f>AVERAGE('Volvo '!B5:I5,AAK!B5:I5)</f>
        <v>1</v>
      </c>
      <c r="C5" s="27">
        <f>MEDIAN('Volvo '!B5:I5,AAK!B5:I5)</f>
        <v>1</v>
      </c>
      <c r="D5" s="27">
        <f>STDEV('Volvo '!B5:I5,AAK!B5:I5)</f>
        <v>0</v>
      </c>
      <c r="E5" s="27">
        <f>MIN('Volvo '!B5:I5,AAK!B5:I5)</f>
        <v>1</v>
      </c>
      <c r="F5" s="27">
        <f>MAX('Volvo '!B5:I5,AAK!B5:I5)</f>
        <v>1</v>
      </c>
      <c r="K5" s="28"/>
    </row>
    <row r="6" spans="1:11" x14ac:dyDescent="0.25">
      <c r="A6" s="6" t="s">
        <v>11</v>
      </c>
      <c r="B6" s="19">
        <f>AVERAGE('Volvo '!B6:I6,AAK!B6:I6)</f>
        <v>0.9140353252489668</v>
      </c>
      <c r="C6" s="19">
        <f>MEDIAN('Volvo '!B6:I6,AAK!B6:I6)</f>
        <v>0.91231075463374811</v>
      </c>
      <c r="D6" s="18">
        <f>STDEV('Volvo '!B6:I6,AAK!B6:I6)</f>
        <v>4.213289565278467E-2</v>
      </c>
      <c r="E6" s="19">
        <f>MIN('Volvo '!B6:I6,AAK!B6:I6)</f>
        <v>0.86790923824959476</v>
      </c>
      <c r="F6" s="19">
        <f>MAX('Volvo '!B6:I6,AAK!B6:I6)</f>
        <v>0.96693136241320399</v>
      </c>
      <c r="K6" s="29"/>
    </row>
    <row r="7" spans="1:11" ht="15.75" x14ac:dyDescent="0.25">
      <c r="A7" s="5" t="s">
        <v>24</v>
      </c>
      <c r="B7" s="27"/>
      <c r="C7" s="19"/>
      <c r="D7" s="18"/>
      <c r="E7" s="19"/>
      <c r="F7" s="19"/>
      <c r="K7" s="28"/>
    </row>
    <row r="8" spans="1:11" x14ac:dyDescent="0.25">
      <c r="A8" s="6" t="s">
        <v>8</v>
      </c>
      <c r="B8" s="19">
        <f>AVERAGE('Volvo '!B8:I8,AAK!B8:I8)</f>
        <v>1.4069132561544568</v>
      </c>
      <c r="C8" s="19">
        <f>MEDIAN('Volvo '!B8:I8,AAK!B8:I8)</f>
        <v>1.3548865903943668</v>
      </c>
      <c r="D8" s="18">
        <f>STDEV('Volvo '!B8:I8,AAK!B8:I8)</f>
        <v>0.3405935178807869</v>
      </c>
      <c r="E8" s="19">
        <f>MIN('Volvo '!B8:I8,AAK!B8:I8)</f>
        <v>0.80465775634898817</v>
      </c>
      <c r="F8" s="19">
        <f>MAX('Volvo '!B8:I8,AAK!B8:I8)</f>
        <v>2.2471876555500248</v>
      </c>
      <c r="K8" s="28"/>
    </row>
    <row r="9" spans="1:11" x14ac:dyDescent="0.25">
      <c r="A9" s="6" t="s">
        <v>6</v>
      </c>
      <c r="B9" s="27">
        <f>AVERAGE('Volvo '!B9:I9,AAK!B9:I9)</f>
        <v>1</v>
      </c>
      <c r="C9" s="27">
        <f>MEDIAN('Volvo '!B9:I9,AAK!B9:I9)</f>
        <v>1</v>
      </c>
      <c r="D9" s="27">
        <f>STDEV('Volvo '!B9:I9,AAK!B9:I9)</f>
        <v>0</v>
      </c>
      <c r="E9" s="27">
        <f>MIN('Volvo '!B9:I9,AAK!B9:I9)</f>
        <v>1</v>
      </c>
      <c r="F9" s="27">
        <f>MAX('Volvo '!B9:I9,AAK!B9:I9)</f>
        <v>1</v>
      </c>
      <c r="K9" s="28"/>
    </row>
    <row r="10" spans="1:11" x14ac:dyDescent="0.25">
      <c r="A10" s="6" t="s">
        <v>5</v>
      </c>
      <c r="B10" s="27">
        <f>AVERAGE('Volvo '!B10:I10,AAK!B10:I10)</f>
        <v>23141.6875</v>
      </c>
      <c r="C10" s="27">
        <f>MEDIAN('Volvo '!B10:I10,AAK!B10:I10)</f>
        <v>9911.5</v>
      </c>
      <c r="D10" s="27">
        <f>STDEV('Volvo '!B10:I10,AAK!B10:I10)</f>
        <v>32087.455687477519</v>
      </c>
      <c r="E10" s="27">
        <f>MIN('Volvo '!B10:I10,AAK!B10:I10)</f>
        <v>1190</v>
      </c>
      <c r="F10" s="27">
        <f>MAX('Volvo '!B10:I10,AAK!B10:I10)</f>
        <v>123253</v>
      </c>
      <c r="K10" s="28"/>
    </row>
    <row r="11" spans="1:11" x14ac:dyDescent="0.25">
      <c r="A11" s="6" t="s">
        <v>7</v>
      </c>
      <c r="B11" s="18">
        <f>AVERAGE('Volvo '!B11:I11,AAK!B11:I11)</f>
        <v>0.19631039320178456</v>
      </c>
      <c r="C11" s="18">
        <f>MEDIAN('Volvo '!B11:I11,AAK!B11:I11)</f>
        <v>0.14267698318845426</v>
      </c>
      <c r="D11" s="18">
        <f>STDEV('Volvo '!B11:I11,AAK!B11:I11)</f>
        <v>0.13470288473904782</v>
      </c>
      <c r="E11" s="38">
        <f>MIN('Volvo '!B11:I11,AAK!B11:I11)</f>
        <v>4.8307568458258385E-2</v>
      </c>
      <c r="F11" s="19">
        <f>MAX('Volvo '!B11:I11,AAK!B11:I11)</f>
        <v>0.47693545953015748</v>
      </c>
      <c r="K11" s="28"/>
    </row>
    <row r="12" spans="1:11" ht="15.75" x14ac:dyDescent="0.25">
      <c r="A12" s="5" t="s">
        <v>0</v>
      </c>
      <c r="B12" s="27"/>
      <c r="C12" s="19"/>
      <c r="D12" s="18"/>
      <c r="E12" s="19"/>
      <c r="F12" s="19"/>
      <c r="K12" s="28"/>
    </row>
    <row r="13" spans="1:11" x14ac:dyDescent="0.25">
      <c r="A13" s="6" t="s">
        <v>17</v>
      </c>
      <c r="B13" s="18">
        <f>AVERAGE('Volvo '!B13:I13,AAK!B13:I13)</f>
        <v>3.1004196427795425E-2</v>
      </c>
      <c r="C13" s="18">
        <f>MEDIAN('Volvo '!B13:I13,AAK!B13:I13)</f>
        <v>2.9947796544874526E-2</v>
      </c>
      <c r="D13" s="18">
        <f>STDEV('Volvo '!B13:I13,AAK!B13:I13)</f>
        <v>1.8911464548631223E-2</v>
      </c>
      <c r="E13" s="18">
        <f>MIN('Volvo '!B13:I13,AAK!B13:I13)</f>
        <v>7.0320218515720345E-3</v>
      </c>
      <c r="F13" s="18">
        <f>MAX('Volvo '!B13:I13,AAK!B13:I13)</f>
        <v>6.0388430395159037E-2</v>
      </c>
      <c r="K13" s="28"/>
    </row>
    <row r="14" spans="1:11" x14ac:dyDescent="0.25">
      <c r="A14" s="6" t="s">
        <v>15</v>
      </c>
      <c r="B14" s="19">
        <f>AVERAGE('Volvo '!B14:I14,AAK!B14:I14)</f>
        <v>1.5650757868663359</v>
      </c>
      <c r="C14" s="19">
        <f>MEDIAN('Volvo '!B14:I14,AAK!B14:I14)</f>
        <v>1.6802125249155753</v>
      </c>
      <c r="D14" s="18">
        <f>STDEV('Volvo '!B14:I14,AAK!B14:I14)</f>
        <v>0.63434952293659286</v>
      </c>
      <c r="E14" s="19">
        <f>MIN('Volvo '!B14:I14,AAK!B14:I14)</f>
        <v>0.5721814848762603</v>
      </c>
      <c r="F14" s="19">
        <f>MAX('Volvo '!B14:I14,AAK!B14:I14)</f>
        <v>2.8195776694879027</v>
      </c>
      <c r="K14" s="28"/>
    </row>
    <row r="15" spans="1:11" x14ac:dyDescent="0.25">
      <c r="A15" s="6" t="s">
        <v>45</v>
      </c>
      <c r="B15" s="19">
        <f>AVERAGE('Volvo '!B15:I15,AAK!B15:I15)</f>
        <v>0.17583006802103637</v>
      </c>
      <c r="C15" s="19">
        <f>MEDIAN('Volvo '!B15:I15,AAK!B15:I15)</f>
        <v>0.1938196187931045</v>
      </c>
      <c r="D15" s="18">
        <f>STDEV('Volvo '!B15:I15,AAK!B15:I15)</f>
        <v>8.5479527972401492E-2</v>
      </c>
      <c r="E15" s="18">
        <f>MIN('Volvo '!B15:I15,AAK!B15:I15)</f>
        <v>3.1175771971496437E-2</v>
      </c>
      <c r="F15" s="19">
        <f>MAX('Volvo '!B15:I15,AAK!B15:I15)</f>
        <v>0.31114555915063619</v>
      </c>
    </row>
    <row r="16" spans="1:11" x14ac:dyDescent="0.25">
      <c r="A16" s="6" t="s">
        <v>16</v>
      </c>
      <c r="B16" s="18">
        <f>AVERAGE('Volvo '!B16:I16,AAK!B16:I16)</f>
        <v>4.7124350850425156E-2</v>
      </c>
      <c r="C16" s="18">
        <f>MEDIAN('Volvo '!B16:I16,AAK!B16:I16)</f>
        <v>5.2505853445639794E-2</v>
      </c>
      <c r="D16" s="18">
        <f>STDEV('Volvo '!B16:I16,AAK!B16:I16)</f>
        <v>2.0881552334913341E-2</v>
      </c>
      <c r="E16" s="18">
        <f>MIN('Volvo '!B16:I16,AAK!B16:I16)</f>
        <v>1.9894233190632084E-2</v>
      </c>
      <c r="F16" s="18">
        <f>MAX('Volvo '!B16:I16,AAK!B16:I16)</f>
        <v>8.2171032921673715E-2</v>
      </c>
    </row>
    <row r="17" spans="1:6" x14ac:dyDescent="0.25">
      <c r="A17" s="6" t="s">
        <v>9</v>
      </c>
      <c r="B17" s="18">
        <f>AVERAGE('Volvo '!B17:I17,AAK!B17:I17)</f>
        <v>4.0738110560036733E-2</v>
      </c>
      <c r="C17" s="18">
        <f>MEDIAN('Volvo '!B17:I17,AAK!B17:I17)</f>
        <v>4.136936875565711E-2</v>
      </c>
      <c r="D17" s="18">
        <f>STDEV('Volvo '!B17:I17,AAK!B17:I17)</f>
        <v>3.3888036388140017E-2</v>
      </c>
      <c r="E17" s="18">
        <f>MIN('Volvo '!B17:I17,AAK!B17:I17)</f>
        <v>-4.4196650264096429E-2</v>
      </c>
      <c r="F17" s="19">
        <f>MAX('Volvo '!B17:I17,AAK!B17:I17)</f>
        <v>9.902502055679549E-2</v>
      </c>
    </row>
    <row r="18" spans="1:6" x14ac:dyDescent="0.25">
      <c r="A18" s="6" t="s">
        <v>49</v>
      </c>
      <c r="B18" s="19">
        <f>AVERAGE('Volvo '!B18:I18,AAK!B18:I18)</f>
        <v>0.9375</v>
      </c>
      <c r="C18" s="19">
        <f>MEDIAN('Volvo '!B18:I18,AAK!B18:I18)</f>
        <v>1</v>
      </c>
      <c r="D18" s="19">
        <f>STDEV('Volvo '!B18:I18,AAK!B18:I18)</f>
        <v>0.25</v>
      </c>
      <c r="E18" s="27">
        <f>MIN('Volvo '!B18:I18,AAK!B18:I18)</f>
        <v>0</v>
      </c>
      <c r="F18" s="27">
        <f>MAX('Volvo '!B18:I18,AAK!B18:I18)</f>
        <v>1</v>
      </c>
    </row>
    <row r="19" spans="1:6" x14ac:dyDescent="0.25">
      <c r="A19" s="6" t="s">
        <v>53</v>
      </c>
      <c r="B19" s="27">
        <f>AVERAGE('Volvo '!B19:I19,AAK!B19:I19)</f>
        <v>0.5</v>
      </c>
      <c r="C19" s="27">
        <f>MEDIAN('Volvo '!B19:I19,AAK!B19:I19)</f>
        <v>0.5</v>
      </c>
      <c r="D19" s="27">
        <f>STDEV('Volvo '!B19:I19,AAK!B19:I19)</f>
        <v>0.5163977794943222</v>
      </c>
      <c r="E19" s="27">
        <f>MIN('Volvo '!B19:I19,AAK!B19:I19)</f>
        <v>0</v>
      </c>
      <c r="F19" s="27">
        <f>MAX('Volvo '!B19:I19,AAK!B19:I19)</f>
        <v>1</v>
      </c>
    </row>
    <row r="20" spans="1:6" x14ac:dyDescent="0.25">
      <c r="A20" t="s">
        <v>72</v>
      </c>
    </row>
    <row r="21" spans="1:6" x14ac:dyDescent="0.25">
      <c r="A21" s="28" t="s">
        <v>73</v>
      </c>
    </row>
    <row r="22" spans="1:6" x14ac:dyDescent="0.25">
      <c r="A22" s="28"/>
    </row>
    <row r="23" spans="1:6" x14ac:dyDescent="0.25">
      <c r="A23" s="28"/>
    </row>
    <row r="24" spans="1:6" x14ac:dyDescent="0.25">
      <c r="A24" s="28"/>
    </row>
    <row r="25" spans="1:6" x14ac:dyDescent="0.25">
      <c r="A25" s="29"/>
    </row>
    <row r="26" spans="1:6" x14ac:dyDescent="0.25">
      <c r="A26" s="28"/>
    </row>
    <row r="27" spans="1:6" x14ac:dyDescent="0.25">
      <c r="A27" s="28"/>
    </row>
    <row r="28" spans="1:6" x14ac:dyDescent="0.25">
      <c r="A28" s="28"/>
    </row>
    <row r="29" spans="1:6" x14ac:dyDescent="0.25">
      <c r="A29" s="28"/>
    </row>
    <row r="30" spans="1:6" x14ac:dyDescent="0.25">
      <c r="A30" s="28"/>
    </row>
    <row r="31" spans="1:6" x14ac:dyDescent="0.25">
      <c r="A31" s="28"/>
    </row>
    <row r="32" spans="1:6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16" sqref="K16"/>
    </sheetView>
  </sheetViews>
  <sheetFormatPr defaultRowHeight="15" x14ac:dyDescent="0.25"/>
  <cols>
    <col min="1" max="1" width="19.5703125" customWidth="1"/>
    <col min="2" max="2" width="9.5703125" customWidth="1"/>
    <col min="11" max="11" width="12.5703125" customWidth="1"/>
  </cols>
  <sheetData>
    <row r="1" spans="1:19" ht="18" thickBot="1" x14ac:dyDescent="0.3">
      <c r="A1" s="9" t="s">
        <v>12</v>
      </c>
      <c r="B1" s="8">
        <v>2006</v>
      </c>
      <c r="C1" s="8">
        <v>2007</v>
      </c>
      <c r="D1" s="8">
        <v>2008</v>
      </c>
      <c r="E1" s="8">
        <v>2009</v>
      </c>
      <c r="F1" s="8">
        <v>2010</v>
      </c>
      <c r="G1" s="8">
        <v>2011</v>
      </c>
      <c r="H1" s="8">
        <v>2012</v>
      </c>
      <c r="I1" s="8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10" t="s">
        <v>27</v>
      </c>
      <c r="K2" s="31" t="s">
        <v>36</v>
      </c>
      <c r="L2">
        <v>6933</v>
      </c>
      <c r="M2">
        <v>8857</v>
      </c>
      <c r="N2">
        <v>11078</v>
      </c>
      <c r="O2">
        <v>8513</v>
      </c>
      <c r="P2">
        <v>9252</v>
      </c>
      <c r="Q2">
        <v>9974</v>
      </c>
      <c r="R2">
        <v>9760</v>
      </c>
      <c r="S2">
        <v>10045</v>
      </c>
    </row>
    <row r="3" spans="1:19" x14ac:dyDescent="0.25">
      <c r="A3" s="11" t="s">
        <v>10</v>
      </c>
      <c r="B3" s="19">
        <f>LN(L2)</f>
        <v>8.84404789894249</v>
      </c>
      <c r="C3" s="19">
        <f t="shared" ref="C3:I3" si="0">LN(M2)</f>
        <v>9.0889633858095831</v>
      </c>
      <c r="D3" s="19">
        <f t="shared" si="0"/>
        <v>9.3127164385930499</v>
      </c>
      <c r="E3" s="19">
        <f t="shared" si="0"/>
        <v>9.0493496858840565</v>
      </c>
      <c r="F3" s="19">
        <f t="shared" si="0"/>
        <v>9.13259502335133</v>
      </c>
      <c r="G3" s="19">
        <f t="shared" si="0"/>
        <v>9.2077369861060685</v>
      </c>
      <c r="H3" s="19">
        <f t="shared" si="0"/>
        <v>9.1860476794071388</v>
      </c>
      <c r="I3" s="19">
        <f t="shared" si="0"/>
        <v>9.2148302772490354</v>
      </c>
      <c r="K3" s="31" t="s">
        <v>30</v>
      </c>
      <c r="L3">
        <v>9546</v>
      </c>
      <c r="M3">
        <v>11342</v>
      </c>
      <c r="N3">
        <v>15107</v>
      </c>
      <c r="O3">
        <v>13911</v>
      </c>
      <c r="P3">
        <v>12852</v>
      </c>
      <c r="Q3">
        <v>14547</v>
      </c>
      <c r="R3">
        <v>14800</v>
      </c>
      <c r="S3">
        <v>14457</v>
      </c>
    </row>
    <row r="4" spans="1:19" x14ac:dyDescent="0.25">
      <c r="A4" s="11" t="s">
        <v>13</v>
      </c>
      <c r="B4">
        <v>10929</v>
      </c>
      <c r="C4">
        <v>13005</v>
      </c>
      <c r="D4">
        <v>17207</v>
      </c>
      <c r="E4">
        <v>15884</v>
      </c>
      <c r="F4">
        <v>14808</v>
      </c>
      <c r="G4">
        <v>16695</v>
      </c>
      <c r="H4">
        <v>16911</v>
      </c>
      <c r="I4">
        <v>16537</v>
      </c>
      <c r="K4" s="31" t="s">
        <v>31</v>
      </c>
      <c r="L4">
        <v>2319</v>
      </c>
      <c r="M4">
        <v>2443</v>
      </c>
      <c r="N4">
        <v>2383</v>
      </c>
      <c r="O4">
        <v>2949</v>
      </c>
      <c r="P4">
        <v>3188</v>
      </c>
      <c r="Q4">
        <v>3565</v>
      </c>
      <c r="R4">
        <v>3923</v>
      </c>
      <c r="S4">
        <v>4364</v>
      </c>
    </row>
    <row r="5" spans="1:19" x14ac:dyDescent="0.25">
      <c r="A5" s="1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31" t="s">
        <v>58</v>
      </c>
      <c r="L5">
        <v>129</v>
      </c>
      <c r="M5">
        <v>167</v>
      </c>
      <c r="N5">
        <v>105</v>
      </c>
      <c r="O5">
        <v>322</v>
      </c>
      <c r="P5">
        <v>540</v>
      </c>
      <c r="Q5">
        <v>331</v>
      </c>
      <c r="R5">
        <v>330</v>
      </c>
      <c r="S5">
        <v>213</v>
      </c>
    </row>
    <row r="6" spans="1:19" x14ac:dyDescent="0.25">
      <c r="A6" s="11" t="s">
        <v>11</v>
      </c>
      <c r="B6" s="19">
        <f>L3/B4</f>
        <v>0.87345594290419981</v>
      </c>
      <c r="C6" s="19">
        <f t="shared" ref="C6:I6" si="1">M3/C4</f>
        <v>0.8721261053440984</v>
      </c>
      <c r="D6" s="19">
        <f t="shared" si="1"/>
        <v>0.8779566455512291</v>
      </c>
      <c r="E6" s="19">
        <f t="shared" si="1"/>
        <v>0.87578695542684459</v>
      </c>
      <c r="F6" s="19">
        <f t="shared" si="1"/>
        <v>0.86790923824959476</v>
      </c>
      <c r="G6" s="19">
        <f t="shared" si="1"/>
        <v>0.87133872416891289</v>
      </c>
      <c r="H6" s="19">
        <f t="shared" si="1"/>
        <v>0.87517000768730413</v>
      </c>
      <c r="I6" s="19">
        <f t="shared" si="1"/>
        <v>0.87422144282517988</v>
      </c>
      <c r="K6" s="32" t="s">
        <v>38</v>
      </c>
      <c r="L6">
        <v>1384</v>
      </c>
      <c r="M6">
        <v>2655</v>
      </c>
      <c r="N6">
        <v>3587</v>
      </c>
      <c r="O6">
        <v>1190</v>
      </c>
      <c r="P6">
        <v>1217</v>
      </c>
      <c r="Q6">
        <v>1491</v>
      </c>
      <c r="R6">
        <v>3041</v>
      </c>
      <c r="S6">
        <v>4461</v>
      </c>
    </row>
    <row r="7" spans="1:19" ht="15.75" x14ac:dyDescent="0.25">
      <c r="A7" s="10" t="s">
        <v>24</v>
      </c>
      <c r="K7" s="31" t="s">
        <v>33</v>
      </c>
      <c r="L7">
        <v>111</v>
      </c>
      <c r="M7">
        <v>190</v>
      </c>
      <c r="N7">
        <v>121</v>
      </c>
      <c r="O7">
        <v>307</v>
      </c>
      <c r="P7">
        <v>409</v>
      </c>
      <c r="Q7">
        <v>146</v>
      </c>
      <c r="R7">
        <v>376</v>
      </c>
      <c r="S7">
        <v>119</v>
      </c>
    </row>
    <row r="8" spans="1:19" x14ac:dyDescent="0.25">
      <c r="A8" s="11" t="s">
        <v>8</v>
      </c>
      <c r="B8" s="19">
        <f>(L2+L14-L4)/L2</f>
        <v>1.85417568152315</v>
      </c>
      <c r="C8" s="19">
        <f t="shared" ref="C8:I8" si="2">(M2+M14-M4)/M2</f>
        <v>1.2657784802980694</v>
      </c>
      <c r="D8" s="19">
        <f t="shared" si="2"/>
        <v>1.1771980501895649</v>
      </c>
      <c r="E8" s="19">
        <f t="shared" si="2"/>
        <v>1.409726300951486</v>
      </c>
      <c r="F8" s="19">
        <f t="shared" si="2"/>
        <v>1.4907587548638133</v>
      </c>
      <c r="G8" s="19">
        <f t="shared" si="2"/>
        <v>1.4626528975335873</v>
      </c>
      <c r="H8" s="19">
        <f t="shared" si="2"/>
        <v>1.7574795081967214</v>
      </c>
      <c r="I8" s="19">
        <f t="shared" si="2"/>
        <v>2.2471876555500248</v>
      </c>
      <c r="K8" s="31" t="s">
        <v>37</v>
      </c>
      <c r="L8">
        <v>3156</v>
      </c>
      <c r="M8">
        <v>4457</v>
      </c>
      <c r="N8">
        <v>5220</v>
      </c>
      <c r="O8">
        <v>3502</v>
      </c>
      <c r="P8">
        <v>3182</v>
      </c>
      <c r="Q8">
        <v>3484</v>
      </c>
      <c r="R8">
        <v>2857</v>
      </c>
      <c r="S8">
        <v>2497</v>
      </c>
    </row>
    <row r="9" spans="1:19" x14ac:dyDescent="0.25">
      <c r="A9" s="11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 s="31" t="s">
        <v>34</v>
      </c>
      <c r="L9">
        <v>501</v>
      </c>
      <c r="M9">
        <v>685</v>
      </c>
      <c r="N9">
        <v>396</v>
      </c>
      <c r="O9">
        <v>316</v>
      </c>
      <c r="P9">
        <v>335</v>
      </c>
      <c r="Q9">
        <v>350</v>
      </c>
      <c r="R9">
        <v>374</v>
      </c>
      <c r="S9">
        <v>555</v>
      </c>
    </row>
    <row r="10" spans="1:19" x14ac:dyDescent="0.25">
      <c r="A10" s="11" t="s">
        <v>5</v>
      </c>
      <c r="B10">
        <v>1384</v>
      </c>
      <c r="C10">
        <v>2655</v>
      </c>
      <c r="D10">
        <v>3587</v>
      </c>
      <c r="E10">
        <v>1190</v>
      </c>
      <c r="F10">
        <v>1217</v>
      </c>
      <c r="G10">
        <v>1491</v>
      </c>
      <c r="H10">
        <v>3041</v>
      </c>
      <c r="I10">
        <v>4461</v>
      </c>
      <c r="K10" s="31" t="s">
        <v>35</v>
      </c>
      <c r="L10">
        <v>177</v>
      </c>
      <c r="M10">
        <v>319</v>
      </c>
      <c r="N10">
        <v>-4</v>
      </c>
      <c r="O10">
        <v>843</v>
      </c>
      <c r="P10">
        <v>626</v>
      </c>
      <c r="Q10">
        <v>604</v>
      </c>
      <c r="R10">
        <v>647</v>
      </c>
      <c r="S10">
        <v>741</v>
      </c>
    </row>
    <row r="11" spans="1:19" x14ac:dyDescent="0.25">
      <c r="A11" s="11" t="s">
        <v>7</v>
      </c>
      <c r="B11" s="19">
        <f>B10/L2</f>
        <v>0.19962498197028702</v>
      </c>
      <c r="C11" s="19">
        <f t="shared" ref="C11:I11" si="3">C10/M2</f>
        <v>0.29976289940160328</v>
      </c>
      <c r="D11" s="19">
        <f t="shared" si="3"/>
        <v>0.32379490882830836</v>
      </c>
      <c r="E11" s="19">
        <f t="shared" si="3"/>
        <v>0.13978620932691177</v>
      </c>
      <c r="F11" s="19">
        <f t="shared" si="3"/>
        <v>0.13153912667531345</v>
      </c>
      <c r="G11" s="19">
        <f t="shared" si="3"/>
        <v>0.14948867054341286</v>
      </c>
      <c r="H11" s="19">
        <f t="shared" si="3"/>
        <v>0.31157786885245903</v>
      </c>
      <c r="I11" s="19">
        <f t="shared" si="3"/>
        <v>0.44410154305624688</v>
      </c>
      <c r="K11" s="31" t="s">
        <v>59</v>
      </c>
      <c r="L11">
        <v>1898</v>
      </c>
      <c r="M11">
        <v>1925</v>
      </c>
      <c r="N11">
        <v>3368</v>
      </c>
      <c r="O11">
        <v>1727</v>
      </c>
      <c r="P11">
        <v>2578</v>
      </c>
      <c r="Q11">
        <v>2610</v>
      </c>
      <c r="R11">
        <v>2667</v>
      </c>
      <c r="S11">
        <v>2884</v>
      </c>
    </row>
    <row r="12" spans="1:19" ht="15.75" x14ac:dyDescent="0.25">
      <c r="A12" s="10" t="s">
        <v>0</v>
      </c>
      <c r="K12" s="31" t="s">
        <v>56</v>
      </c>
      <c r="L12">
        <v>41</v>
      </c>
      <c r="M12">
        <v>41</v>
      </c>
      <c r="N12">
        <v>41</v>
      </c>
      <c r="O12">
        <v>41</v>
      </c>
      <c r="P12">
        <v>41</v>
      </c>
      <c r="Q12">
        <v>41</v>
      </c>
      <c r="R12">
        <v>41</v>
      </c>
      <c r="S12">
        <v>41</v>
      </c>
    </row>
    <row r="13" spans="1:19" x14ac:dyDescent="0.25">
      <c r="A13" s="30" t="s">
        <v>17</v>
      </c>
      <c r="B13" s="18">
        <f>L7/B4</f>
        <v>1.0156464452374416E-2</v>
      </c>
      <c r="C13" s="18">
        <f t="shared" ref="C13:I13" si="4">M7/C4</f>
        <v>1.4609765474817378E-2</v>
      </c>
      <c r="D13" s="18">
        <f t="shared" si="4"/>
        <v>7.0320218515720345E-3</v>
      </c>
      <c r="E13" s="18">
        <f t="shared" si="4"/>
        <v>1.9327625283303954E-2</v>
      </c>
      <c r="F13" s="18">
        <f t="shared" si="4"/>
        <v>2.762020529443544E-2</v>
      </c>
      <c r="G13" s="18">
        <f t="shared" si="4"/>
        <v>8.7451332734351604E-3</v>
      </c>
      <c r="H13" s="18">
        <f t="shared" si="4"/>
        <v>2.2234048843947727E-2</v>
      </c>
      <c r="I13" s="18">
        <f t="shared" si="4"/>
        <v>7.1959847614440344E-3</v>
      </c>
      <c r="K13" s="31" t="s">
        <v>57</v>
      </c>
      <c r="L13">
        <v>201</v>
      </c>
      <c r="M13">
        <v>117</v>
      </c>
      <c r="N13">
        <v>106</v>
      </c>
      <c r="O13">
        <v>157</v>
      </c>
      <c r="P13">
        <v>188.5</v>
      </c>
      <c r="Q13">
        <v>199.5</v>
      </c>
      <c r="R13">
        <v>276</v>
      </c>
      <c r="S13">
        <v>412</v>
      </c>
    </row>
    <row r="14" spans="1:19" x14ac:dyDescent="0.25">
      <c r="A14" s="11" t="s">
        <v>15</v>
      </c>
      <c r="B14" s="19">
        <f>L8/L4</f>
        <v>1.3609314359637774</v>
      </c>
      <c r="C14" s="19">
        <f t="shared" ref="C14:I14" si="5">M8/M4</f>
        <v>1.8243962341383544</v>
      </c>
      <c r="D14" s="19">
        <f t="shared" si="5"/>
        <v>2.1905161561057489</v>
      </c>
      <c r="E14" s="19">
        <f t="shared" si="5"/>
        <v>1.1875211936249577</v>
      </c>
      <c r="F14" s="19">
        <f t="shared" si="5"/>
        <v>0.99811794228356332</v>
      </c>
      <c r="G14" s="19">
        <f t="shared" si="5"/>
        <v>0.97727910238429172</v>
      </c>
      <c r="H14" s="19">
        <f t="shared" si="5"/>
        <v>0.72826918174866173</v>
      </c>
      <c r="I14" s="19">
        <f t="shared" si="5"/>
        <v>0.5721814848762603</v>
      </c>
      <c r="K14" s="31" t="s">
        <v>32</v>
      </c>
      <c r="L14">
        <f t="shared" ref="L14:R14" si="6">L13*L12</f>
        <v>8241</v>
      </c>
      <c r="M14">
        <f t="shared" si="6"/>
        <v>4797</v>
      </c>
      <c r="N14">
        <f t="shared" si="6"/>
        <v>4346</v>
      </c>
      <c r="O14">
        <f t="shared" si="6"/>
        <v>6437</v>
      </c>
      <c r="P14">
        <f t="shared" si="6"/>
        <v>7728.5</v>
      </c>
      <c r="Q14">
        <f t="shared" si="6"/>
        <v>8179.5</v>
      </c>
      <c r="R14">
        <f t="shared" si="6"/>
        <v>11316</v>
      </c>
      <c r="S14">
        <f>S13*S12</f>
        <v>16892</v>
      </c>
    </row>
    <row r="15" spans="1:19" x14ac:dyDescent="0.25">
      <c r="A15" s="11" t="s">
        <v>45</v>
      </c>
      <c r="B15" s="18">
        <f>L5/L11</f>
        <v>6.7966280295047421E-2</v>
      </c>
      <c r="C15" s="18">
        <f t="shared" ref="C15:I15" si="7">M5/M11</f>
        <v>8.6753246753246749E-2</v>
      </c>
      <c r="D15" s="18">
        <f t="shared" si="7"/>
        <v>3.1175771971496437E-2</v>
      </c>
      <c r="E15" s="18">
        <f t="shared" si="7"/>
        <v>0.18645049218297627</v>
      </c>
      <c r="F15" s="18">
        <f t="shared" si="7"/>
        <v>0.20946470131885184</v>
      </c>
      <c r="G15" s="18">
        <f t="shared" si="7"/>
        <v>0.12681992337164752</v>
      </c>
      <c r="H15" s="18">
        <f t="shared" si="7"/>
        <v>0.12373453318335208</v>
      </c>
      <c r="I15" s="18">
        <f t="shared" si="7"/>
        <v>7.3855755894590841E-2</v>
      </c>
      <c r="K15" s="31"/>
    </row>
    <row r="16" spans="1:19" x14ac:dyDescent="0.25">
      <c r="A16" s="11" t="s">
        <v>16</v>
      </c>
      <c r="B16" s="18">
        <f>L9/B4</f>
        <v>4.5841339555311555E-2</v>
      </c>
      <c r="C16" s="18">
        <f t="shared" ref="C16:I16" si="8">M9/C4</f>
        <v>5.2672049211841598E-2</v>
      </c>
      <c r="D16" s="18">
        <f t="shared" si="8"/>
        <v>2.3013889696053932E-2</v>
      </c>
      <c r="E16" s="18">
        <f t="shared" si="8"/>
        <v>1.9894233190632084E-2</v>
      </c>
      <c r="F16" s="18">
        <f t="shared" si="8"/>
        <v>2.2622906537007024E-2</v>
      </c>
      <c r="G16" s="18">
        <f t="shared" si="8"/>
        <v>2.0964360587002098E-2</v>
      </c>
      <c r="H16" s="18">
        <f t="shared" si="8"/>
        <v>2.2115782626692684E-2</v>
      </c>
      <c r="I16" s="18">
        <f t="shared" si="8"/>
        <v>3.3561105400012094E-2</v>
      </c>
    </row>
    <row r="17" spans="1:9" x14ac:dyDescent="0.25">
      <c r="A17" s="11" t="s">
        <v>9</v>
      </c>
      <c r="B17" s="18">
        <f>L10/L2</f>
        <v>2.5530073561228904E-2</v>
      </c>
      <c r="C17" s="18">
        <f t="shared" ref="C17:I17" si="9">M10/M2</f>
        <v>3.6016709946934629E-2</v>
      </c>
      <c r="D17" s="39">
        <f t="shared" si="9"/>
        <v>-3.610760064993681E-4</v>
      </c>
      <c r="E17" s="18">
        <f t="shared" si="9"/>
        <v>9.902502055679549E-2</v>
      </c>
      <c r="F17" s="18">
        <f t="shared" si="9"/>
        <v>6.7661046260268046E-2</v>
      </c>
      <c r="G17" s="18">
        <f t="shared" si="9"/>
        <v>6.0557449368357733E-2</v>
      </c>
      <c r="H17" s="18">
        <f t="shared" si="9"/>
        <v>6.6290983606557372E-2</v>
      </c>
      <c r="I17" s="18">
        <f t="shared" si="9"/>
        <v>7.3768043802887012E-2</v>
      </c>
    </row>
    <row r="18" spans="1:9" x14ac:dyDescent="0.25">
      <c r="A18" s="1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1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</row>
    <row r="21" spans="1:9" x14ac:dyDescent="0.25">
      <c r="A21" s="28" t="s">
        <v>73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B16" sqref="B16:I16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  <c r="L2">
        <v>462.4</v>
      </c>
      <c r="M2">
        <v>489.5</v>
      </c>
      <c r="N2">
        <v>472.9</v>
      </c>
      <c r="O2">
        <v>498.5</v>
      </c>
      <c r="P2">
        <v>503.1</v>
      </c>
      <c r="Q2">
        <v>858.5</v>
      </c>
      <c r="R2">
        <v>696.7</v>
      </c>
      <c r="S2">
        <v>767.8</v>
      </c>
    </row>
    <row r="3" spans="1:19" x14ac:dyDescent="0.25">
      <c r="A3" s="6" t="s">
        <v>10</v>
      </c>
      <c r="B3" s="19">
        <f>LN(L2)</f>
        <v>6.136430317358168</v>
      </c>
      <c r="C3" s="19">
        <f t="shared" ref="C3:I3" si="0">LN(M2)</f>
        <v>6.1933844619705649</v>
      </c>
      <c r="D3" s="19">
        <f t="shared" si="0"/>
        <v>6.1588839496498302</v>
      </c>
      <c r="E3" s="19">
        <f t="shared" si="0"/>
        <v>6.2116035894018928</v>
      </c>
      <c r="F3" s="19">
        <f t="shared" si="0"/>
        <v>6.2207889574972732</v>
      </c>
      <c r="G3" s="19">
        <f t="shared" si="0"/>
        <v>6.7551866803375304</v>
      </c>
      <c r="H3" s="19">
        <f t="shared" si="0"/>
        <v>6.5463549020360734</v>
      </c>
      <c r="I3" s="19">
        <f t="shared" si="0"/>
        <v>6.6435292825666972</v>
      </c>
      <c r="K3" s="6" t="s">
        <v>30</v>
      </c>
      <c r="L3">
        <v>19</v>
      </c>
      <c r="M3">
        <v>5</v>
      </c>
      <c r="N3">
        <v>14</v>
      </c>
      <c r="O3">
        <v>5.3</v>
      </c>
      <c r="P3">
        <v>5.9</v>
      </c>
      <c r="Q3">
        <v>61</v>
      </c>
      <c r="R3">
        <v>59</v>
      </c>
      <c r="S3">
        <v>50.4</v>
      </c>
    </row>
    <row r="4" spans="1:19" x14ac:dyDescent="0.25">
      <c r="A4" s="6" t="s">
        <v>13</v>
      </c>
      <c r="B4">
        <v>66.400000000000006</v>
      </c>
      <c r="C4">
        <v>12.1</v>
      </c>
      <c r="D4">
        <v>53.5</v>
      </c>
      <c r="E4">
        <v>10.8</v>
      </c>
      <c r="F4">
        <v>11.4</v>
      </c>
      <c r="G4">
        <v>234.6</v>
      </c>
      <c r="H4">
        <v>227.9</v>
      </c>
      <c r="I4">
        <v>116</v>
      </c>
      <c r="K4" s="6" t="s">
        <v>31</v>
      </c>
      <c r="L4">
        <v>60</v>
      </c>
      <c r="M4">
        <v>190</v>
      </c>
      <c r="N4">
        <v>164</v>
      </c>
      <c r="O4">
        <v>189</v>
      </c>
      <c r="P4">
        <v>182</v>
      </c>
      <c r="Q4">
        <v>502</v>
      </c>
      <c r="R4">
        <v>340</v>
      </c>
      <c r="S4">
        <v>405</v>
      </c>
    </row>
    <row r="5" spans="1:19" x14ac:dyDescent="0.25">
      <c r="A5" s="6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s="6" t="s">
        <v>58</v>
      </c>
      <c r="L5">
        <v>98</v>
      </c>
      <c r="M5">
        <v>139</v>
      </c>
      <c r="N5">
        <v>139</v>
      </c>
      <c r="O5">
        <v>156</v>
      </c>
      <c r="P5">
        <v>131</v>
      </c>
      <c r="Q5">
        <v>465</v>
      </c>
      <c r="R5">
        <v>217</v>
      </c>
      <c r="S5">
        <v>376</v>
      </c>
    </row>
    <row r="6" spans="1:19" x14ac:dyDescent="0.25">
      <c r="A6" s="6" t="s">
        <v>11</v>
      </c>
      <c r="B6" s="19">
        <f>L3/B4</f>
        <v>0.28614457831325296</v>
      </c>
      <c r="C6" s="19">
        <f t="shared" ref="C6:I6" si="1">M3/C4</f>
        <v>0.41322314049586778</v>
      </c>
      <c r="D6" s="19">
        <f t="shared" si="1"/>
        <v>0.26168224299065418</v>
      </c>
      <c r="E6" s="19">
        <f t="shared" si="1"/>
        <v>0.4907407407407407</v>
      </c>
      <c r="F6" s="19">
        <f t="shared" si="1"/>
        <v>0.51754385964912286</v>
      </c>
      <c r="G6" s="19">
        <f t="shared" si="1"/>
        <v>0.26001705029838024</v>
      </c>
      <c r="H6" s="19">
        <f t="shared" si="1"/>
        <v>0.25888547608600265</v>
      </c>
      <c r="I6" s="19">
        <f t="shared" si="1"/>
        <v>0.43448275862068964</v>
      </c>
      <c r="K6" s="36" t="s">
        <v>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5.75" x14ac:dyDescent="0.25">
      <c r="A7" s="5" t="s">
        <v>24</v>
      </c>
      <c r="K7" s="6" t="s">
        <v>33</v>
      </c>
      <c r="L7">
        <v>165.7</v>
      </c>
      <c r="M7">
        <v>189.7</v>
      </c>
      <c r="N7">
        <v>207.4</v>
      </c>
      <c r="O7">
        <v>212</v>
      </c>
      <c r="P7">
        <v>217.3</v>
      </c>
      <c r="Q7">
        <v>318.60000000000002</v>
      </c>
      <c r="R7">
        <v>375.3</v>
      </c>
      <c r="S7">
        <v>308</v>
      </c>
    </row>
    <row r="8" spans="1:19" x14ac:dyDescent="0.25">
      <c r="A8" s="6" t="s">
        <v>8</v>
      </c>
      <c r="B8" s="19">
        <f>(L2+L14-L4)/L2</f>
        <v>7.7455449826989629</v>
      </c>
      <c r="C8" s="19">
        <f t="shared" ref="C8:I8" si="2">(M2+M14-M4)/M2</f>
        <v>6.4578140960163433</v>
      </c>
      <c r="D8" s="19">
        <f t="shared" si="2"/>
        <v>4.1275111017128365</v>
      </c>
      <c r="E8" s="19">
        <f t="shared" si="2"/>
        <v>13.757773319959879</v>
      </c>
      <c r="F8" s="19">
        <f t="shared" si="2"/>
        <v>22.808785529715763</v>
      </c>
      <c r="G8" s="19">
        <f t="shared" si="2"/>
        <v>2.1914967967384973</v>
      </c>
      <c r="H8" s="19">
        <f t="shared" si="2"/>
        <v>5.9590928663700291</v>
      </c>
      <c r="I8" s="19">
        <f t="shared" si="2"/>
        <v>7.1708778327689506</v>
      </c>
      <c r="K8" s="6" t="s">
        <v>37</v>
      </c>
      <c r="L8">
        <v>358.7</v>
      </c>
      <c r="M8">
        <v>256.10000000000002</v>
      </c>
      <c r="N8">
        <v>258.39999999999998</v>
      </c>
      <c r="O8">
        <v>255.5</v>
      </c>
      <c r="P8">
        <v>249.5</v>
      </c>
      <c r="Q8">
        <v>242.5</v>
      </c>
      <c r="R8">
        <v>236.5</v>
      </c>
      <c r="S8">
        <v>230.9</v>
      </c>
    </row>
    <row r="9" spans="1:19" x14ac:dyDescent="0.25">
      <c r="A9" s="6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 s="6" t="s">
        <v>34</v>
      </c>
      <c r="L9">
        <v>33</v>
      </c>
      <c r="M9">
        <v>91</v>
      </c>
      <c r="N9">
        <v>2855</v>
      </c>
      <c r="O9">
        <v>72</v>
      </c>
      <c r="P9">
        <v>91</v>
      </c>
      <c r="Q9">
        <v>527</v>
      </c>
      <c r="R9">
        <v>17</v>
      </c>
      <c r="S9">
        <v>53</v>
      </c>
    </row>
    <row r="10" spans="1:19" x14ac:dyDescent="0.25">
      <c r="A10" s="6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 s="6" t="s">
        <v>35</v>
      </c>
      <c r="L10">
        <v>-139.19999999999999</v>
      </c>
      <c r="M10">
        <v>-207.7</v>
      </c>
      <c r="N10">
        <v>-181.6</v>
      </c>
      <c r="O10">
        <v>-224</v>
      </c>
      <c r="P10">
        <v>-221.1</v>
      </c>
      <c r="Q10">
        <v>-94.5</v>
      </c>
      <c r="R10">
        <v>-175</v>
      </c>
      <c r="S10">
        <v>-212.1</v>
      </c>
    </row>
    <row r="11" spans="1:19" x14ac:dyDescent="0.25">
      <c r="A11" s="6" t="s">
        <v>7</v>
      </c>
      <c r="B11">
        <f>B10/L2</f>
        <v>0</v>
      </c>
      <c r="C11">
        <f t="shared" ref="C11:I11" si="3">C10/M2</f>
        <v>0</v>
      </c>
      <c r="D11">
        <f t="shared" si="3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0</v>
      </c>
      <c r="K11" s="6" t="s">
        <v>59</v>
      </c>
      <c r="L11">
        <v>147</v>
      </c>
      <c r="M11">
        <v>49</v>
      </c>
      <c r="N11">
        <v>58</v>
      </c>
      <c r="O11">
        <v>62</v>
      </c>
      <c r="P11">
        <v>80</v>
      </c>
      <c r="Q11">
        <v>122</v>
      </c>
      <c r="R11">
        <v>128</v>
      </c>
      <c r="S11">
        <v>138</v>
      </c>
    </row>
    <row r="12" spans="1:19" ht="15.75" x14ac:dyDescent="0.25">
      <c r="A12" s="5" t="s">
        <v>0</v>
      </c>
      <c r="K12" s="6" t="s">
        <v>56</v>
      </c>
      <c r="L12">
        <v>41</v>
      </c>
      <c r="M12">
        <v>49</v>
      </c>
      <c r="N12">
        <v>53</v>
      </c>
      <c r="O12">
        <v>65</v>
      </c>
      <c r="P12">
        <v>66</v>
      </c>
      <c r="Q12">
        <v>69</v>
      </c>
      <c r="R12">
        <v>69</v>
      </c>
      <c r="S12">
        <v>74</v>
      </c>
    </row>
    <row r="13" spans="1:19" x14ac:dyDescent="0.25">
      <c r="A13" s="6" t="s">
        <v>17</v>
      </c>
      <c r="B13" s="19">
        <f>L7/B4</f>
        <v>2.4954819277108431</v>
      </c>
      <c r="C13" s="19">
        <f t="shared" ref="C13:I13" si="4">M7/C4</f>
        <v>15.677685950413222</v>
      </c>
      <c r="D13" s="19">
        <f t="shared" si="4"/>
        <v>3.8766355140186919</v>
      </c>
      <c r="E13" s="19">
        <f t="shared" si="4"/>
        <v>19.62962962962963</v>
      </c>
      <c r="F13" s="19">
        <f t="shared" si="4"/>
        <v>19.061403508771932</v>
      </c>
      <c r="G13" s="19">
        <f t="shared" si="4"/>
        <v>1.3580562659846549</v>
      </c>
      <c r="H13" s="19">
        <f t="shared" si="4"/>
        <v>1.6467749012724879</v>
      </c>
      <c r="I13" s="19">
        <f t="shared" si="4"/>
        <v>2.6551724137931036</v>
      </c>
      <c r="K13" s="6" t="s">
        <v>57</v>
      </c>
      <c r="L13">
        <v>77.540000000000006</v>
      </c>
      <c r="M13">
        <v>58.4</v>
      </c>
      <c r="N13">
        <v>31</v>
      </c>
      <c r="O13">
        <v>100.75</v>
      </c>
      <c r="P13">
        <v>169</v>
      </c>
      <c r="Q13">
        <v>22.1</v>
      </c>
      <c r="R13">
        <v>55</v>
      </c>
      <c r="S13">
        <v>69.5</v>
      </c>
    </row>
    <row r="14" spans="1:19" x14ac:dyDescent="0.25">
      <c r="A14" s="6" t="s">
        <v>15</v>
      </c>
      <c r="B14" s="19">
        <f>L8/L4</f>
        <v>5.9783333333333335</v>
      </c>
      <c r="C14" s="19">
        <f t="shared" ref="C14:I14" si="5">M8/M4</f>
        <v>1.3478947368421055</v>
      </c>
      <c r="D14" s="19">
        <f t="shared" si="5"/>
        <v>1.5756097560975608</v>
      </c>
      <c r="E14" s="19">
        <f t="shared" si="5"/>
        <v>1.3518518518518519</v>
      </c>
      <c r="F14" s="19">
        <f t="shared" si="5"/>
        <v>1.3708791208791209</v>
      </c>
      <c r="G14" s="19">
        <f t="shared" si="5"/>
        <v>0.48306772908366535</v>
      </c>
      <c r="H14" s="19">
        <f t="shared" si="5"/>
        <v>0.69558823529411762</v>
      </c>
      <c r="I14" s="19">
        <f t="shared" si="5"/>
        <v>0.57012345679012344</v>
      </c>
      <c r="K14" s="6" t="s">
        <v>32</v>
      </c>
      <c r="L14" s="27">
        <f>L12*L13</f>
        <v>3179.1400000000003</v>
      </c>
      <c r="M14" s="27">
        <f t="shared" ref="M14:S14" si="6">M12*M13</f>
        <v>2861.6</v>
      </c>
      <c r="N14" s="27">
        <f t="shared" si="6"/>
        <v>1643</v>
      </c>
      <c r="O14" s="27">
        <f t="shared" si="6"/>
        <v>6548.75</v>
      </c>
      <c r="P14" s="27">
        <f t="shared" si="6"/>
        <v>11154</v>
      </c>
      <c r="Q14" s="27">
        <f t="shared" si="6"/>
        <v>1524.9</v>
      </c>
      <c r="R14" s="27">
        <f t="shared" si="6"/>
        <v>3795</v>
      </c>
      <c r="S14" s="27">
        <f t="shared" si="6"/>
        <v>5143</v>
      </c>
    </row>
    <row r="15" spans="1:19" x14ac:dyDescent="0.25">
      <c r="A15" s="6" t="s">
        <v>45</v>
      </c>
      <c r="B15" s="19">
        <f>L5/L11</f>
        <v>0.66666666666666663</v>
      </c>
      <c r="C15" s="19">
        <f t="shared" ref="C15:I15" si="7">M5/M11</f>
        <v>2.8367346938775508</v>
      </c>
      <c r="D15" s="19">
        <f t="shared" si="7"/>
        <v>2.396551724137931</v>
      </c>
      <c r="E15" s="19">
        <f t="shared" si="7"/>
        <v>2.5161290322580645</v>
      </c>
      <c r="F15" s="19">
        <f t="shared" si="7"/>
        <v>1.6375</v>
      </c>
      <c r="G15" s="19">
        <f t="shared" si="7"/>
        <v>3.8114754098360657</v>
      </c>
      <c r="H15" s="19">
        <f t="shared" si="7"/>
        <v>1.6953125</v>
      </c>
      <c r="I15" s="19">
        <f t="shared" si="7"/>
        <v>2.7246376811594204</v>
      </c>
    </row>
    <row r="16" spans="1:19" x14ac:dyDescent="0.25">
      <c r="A16" s="6" t="s">
        <v>16</v>
      </c>
      <c r="B16" s="19">
        <f>L9/B4</f>
        <v>0.49698795180722888</v>
      </c>
      <c r="C16" s="19">
        <f t="shared" ref="C16:I16" si="8">M9/C4</f>
        <v>7.5206611570247937</v>
      </c>
      <c r="D16" s="19">
        <f t="shared" si="8"/>
        <v>53.364485981308412</v>
      </c>
      <c r="E16" s="19">
        <f t="shared" si="8"/>
        <v>6.6666666666666661</v>
      </c>
      <c r="F16" s="19">
        <f t="shared" si="8"/>
        <v>7.9824561403508767</v>
      </c>
      <c r="G16" s="19">
        <f t="shared" si="8"/>
        <v>2.2463768115942031</v>
      </c>
      <c r="H16" s="19">
        <f t="shared" si="8"/>
        <v>7.4594120228170246E-2</v>
      </c>
      <c r="I16" s="19">
        <f t="shared" si="8"/>
        <v>0.45689655172413796</v>
      </c>
    </row>
    <row r="17" spans="1:9" x14ac:dyDescent="0.25">
      <c r="A17" s="6" t="s">
        <v>9</v>
      </c>
      <c r="B17" s="19">
        <f>L10/L2</f>
        <v>-0.30103806228373703</v>
      </c>
      <c r="C17" s="19">
        <f t="shared" ref="C17:I17" si="9">M10/M2</f>
        <v>-0.42431052093973443</v>
      </c>
      <c r="D17" s="19">
        <f t="shared" si="9"/>
        <v>-0.38401353351659973</v>
      </c>
      <c r="E17" s="19">
        <f t="shared" si="9"/>
        <v>-0.44934804413239721</v>
      </c>
      <c r="F17" s="19">
        <f t="shared" si="9"/>
        <v>-0.43947525342874177</v>
      </c>
      <c r="G17" s="19">
        <f t="shared" si="9"/>
        <v>-0.11007571345369831</v>
      </c>
      <c r="H17" s="19">
        <f t="shared" si="9"/>
        <v>-0.25118415386823595</v>
      </c>
      <c r="I17" s="19">
        <f t="shared" si="9"/>
        <v>-0.27624381349309718</v>
      </c>
    </row>
    <row r="18" spans="1:9" x14ac:dyDescent="0.25">
      <c r="A18" s="6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6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28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28"/>
    </row>
    <row r="23" spans="1:9" x14ac:dyDescent="0.25">
      <c r="A23" s="28"/>
    </row>
    <row r="24" spans="1:9" x14ac:dyDescent="0.25">
      <c r="A24" s="28"/>
    </row>
    <row r="25" spans="1:9" x14ac:dyDescent="0.25">
      <c r="A25" s="29"/>
    </row>
    <row r="26" spans="1:9" x14ac:dyDescent="0.25">
      <c r="A26" s="28"/>
    </row>
    <row r="27" spans="1:9" x14ac:dyDescent="0.25">
      <c r="A27" s="28"/>
    </row>
    <row r="28" spans="1:9" x14ac:dyDescent="0.25">
      <c r="A28" s="28"/>
    </row>
    <row r="29" spans="1:9" x14ac:dyDescent="0.25">
      <c r="A29" s="28"/>
    </row>
    <row r="30" spans="1:9" x14ac:dyDescent="0.25">
      <c r="A30" s="28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K2" sqref="K2:K14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</row>
    <row r="3" spans="1:19" x14ac:dyDescent="0.25">
      <c r="A3" s="6" t="s">
        <v>10</v>
      </c>
      <c r="K3" s="6" t="s">
        <v>30</v>
      </c>
    </row>
    <row r="4" spans="1:19" x14ac:dyDescent="0.25">
      <c r="A4" s="6" t="s">
        <v>13</v>
      </c>
      <c r="K4" s="6" t="s">
        <v>31</v>
      </c>
    </row>
    <row r="5" spans="1:19" x14ac:dyDescent="0.25">
      <c r="A5" s="6" t="s">
        <v>4</v>
      </c>
      <c r="K5" s="6" t="s">
        <v>58</v>
      </c>
    </row>
    <row r="6" spans="1:19" x14ac:dyDescent="0.25">
      <c r="A6" s="6" t="s">
        <v>11</v>
      </c>
      <c r="K6" s="36" t="s">
        <v>38</v>
      </c>
    </row>
    <row r="7" spans="1:19" ht="15.75" x14ac:dyDescent="0.25">
      <c r="A7" s="5" t="s">
        <v>24</v>
      </c>
      <c r="K7" s="6" t="s">
        <v>33</v>
      </c>
    </row>
    <row r="8" spans="1:19" x14ac:dyDescent="0.25">
      <c r="A8" s="6" t="s">
        <v>8</v>
      </c>
      <c r="K8" s="6" t="s">
        <v>37</v>
      </c>
    </row>
    <row r="9" spans="1:19" x14ac:dyDescent="0.25">
      <c r="A9" s="6" t="s">
        <v>6</v>
      </c>
      <c r="K9" s="6" t="s">
        <v>34</v>
      </c>
    </row>
    <row r="10" spans="1:19" x14ac:dyDescent="0.25">
      <c r="A10" s="6" t="s">
        <v>5</v>
      </c>
      <c r="K10" s="6" t="s">
        <v>35</v>
      </c>
    </row>
    <row r="11" spans="1:19" x14ac:dyDescent="0.25">
      <c r="A11" s="6" t="s">
        <v>7</v>
      </c>
      <c r="K11" s="6" t="s">
        <v>59</v>
      </c>
    </row>
    <row r="12" spans="1:19" ht="15.75" x14ac:dyDescent="0.25">
      <c r="A12" s="5" t="s">
        <v>0</v>
      </c>
      <c r="K12" s="6" t="s">
        <v>56</v>
      </c>
    </row>
    <row r="13" spans="1:19" x14ac:dyDescent="0.25">
      <c r="A13" s="6" t="s">
        <v>17</v>
      </c>
      <c r="K13" s="6" t="s">
        <v>57</v>
      </c>
    </row>
    <row r="14" spans="1:19" x14ac:dyDescent="0.25">
      <c r="A14" s="6" t="s">
        <v>15</v>
      </c>
      <c r="K14" s="6" t="s">
        <v>32</v>
      </c>
    </row>
    <row r="15" spans="1:19" x14ac:dyDescent="0.25">
      <c r="A15" s="6" t="s">
        <v>45</v>
      </c>
    </row>
    <row r="16" spans="1:19" x14ac:dyDescent="0.25">
      <c r="A16" s="6" t="s">
        <v>16</v>
      </c>
    </row>
    <row r="17" spans="1:1" x14ac:dyDescent="0.25">
      <c r="A17" s="6" t="s">
        <v>9</v>
      </c>
    </row>
    <row r="18" spans="1:1" x14ac:dyDescent="0.25">
      <c r="A18" s="6" t="s">
        <v>49</v>
      </c>
    </row>
    <row r="19" spans="1:1" x14ac:dyDescent="0.25">
      <c r="A19" s="6" t="s">
        <v>53</v>
      </c>
    </row>
    <row r="20" spans="1:1" x14ac:dyDescent="0.25">
      <c r="A20" t="s">
        <v>72</v>
      </c>
    </row>
    <row r="21" spans="1:1" x14ac:dyDescent="0.25">
      <c r="A21" s="28" t="s">
        <v>73</v>
      </c>
    </row>
    <row r="22" spans="1:1" x14ac:dyDescent="0.25">
      <c r="A22" s="28"/>
    </row>
    <row r="23" spans="1:1" x14ac:dyDescent="0.25">
      <c r="A23" s="28"/>
    </row>
    <row r="24" spans="1:1" x14ac:dyDescent="0.25">
      <c r="A24" s="28"/>
    </row>
    <row r="25" spans="1:1" x14ac:dyDescent="0.25">
      <c r="A25" s="29"/>
    </row>
    <row r="26" spans="1:1" x14ac:dyDescent="0.25">
      <c r="A26" s="28"/>
    </row>
    <row r="27" spans="1:1" x14ac:dyDescent="0.25">
      <c r="A27" s="28"/>
    </row>
    <row r="28" spans="1:1" x14ac:dyDescent="0.25">
      <c r="A28" s="28"/>
    </row>
    <row r="29" spans="1:1" x14ac:dyDescent="0.25">
      <c r="A29" s="28"/>
    </row>
    <row r="30" spans="1:1" x14ac:dyDescent="0.25">
      <c r="A30" s="28"/>
    </row>
    <row r="31" spans="1:1" x14ac:dyDescent="0.25">
      <c r="A31" s="28"/>
    </row>
    <row r="32" spans="1:1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16" sqref="K16"/>
    </sheetView>
  </sheetViews>
  <sheetFormatPr defaultRowHeight="15" x14ac:dyDescent="0.25"/>
  <cols>
    <col min="1" max="1" width="19.5703125" customWidth="1"/>
    <col min="11" max="11" width="12.5703125" customWidth="1"/>
  </cols>
  <sheetData>
    <row r="1" spans="1:19" ht="17.25" x14ac:dyDescent="0.25">
      <c r="A1" s="4" t="s">
        <v>12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K1" s="7"/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</row>
    <row r="2" spans="1:19" ht="15.75" x14ac:dyDescent="0.25">
      <c r="A2" s="5" t="s">
        <v>27</v>
      </c>
      <c r="K2" s="6" t="s">
        <v>36</v>
      </c>
    </row>
    <row r="3" spans="1:19" x14ac:dyDescent="0.25">
      <c r="A3" s="6" t="s">
        <v>10</v>
      </c>
      <c r="K3" s="6" t="s">
        <v>30</v>
      </c>
    </row>
    <row r="4" spans="1:19" x14ac:dyDescent="0.25">
      <c r="A4" s="6" t="s">
        <v>13</v>
      </c>
      <c r="K4" s="6" t="s">
        <v>31</v>
      </c>
    </row>
    <row r="5" spans="1:19" x14ac:dyDescent="0.25">
      <c r="A5" s="6" t="s">
        <v>4</v>
      </c>
      <c r="K5" s="6" t="s">
        <v>58</v>
      </c>
    </row>
    <row r="6" spans="1:19" x14ac:dyDescent="0.25">
      <c r="A6" s="6" t="s">
        <v>11</v>
      </c>
      <c r="K6" s="36" t="s">
        <v>38</v>
      </c>
    </row>
    <row r="7" spans="1:19" ht="15.75" x14ac:dyDescent="0.25">
      <c r="A7" s="5" t="s">
        <v>24</v>
      </c>
      <c r="K7" s="6" t="s">
        <v>33</v>
      </c>
    </row>
    <row r="8" spans="1:19" x14ac:dyDescent="0.25">
      <c r="A8" s="6" t="s">
        <v>8</v>
      </c>
      <c r="K8" s="6" t="s">
        <v>37</v>
      </c>
    </row>
    <row r="9" spans="1:19" x14ac:dyDescent="0.25">
      <c r="A9" s="6" t="s">
        <v>6</v>
      </c>
      <c r="K9" s="6" t="s">
        <v>34</v>
      </c>
    </row>
    <row r="10" spans="1:19" x14ac:dyDescent="0.25">
      <c r="A10" s="6" t="s">
        <v>5</v>
      </c>
      <c r="K10" s="6" t="s">
        <v>35</v>
      </c>
    </row>
    <row r="11" spans="1:19" x14ac:dyDescent="0.25">
      <c r="A11" s="6" t="s">
        <v>7</v>
      </c>
      <c r="K11" s="6" t="s">
        <v>59</v>
      </c>
    </row>
    <row r="12" spans="1:19" ht="15.75" x14ac:dyDescent="0.25">
      <c r="A12" s="5" t="s">
        <v>0</v>
      </c>
      <c r="K12" s="6" t="s">
        <v>56</v>
      </c>
    </row>
    <row r="13" spans="1:19" x14ac:dyDescent="0.25">
      <c r="A13" s="6" t="s">
        <v>17</v>
      </c>
      <c r="K13" s="6" t="s">
        <v>57</v>
      </c>
    </row>
    <row r="14" spans="1:19" x14ac:dyDescent="0.25">
      <c r="A14" s="6" t="s">
        <v>15</v>
      </c>
      <c r="K14" s="6" t="s">
        <v>32</v>
      </c>
    </row>
    <row r="15" spans="1:19" x14ac:dyDescent="0.25">
      <c r="A15" s="6" t="s">
        <v>45</v>
      </c>
      <c r="K15" s="37"/>
    </row>
    <row r="16" spans="1:19" x14ac:dyDescent="0.25">
      <c r="A16" s="6" t="s">
        <v>16</v>
      </c>
      <c r="K16" s="6"/>
    </row>
    <row r="17" spans="1:1" x14ac:dyDescent="0.25">
      <c r="A17" s="6" t="s">
        <v>9</v>
      </c>
    </row>
    <row r="18" spans="1:1" x14ac:dyDescent="0.25">
      <c r="A18" s="6" t="s">
        <v>49</v>
      </c>
    </row>
    <row r="19" spans="1:1" x14ac:dyDescent="0.25">
      <c r="A19" s="6" t="s">
        <v>53</v>
      </c>
    </row>
    <row r="20" spans="1:1" x14ac:dyDescent="0.25">
      <c r="A20" t="s">
        <v>72</v>
      </c>
    </row>
    <row r="21" spans="1:1" x14ac:dyDescent="0.25">
      <c r="A21" s="28" t="s">
        <v>73</v>
      </c>
    </row>
    <row r="22" spans="1:1" x14ac:dyDescent="0.25">
      <c r="A22" s="28"/>
    </row>
    <row r="23" spans="1:1" x14ac:dyDescent="0.25">
      <c r="A23" s="28"/>
    </row>
    <row r="24" spans="1:1" x14ac:dyDescent="0.25">
      <c r="A24" s="28"/>
    </row>
    <row r="25" spans="1:1" x14ac:dyDescent="0.25">
      <c r="A25" s="29"/>
    </row>
    <row r="26" spans="1:1" x14ac:dyDescent="0.25">
      <c r="A26" s="28"/>
    </row>
    <row r="27" spans="1:1" x14ac:dyDescent="0.25">
      <c r="A27" s="28"/>
    </row>
    <row r="28" spans="1:1" x14ac:dyDescent="0.25">
      <c r="A28" s="28"/>
    </row>
    <row r="29" spans="1:1" x14ac:dyDescent="0.25">
      <c r="A29" s="28"/>
    </row>
    <row r="30" spans="1:1" x14ac:dyDescent="0.25">
      <c r="A30" s="28"/>
    </row>
    <row r="31" spans="1:1" x14ac:dyDescent="0.25">
      <c r="A31" s="28"/>
    </row>
    <row r="32" spans="1:1" x14ac:dyDescent="0.25">
      <c r="A32" s="28"/>
    </row>
    <row r="33" spans="1:1" x14ac:dyDescent="0.25">
      <c r="A33" s="28"/>
    </row>
    <row r="34" spans="1:1" x14ac:dyDescent="0.25">
      <c r="A3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Explanations of the table</vt:lpstr>
      <vt:lpstr>Alfa Laval</vt:lpstr>
      <vt:lpstr>ASSA ABLOY B</vt:lpstr>
      <vt:lpstr>Atlas Copco</vt:lpstr>
      <vt:lpstr>Boliden</vt:lpstr>
      <vt:lpstr>Electrolux B</vt:lpstr>
      <vt:lpstr>Ericsson B</vt:lpstr>
      <vt:lpstr>Getinge B</vt:lpstr>
      <vt:lpstr>Hennes and Mauritz B</vt:lpstr>
      <vt:lpstr>Lundin Petroleum</vt:lpstr>
      <vt:lpstr>Modern times group B</vt:lpstr>
      <vt:lpstr>Sandvik</vt:lpstr>
      <vt:lpstr>SCA B</vt:lpstr>
      <vt:lpstr>Securitas B</vt:lpstr>
      <vt:lpstr>Skanska B</vt:lpstr>
      <vt:lpstr>SKF B</vt:lpstr>
      <vt:lpstr>SSAB A</vt:lpstr>
      <vt:lpstr>Swedish match</vt:lpstr>
      <vt:lpstr>Tele2 B</vt:lpstr>
      <vt:lpstr>TeliaSonera</vt:lpstr>
      <vt:lpstr>Volvo </vt:lpstr>
      <vt:lpstr>Total</vt:lpstr>
      <vt:lpstr>AAK</vt:lpstr>
      <vt:lpstr>Active Biotech</vt:lpstr>
      <vt:lpstr>Addtech</vt:lpstr>
      <vt:lpstr>ÅF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2015-02-07T18:09:41Z</dcterms:created>
  <dcterms:modified xsi:type="dcterms:W3CDTF">2015-03-27T10:52:48Z</dcterms:modified>
</cp:coreProperties>
</file>