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eonel\Documents\GitHub\MasterGeorge\Collected Data\"/>
    </mc:Choice>
  </mc:AlternateContent>
  <bookViews>
    <workbookView xWindow="240" yWindow="255" windowWidth="20115" windowHeight="7365" tabRatio="950"/>
  </bookViews>
  <sheets>
    <sheet name="Explanations of the table" sheetId="2" r:id="rId1"/>
    <sheet name="Alfa Laval" sheetId="5" r:id="rId2"/>
    <sheet name="ASSA ABLOY B" sheetId="6" r:id="rId3"/>
    <sheet name="Atlas Copco" sheetId="7" r:id="rId4"/>
    <sheet name="Boliden" sheetId="9" r:id="rId5"/>
    <sheet name="Electrolux B" sheetId="10" r:id="rId6"/>
    <sheet name="Ericsson B" sheetId="1" r:id="rId7"/>
    <sheet name="Getinge B" sheetId="11" r:id="rId8"/>
    <sheet name="Hennes and Mauritz B" sheetId="12" r:id="rId9"/>
    <sheet name="Investor" sheetId="29" r:id="rId10"/>
    <sheet name="Lundin Petroleum" sheetId="15" r:id="rId11"/>
    <sheet name="Modern times group B" sheetId="16" r:id="rId12"/>
    <sheet name="Sandvik" sheetId="17" r:id="rId13"/>
    <sheet name="SCA B" sheetId="18" r:id="rId14"/>
    <sheet name="Securitas B" sheetId="19" r:id="rId15"/>
    <sheet name="Skanska B" sheetId="20" r:id="rId16"/>
    <sheet name="SKF B" sheetId="21" r:id="rId17"/>
    <sheet name="SSAB A" sheetId="22" r:id="rId18"/>
    <sheet name="Swedish match" sheetId="23" r:id="rId19"/>
    <sheet name="Tele2 B" sheetId="24" r:id="rId20"/>
    <sheet name="TeliaSonera" sheetId="25" r:id="rId21"/>
    <sheet name="Volvo " sheetId="26" r:id="rId22"/>
    <sheet name="AAK" sheetId="4" r:id="rId23"/>
    <sheet name="Fagerhult" sheetId="51" r:id="rId24"/>
    <sheet name="B&amp;B tools" sheetId="32" r:id="rId25"/>
    <sheet name="Beijer alma" sheetId="33" r:id="rId26"/>
    <sheet name="Mycronic" sheetId="37" r:id="rId27"/>
    <sheet name="Clas Ohlson" sheetId="42" r:id="rId28"/>
    <sheet name="Total" sheetId="27" r:id="rId29"/>
    <sheet name="Active Biotech" sheetId="13" r:id="rId30"/>
    <sheet name="Arcam" sheetId="14" r:id="rId31"/>
    <sheet name="ÅF B" sheetId="8" r:id="rId32"/>
    <sheet name="Kinnevik" sheetId="28" r:id="rId33"/>
    <sheet name="Cavotec" sheetId="40" r:id="rId34"/>
    <sheet name="Bilia" sheetId="30" r:id="rId35"/>
    <sheet name="Beijer ref" sheetId="34" r:id="rId36"/>
    <sheet name="BioGaia" sheetId="35" r:id="rId37"/>
    <sheet name="Bure equity" sheetId="38" r:id="rId38"/>
    <sheet name="Catena" sheetId="39" r:id="rId39"/>
    <sheet name="Duni" sheetId="46" r:id="rId40"/>
    <sheet name="Eniro" sheetId="50" r:id="rId41"/>
    <sheet name="Sweco " sheetId="49" r:id="rId42"/>
    <sheet name="Sheet1" sheetId="58" r:id="rId43"/>
  </sheets>
  <calcPr calcId="152511"/>
</workbook>
</file>

<file path=xl/calcChain.xml><?xml version="1.0" encoding="utf-8"?>
<calcChain xmlns="http://schemas.openxmlformats.org/spreadsheetml/2006/main">
  <c r="I11" i="49" l="1"/>
  <c r="H11" i="49"/>
  <c r="G11" i="49"/>
  <c r="F11" i="49"/>
  <c r="E11" i="49"/>
  <c r="D11" i="49"/>
  <c r="C11" i="49"/>
  <c r="B11" i="49"/>
  <c r="I11" i="50"/>
  <c r="H11" i="50"/>
  <c r="G11" i="50"/>
  <c r="F11" i="50"/>
  <c r="E11" i="50"/>
  <c r="D11" i="50"/>
  <c r="C11" i="50"/>
  <c r="B11" i="50"/>
  <c r="I11" i="46"/>
  <c r="H11" i="46"/>
  <c r="G11" i="46"/>
  <c r="F11" i="46"/>
  <c r="E11" i="46"/>
  <c r="D11" i="46"/>
  <c r="C11" i="46"/>
  <c r="B11" i="46"/>
  <c r="I11" i="39"/>
  <c r="H11" i="39"/>
  <c r="G11" i="39"/>
  <c r="F11" i="39"/>
  <c r="E11" i="39"/>
  <c r="D11" i="39"/>
  <c r="C11" i="39"/>
  <c r="B11" i="39"/>
  <c r="I11" i="38"/>
  <c r="H11" i="38"/>
  <c r="G11" i="38"/>
  <c r="F11" i="38"/>
  <c r="E11" i="38"/>
  <c r="D11" i="38"/>
  <c r="C11" i="38"/>
  <c r="B11" i="38"/>
  <c r="I11" i="35"/>
  <c r="H11" i="35"/>
  <c r="G11" i="35"/>
  <c r="F11" i="35"/>
  <c r="E11" i="35"/>
  <c r="D11" i="35"/>
  <c r="C11" i="35"/>
  <c r="B11" i="35"/>
  <c r="I11" i="34"/>
  <c r="H11" i="34"/>
  <c r="G11" i="34"/>
  <c r="F11" i="34"/>
  <c r="E11" i="34"/>
  <c r="D11" i="34"/>
  <c r="C11" i="34"/>
  <c r="B11" i="34"/>
  <c r="I11" i="30"/>
  <c r="H11" i="30"/>
  <c r="G11" i="30"/>
  <c r="F11" i="30"/>
  <c r="E11" i="30"/>
  <c r="D11" i="30"/>
  <c r="C11" i="30"/>
  <c r="B11" i="30"/>
  <c r="I11" i="40"/>
  <c r="H11" i="40"/>
  <c r="G11" i="40"/>
  <c r="F11" i="40"/>
  <c r="E11" i="40"/>
  <c r="D11" i="40"/>
  <c r="C11" i="40"/>
  <c r="B11" i="40"/>
  <c r="I11" i="28"/>
  <c r="H11" i="28"/>
  <c r="G11" i="28"/>
  <c r="F11" i="28"/>
  <c r="E11" i="28"/>
  <c r="D11" i="28"/>
  <c r="C11" i="28"/>
  <c r="B11" i="28"/>
  <c r="I11" i="8"/>
  <c r="H11" i="8"/>
  <c r="G11" i="8"/>
  <c r="F11" i="8"/>
  <c r="E11" i="8"/>
  <c r="D11" i="8"/>
  <c r="C11" i="8"/>
  <c r="B11" i="8"/>
  <c r="I11" i="14"/>
  <c r="H11" i="14"/>
  <c r="G11" i="14"/>
  <c r="F11" i="14"/>
  <c r="E11" i="14"/>
  <c r="D11" i="14"/>
  <c r="C11" i="14"/>
  <c r="B11" i="14"/>
  <c r="I11" i="13"/>
  <c r="H11" i="13"/>
  <c r="G11" i="13"/>
  <c r="F11" i="13"/>
  <c r="E11" i="13"/>
  <c r="D11" i="13"/>
  <c r="C11" i="13"/>
  <c r="B11" i="13"/>
  <c r="B11" i="27"/>
  <c r="C11" i="27"/>
  <c r="D11" i="27"/>
  <c r="E11" i="27"/>
  <c r="F11" i="27"/>
  <c r="I11" i="42"/>
  <c r="H11" i="42"/>
  <c r="G11" i="42"/>
  <c r="F11" i="42"/>
  <c r="E11" i="42"/>
  <c r="D11" i="42"/>
  <c r="C11" i="42"/>
  <c r="B11" i="42"/>
  <c r="I11" i="37"/>
  <c r="H11" i="37"/>
  <c r="G11" i="37"/>
  <c r="F11" i="37"/>
  <c r="E11" i="37"/>
  <c r="D11" i="37"/>
  <c r="C11" i="37"/>
  <c r="B11" i="37"/>
  <c r="I11" i="33"/>
  <c r="H11" i="33"/>
  <c r="G11" i="33"/>
  <c r="F11" i="33"/>
  <c r="E11" i="33"/>
  <c r="D11" i="33"/>
  <c r="C11" i="33"/>
  <c r="B11" i="33"/>
  <c r="I11" i="32"/>
  <c r="H11" i="32"/>
  <c r="G11" i="32"/>
  <c r="F11" i="32"/>
  <c r="E11" i="32"/>
  <c r="D11" i="32"/>
  <c r="C11" i="32"/>
  <c r="B11" i="32"/>
  <c r="I11" i="51"/>
  <c r="H11" i="51"/>
  <c r="G11" i="51"/>
  <c r="F11" i="51"/>
  <c r="E11" i="51"/>
  <c r="D11" i="51"/>
  <c r="C11" i="51"/>
  <c r="B11" i="51"/>
  <c r="I11" i="4"/>
  <c r="H11" i="4"/>
  <c r="G11" i="4"/>
  <c r="F11" i="4"/>
  <c r="E11" i="4"/>
  <c r="D11" i="4"/>
  <c r="C11" i="4"/>
  <c r="B11" i="4"/>
  <c r="I11" i="26"/>
  <c r="H11" i="26"/>
  <c r="G11" i="26"/>
  <c r="F11" i="26"/>
  <c r="E11" i="26"/>
  <c r="D11" i="26"/>
  <c r="C11" i="26"/>
  <c r="B11" i="26"/>
  <c r="I11" i="25"/>
  <c r="H11" i="25"/>
  <c r="G11" i="25"/>
  <c r="F11" i="25"/>
  <c r="E11" i="25"/>
  <c r="D11" i="25"/>
  <c r="C11" i="25"/>
  <c r="B11" i="25"/>
  <c r="I11" i="24"/>
  <c r="H11" i="24"/>
  <c r="G11" i="24"/>
  <c r="F11" i="24"/>
  <c r="E11" i="24"/>
  <c r="D11" i="24"/>
  <c r="C11" i="24"/>
  <c r="B11" i="24"/>
  <c r="I11" i="23"/>
  <c r="H11" i="23"/>
  <c r="G11" i="23"/>
  <c r="F11" i="23"/>
  <c r="E11" i="23"/>
  <c r="D11" i="23"/>
  <c r="C11" i="23"/>
  <c r="B11" i="23"/>
  <c r="I11" i="22"/>
  <c r="H11" i="22"/>
  <c r="G11" i="22"/>
  <c r="F11" i="22"/>
  <c r="E11" i="22"/>
  <c r="D11" i="22"/>
  <c r="C11" i="22"/>
  <c r="B11" i="22"/>
  <c r="I11" i="21"/>
  <c r="H11" i="21"/>
  <c r="G11" i="21"/>
  <c r="F11" i="21"/>
  <c r="E11" i="21"/>
  <c r="D11" i="21"/>
  <c r="C11" i="21"/>
  <c r="B11" i="21"/>
  <c r="I11" i="20"/>
  <c r="H11" i="20"/>
  <c r="G11" i="20"/>
  <c r="F11" i="20"/>
  <c r="E11" i="20"/>
  <c r="D11" i="20"/>
  <c r="C11" i="20"/>
  <c r="B11" i="20"/>
  <c r="I11" i="19"/>
  <c r="H11" i="19"/>
  <c r="G11" i="19"/>
  <c r="F11" i="19"/>
  <c r="E11" i="19"/>
  <c r="D11" i="19"/>
  <c r="C11" i="19"/>
  <c r="B11" i="19"/>
  <c r="I11" i="18"/>
  <c r="H11" i="18"/>
  <c r="G11" i="18"/>
  <c r="F11" i="18"/>
  <c r="E11" i="18"/>
  <c r="D11" i="18"/>
  <c r="C11" i="18"/>
  <c r="B11" i="18"/>
  <c r="I11" i="17"/>
  <c r="H11" i="17"/>
  <c r="G11" i="17"/>
  <c r="F11" i="17"/>
  <c r="E11" i="17"/>
  <c r="D11" i="17"/>
  <c r="C11" i="17"/>
  <c r="B11" i="17"/>
  <c r="I11" i="16"/>
  <c r="H11" i="16"/>
  <c r="G11" i="16"/>
  <c r="F11" i="16"/>
  <c r="E11" i="16"/>
  <c r="D11" i="16"/>
  <c r="C11" i="16"/>
  <c r="B11" i="16"/>
  <c r="I11" i="15"/>
  <c r="H11" i="15"/>
  <c r="G11" i="15"/>
  <c r="F11" i="15"/>
  <c r="E11" i="15"/>
  <c r="D11" i="15"/>
  <c r="C11" i="15"/>
  <c r="B11" i="15"/>
  <c r="I11" i="29"/>
  <c r="H11" i="29"/>
  <c r="G11" i="29"/>
  <c r="F11" i="29"/>
  <c r="E11" i="29"/>
  <c r="D11" i="29"/>
  <c r="C11" i="29"/>
  <c r="B11" i="29"/>
  <c r="I11" i="12"/>
  <c r="H11" i="12"/>
  <c r="G11" i="12"/>
  <c r="F11" i="12"/>
  <c r="E11" i="12"/>
  <c r="D11" i="12"/>
  <c r="C11" i="12"/>
  <c r="B11" i="12"/>
  <c r="I11" i="11"/>
  <c r="H11" i="11"/>
  <c r="G11" i="11"/>
  <c r="F11" i="11"/>
  <c r="E11" i="11"/>
  <c r="D11" i="11"/>
  <c r="C11" i="11"/>
  <c r="B11" i="11"/>
  <c r="I11" i="1"/>
  <c r="H11" i="1"/>
  <c r="G11" i="1"/>
  <c r="F11" i="1"/>
  <c r="E11" i="1"/>
  <c r="D11" i="1"/>
  <c r="C11" i="1"/>
  <c r="B11" i="1"/>
  <c r="I11" i="10"/>
  <c r="H11" i="10"/>
  <c r="G11" i="10"/>
  <c r="F11" i="10"/>
  <c r="E11" i="10"/>
  <c r="D11" i="10"/>
  <c r="C11" i="10"/>
  <c r="B11" i="10"/>
  <c r="I11" i="9"/>
  <c r="H11" i="9"/>
  <c r="G11" i="9"/>
  <c r="F11" i="9"/>
  <c r="E11" i="9"/>
  <c r="D11" i="9"/>
  <c r="C11" i="9"/>
  <c r="B11" i="9"/>
  <c r="I11" i="7"/>
  <c r="H11" i="7"/>
  <c r="G11" i="7"/>
  <c r="F11" i="7"/>
  <c r="E11" i="7"/>
  <c r="D11" i="7"/>
  <c r="C11" i="7"/>
  <c r="B11" i="7"/>
  <c r="I11" i="6"/>
  <c r="H11" i="6"/>
  <c r="G11" i="6"/>
  <c r="F11" i="6"/>
  <c r="E11" i="6"/>
  <c r="D11" i="6"/>
  <c r="C11" i="6"/>
  <c r="B11" i="6"/>
  <c r="B11" i="5"/>
  <c r="I11" i="5"/>
  <c r="H11" i="5"/>
  <c r="G11" i="5"/>
  <c r="F11" i="5"/>
  <c r="E11" i="5"/>
  <c r="D11" i="5"/>
  <c r="C11" i="5"/>
  <c r="C17" i="51" l="1"/>
  <c r="D17" i="51"/>
  <c r="E17" i="51"/>
  <c r="F17" i="51"/>
  <c r="G17" i="51"/>
  <c r="H17" i="51"/>
  <c r="I17" i="51"/>
  <c r="B17" i="51"/>
  <c r="C16" i="51"/>
  <c r="D16" i="51"/>
  <c r="E16" i="51"/>
  <c r="F16" i="51"/>
  <c r="G16" i="51"/>
  <c r="H16" i="51"/>
  <c r="I16" i="51"/>
  <c r="B16" i="51"/>
  <c r="C15" i="51"/>
  <c r="D15" i="51"/>
  <c r="E15" i="51"/>
  <c r="F15" i="51"/>
  <c r="G15" i="51"/>
  <c r="H15" i="51"/>
  <c r="I15" i="51"/>
  <c r="B15" i="51"/>
  <c r="C8" i="51"/>
  <c r="D8" i="51"/>
  <c r="E8" i="51"/>
  <c r="F8" i="51"/>
  <c r="G8" i="51"/>
  <c r="H8" i="51"/>
  <c r="I8" i="51"/>
  <c r="B8" i="51"/>
  <c r="C14" i="51" l="1"/>
  <c r="D14" i="51"/>
  <c r="E14" i="51"/>
  <c r="F14" i="51"/>
  <c r="G14" i="51"/>
  <c r="H14" i="51"/>
  <c r="I14" i="51"/>
  <c r="B14" i="51"/>
  <c r="C3" i="51"/>
  <c r="D3" i="51"/>
  <c r="E3" i="51"/>
  <c r="F3" i="51"/>
  <c r="G3" i="51"/>
  <c r="H3" i="51"/>
  <c r="I3" i="51"/>
  <c r="B3" i="51"/>
  <c r="C6" i="51"/>
  <c r="D6" i="51"/>
  <c r="E6" i="51"/>
  <c r="F6" i="51"/>
  <c r="G6" i="51"/>
  <c r="H6" i="51"/>
  <c r="I6" i="51"/>
  <c r="B6" i="51"/>
  <c r="C16" i="49"/>
  <c r="D16" i="49"/>
  <c r="E16" i="49"/>
  <c r="F16" i="49"/>
  <c r="G16" i="49"/>
  <c r="H16" i="49"/>
  <c r="I16" i="49"/>
  <c r="B16" i="49"/>
  <c r="C8" i="49"/>
  <c r="D8" i="49"/>
  <c r="E8" i="49"/>
  <c r="F8" i="49"/>
  <c r="G8" i="49"/>
  <c r="H8" i="49"/>
  <c r="I8" i="49"/>
  <c r="B8" i="49"/>
  <c r="C14" i="49"/>
  <c r="D14" i="49"/>
  <c r="E14" i="49"/>
  <c r="F14" i="49"/>
  <c r="G14" i="49"/>
  <c r="H14" i="49"/>
  <c r="I14" i="49"/>
  <c r="B14" i="49"/>
  <c r="C15" i="49"/>
  <c r="D15" i="49"/>
  <c r="E15" i="49"/>
  <c r="F15" i="49"/>
  <c r="G15" i="49"/>
  <c r="H15" i="49"/>
  <c r="I15" i="49"/>
  <c r="B15" i="49"/>
  <c r="C17" i="49"/>
  <c r="D17" i="49"/>
  <c r="E17" i="49"/>
  <c r="F17" i="49"/>
  <c r="G17" i="49"/>
  <c r="H17" i="49"/>
  <c r="I17" i="49"/>
  <c r="B17" i="49"/>
  <c r="C3" i="49"/>
  <c r="D3" i="49"/>
  <c r="E3" i="49"/>
  <c r="F3" i="49"/>
  <c r="G3" i="49"/>
  <c r="H3" i="49"/>
  <c r="I3" i="49"/>
  <c r="B3" i="49"/>
  <c r="C6" i="49"/>
  <c r="D6" i="49"/>
  <c r="E6" i="49"/>
  <c r="F6" i="49"/>
  <c r="G6" i="49"/>
  <c r="H6" i="49"/>
  <c r="I6" i="49"/>
  <c r="B6" i="49"/>
  <c r="C17" i="50"/>
  <c r="D17" i="50"/>
  <c r="E17" i="50"/>
  <c r="F17" i="50"/>
  <c r="G17" i="50"/>
  <c r="H17" i="50"/>
  <c r="I17" i="50"/>
  <c r="B17" i="50"/>
  <c r="C16" i="50"/>
  <c r="D16" i="50"/>
  <c r="E16" i="50"/>
  <c r="F16" i="50"/>
  <c r="G16" i="50"/>
  <c r="H16" i="50"/>
  <c r="I16" i="50"/>
  <c r="B16" i="50"/>
  <c r="C15" i="50"/>
  <c r="D15" i="50"/>
  <c r="E15" i="50"/>
  <c r="F15" i="50"/>
  <c r="G15" i="50"/>
  <c r="H15" i="50"/>
  <c r="I15" i="50"/>
  <c r="B15" i="50"/>
  <c r="C14" i="50"/>
  <c r="D14" i="50"/>
  <c r="E14" i="50"/>
  <c r="F14" i="50"/>
  <c r="G14" i="50"/>
  <c r="H14" i="50"/>
  <c r="I14" i="50"/>
  <c r="B14" i="50"/>
  <c r="C13" i="50"/>
  <c r="D13" i="50"/>
  <c r="E13" i="50"/>
  <c r="F13" i="50"/>
  <c r="G13" i="50"/>
  <c r="H13" i="50"/>
  <c r="I13" i="50"/>
  <c r="B13" i="50"/>
  <c r="C3" i="50"/>
  <c r="D3" i="50"/>
  <c r="E3" i="50"/>
  <c r="F3" i="50"/>
  <c r="G3" i="50"/>
  <c r="H3" i="50"/>
  <c r="I3" i="50"/>
  <c r="C6" i="50"/>
  <c r="D6" i="50"/>
  <c r="E6" i="50"/>
  <c r="F6" i="50"/>
  <c r="G6" i="50"/>
  <c r="H6" i="50"/>
  <c r="I6" i="50"/>
  <c r="B6" i="50"/>
  <c r="B3" i="50"/>
  <c r="C8" i="50"/>
  <c r="D8" i="50"/>
  <c r="E8" i="50"/>
  <c r="F8" i="50"/>
  <c r="G8" i="50"/>
  <c r="I8" i="50"/>
  <c r="B8" i="50"/>
  <c r="S14" i="50"/>
  <c r="R14" i="50"/>
  <c r="H8" i="50" s="1"/>
  <c r="C8" i="46"/>
  <c r="D8" i="46"/>
  <c r="E8" i="46"/>
  <c r="F8" i="46"/>
  <c r="G8" i="46"/>
  <c r="H8" i="46"/>
  <c r="I8" i="46"/>
  <c r="B8" i="46"/>
  <c r="C13" i="46"/>
  <c r="D13" i="46"/>
  <c r="E13" i="46"/>
  <c r="F13" i="46"/>
  <c r="G13" i="46"/>
  <c r="H13" i="46"/>
  <c r="I13" i="46"/>
  <c r="B13" i="46"/>
  <c r="C14" i="46"/>
  <c r="D14" i="46"/>
  <c r="E14" i="46"/>
  <c r="F14" i="46"/>
  <c r="G14" i="46"/>
  <c r="H14" i="46"/>
  <c r="I14" i="46"/>
  <c r="B14" i="46"/>
  <c r="C15" i="46"/>
  <c r="D15" i="46"/>
  <c r="E15" i="46"/>
  <c r="F15" i="46"/>
  <c r="G15" i="46"/>
  <c r="H15" i="46"/>
  <c r="I15" i="46"/>
  <c r="B15" i="46"/>
  <c r="C16" i="46"/>
  <c r="D16" i="46"/>
  <c r="E16" i="46"/>
  <c r="F16" i="46"/>
  <c r="G16" i="46"/>
  <c r="H16" i="46"/>
  <c r="I16" i="46"/>
  <c r="B16" i="46"/>
  <c r="C17" i="46"/>
  <c r="D17" i="46"/>
  <c r="E17" i="46"/>
  <c r="F17" i="46"/>
  <c r="G17" i="46"/>
  <c r="H17" i="46"/>
  <c r="I17" i="46"/>
  <c r="B17" i="46"/>
  <c r="D6" i="46"/>
  <c r="E6" i="46"/>
  <c r="F6" i="46"/>
  <c r="G6" i="46"/>
  <c r="H6" i="46"/>
  <c r="M3" i="46"/>
  <c r="C6" i="46" s="1"/>
  <c r="L3" i="46"/>
  <c r="B6" i="46" s="1"/>
  <c r="N3" i="46"/>
  <c r="R3" i="46"/>
  <c r="S3" i="46"/>
  <c r="I6" i="46" s="1"/>
  <c r="C3" i="46"/>
  <c r="D3" i="46"/>
  <c r="E3" i="46"/>
  <c r="F3" i="46"/>
  <c r="G3" i="46"/>
  <c r="H3" i="46"/>
  <c r="I3" i="46"/>
  <c r="B3" i="46"/>
  <c r="C13" i="42" l="1"/>
  <c r="D13" i="42"/>
  <c r="E13" i="42"/>
  <c r="F13" i="42"/>
  <c r="G13" i="42"/>
  <c r="H13" i="42"/>
  <c r="I13" i="42"/>
  <c r="B13" i="42"/>
  <c r="C14" i="42"/>
  <c r="D14" i="42"/>
  <c r="E14" i="42"/>
  <c r="F14" i="42"/>
  <c r="G14" i="42"/>
  <c r="H14" i="42"/>
  <c r="I14" i="42"/>
  <c r="B14" i="42"/>
  <c r="C15" i="42"/>
  <c r="D15" i="42"/>
  <c r="E15" i="42"/>
  <c r="F15" i="42"/>
  <c r="G15" i="42"/>
  <c r="H15" i="42"/>
  <c r="I15" i="42"/>
  <c r="B15" i="42"/>
  <c r="C16" i="42"/>
  <c r="D16" i="42"/>
  <c r="E16" i="42"/>
  <c r="F16" i="42"/>
  <c r="G16" i="42"/>
  <c r="H16" i="42"/>
  <c r="I16" i="42"/>
  <c r="B16" i="42"/>
  <c r="C17" i="42"/>
  <c r="D17" i="42"/>
  <c r="E17" i="42"/>
  <c r="F17" i="42"/>
  <c r="G17" i="42"/>
  <c r="H17" i="42"/>
  <c r="I17" i="42"/>
  <c r="B17" i="42"/>
  <c r="C3" i="42"/>
  <c r="D3" i="42"/>
  <c r="E3" i="42"/>
  <c r="F3" i="42"/>
  <c r="G3" i="42"/>
  <c r="H3" i="42"/>
  <c r="I3" i="42"/>
  <c r="B3" i="42"/>
  <c r="C6" i="42"/>
  <c r="D6" i="42"/>
  <c r="E6" i="42"/>
  <c r="F6" i="42"/>
  <c r="G6" i="42"/>
  <c r="H6" i="42"/>
  <c r="I6" i="42"/>
  <c r="B6" i="42"/>
  <c r="M14" i="42"/>
  <c r="C8" i="42" s="1"/>
  <c r="N14" i="42"/>
  <c r="D8" i="42" s="1"/>
  <c r="O14" i="42"/>
  <c r="E8" i="42" s="1"/>
  <c r="P14" i="42"/>
  <c r="F8" i="42" s="1"/>
  <c r="Q14" i="42"/>
  <c r="G8" i="42" s="1"/>
  <c r="R14" i="42"/>
  <c r="H8" i="42" s="1"/>
  <c r="S14" i="42"/>
  <c r="I8" i="42" s="1"/>
  <c r="L14" i="42"/>
  <c r="B8" i="42" s="1"/>
  <c r="C8" i="40" l="1"/>
  <c r="D8" i="40"/>
  <c r="E8" i="40"/>
  <c r="F8" i="40"/>
  <c r="G8" i="40"/>
  <c r="H8" i="40"/>
  <c r="I8" i="40"/>
  <c r="B8" i="40"/>
  <c r="C14" i="40"/>
  <c r="D14" i="40"/>
  <c r="E14" i="40"/>
  <c r="F14" i="40"/>
  <c r="G14" i="40"/>
  <c r="H14" i="40"/>
  <c r="I14" i="40"/>
  <c r="B14" i="40"/>
  <c r="C15" i="40"/>
  <c r="D15" i="40"/>
  <c r="E15" i="40"/>
  <c r="F15" i="40"/>
  <c r="G15" i="40"/>
  <c r="H15" i="40"/>
  <c r="I15" i="40"/>
  <c r="B15" i="40"/>
  <c r="C16" i="40"/>
  <c r="D16" i="40"/>
  <c r="E16" i="40"/>
  <c r="F16" i="40"/>
  <c r="G16" i="40"/>
  <c r="H16" i="40"/>
  <c r="I16" i="40"/>
  <c r="B16" i="40"/>
  <c r="C17" i="40"/>
  <c r="D17" i="40"/>
  <c r="E17" i="40"/>
  <c r="F17" i="40"/>
  <c r="G17" i="40"/>
  <c r="H17" i="40"/>
  <c r="I17" i="40"/>
  <c r="B17" i="40"/>
  <c r="C6" i="40"/>
  <c r="D6" i="40"/>
  <c r="E6" i="40"/>
  <c r="F6" i="40"/>
  <c r="G6" i="40"/>
  <c r="H6" i="40"/>
  <c r="I6" i="40"/>
  <c r="B6" i="40"/>
  <c r="C3" i="40"/>
  <c r="D3" i="40"/>
  <c r="E3" i="40"/>
  <c r="F3" i="40"/>
  <c r="G3" i="40"/>
  <c r="H3" i="40"/>
  <c r="I3" i="40"/>
  <c r="B3" i="40"/>
  <c r="C5" i="58" l="1"/>
  <c r="C6" i="58" s="1"/>
  <c r="D5" i="58"/>
  <c r="D6" i="58" s="1"/>
  <c r="E5" i="58"/>
  <c r="E6" i="58" s="1"/>
  <c r="F5" i="58"/>
  <c r="F6" i="58" s="1"/>
  <c r="G5" i="58"/>
  <c r="G6" i="58" s="1"/>
  <c r="H5" i="58"/>
  <c r="H6" i="58" s="1"/>
  <c r="I5" i="58"/>
  <c r="I6" i="58" s="1"/>
  <c r="J5" i="58"/>
  <c r="J6" i="58" s="1"/>
  <c r="K5" i="58"/>
  <c r="K6" i="58" s="1"/>
  <c r="B5" i="58"/>
  <c r="B6" i="58" s="1"/>
  <c r="B4" i="58"/>
  <c r="B3" i="58"/>
  <c r="B9" i="58" l="1"/>
  <c r="J9" i="58"/>
  <c r="H9" i="58"/>
  <c r="F9" i="58"/>
  <c r="D9" i="58"/>
  <c r="K9" i="58"/>
  <c r="I9" i="58"/>
  <c r="G9" i="58"/>
  <c r="E9" i="58"/>
  <c r="C9" i="58"/>
  <c r="C3" i="39"/>
  <c r="D3" i="39"/>
  <c r="E3" i="39"/>
  <c r="F3" i="39"/>
  <c r="G3" i="39"/>
  <c r="H3" i="39"/>
  <c r="I3" i="39"/>
  <c r="B3" i="39"/>
  <c r="C14" i="39"/>
  <c r="D14" i="39"/>
  <c r="E14" i="39"/>
  <c r="F14" i="39"/>
  <c r="G14" i="39"/>
  <c r="H14" i="39"/>
  <c r="I14" i="39"/>
  <c r="B14" i="39"/>
  <c r="I15" i="39"/>
  <c r="C15" i="39"/>
  <c r="D15" i="39"/>
  <c r="E15" i="39"/>
  <c r="F15" i="39"/>
  <c r="G15" i="39"/>
  <c r="H15" i="39"/>
  <c r="B15" i="39"/>
  <c r="C16" i="39"/>
  <c r="D16" i="39"/>
  <c r="E16" i="39"/>
  <c r="F16" i="39"/>
  <c r="G16" i="39"/>
  <c r="H16" i="39"/>
  <c r="I16" i="39"/>
  <c r="B16" i="39"/>
  <c r="C17" i="39"/>
  <c r="D17" i="39"/>
  <c r="E17" i="39"/>
  <c r="F17" i="39"/>
  <c r="G17" i="39"/>
  <c r="H17" i="39"/>
  <c r="I17" i="39"/>
  <c r="B17" i="39"/>
  <c r="M14" i="39"/>
  <c r="C8" i="39" s="1"/>
  <c r="N14" i="39"/>
  <c r="D8" i="39" s="1"/>
  <c r="O14" i="39"/>
  <c r="E8" i="39" s="1"/>
  <c r="P14" i="39"/>
  <c r="F8" i="39" s="1"/>
  <c r="Q14" i="39"/>
  <c r="G8" i="39" s="1"/>
  <c r="R14" i="39"/>
  <c r="H8" i="39" s="1"/>
  <c r="S14" i="39"/>
  <c r="I8" i="39" s="1"/>
  <c r="L14" i="39"/>
  <c r="B8" i="39" s="1"/>
  <c r="C6" i="39"/>
  <c r="D6" i="39"/>
  <c r="E6" i="39"/>
  <c r="F6" i="39"/>
  <c r="G6" i="39"/>
  <c r="H6" i="39"/>
  <c r="I6" i="39"/>
  <c r="B6" i="39"/>
  <c r="C13" i="37" l="1"/>
  <c r="D13" i="37"/>
  <c r="E13" i="37"/>
  <c r="F13" i="37"/>
  <c r="G13" i="37"/>
  <c r="H13" i="37"/>
  <c r="I13" i="37"/>
  <c r="B13" i="37"/>
  <c r="C14" i="37"/>
  <c r="D14" i="37"/>
  <c r="E14" i="37"/>
  <c r="F14" i="37"/>
  <c r="G14" i="37"/>
  <c r="H14" i="37"/>
  <c r="I14" i="37"/>
  <c r="B14" i="37"/>
  <c r="C15" i="37"/>
  <c r="D15" i="37"/>
  <c r="E15" i="37"/>
  <c r="F15" i="37"/>
  <c r="G15" i="37"/>
  <c r="H15" i="37"/>
  <c r="I15" i="37"/>
  <c r="B15" i="37"/>
  <c r="C16" i="37"/>
  <c r="D16" i="37"/>
  <c r="E16" i="37"/>
  <c r="F16" i="37"/>
  <c r="G16" i="37"/>
  <c r="H16" i="37"/>
  <c r="I16" i="37"/>
  <c r="B16" i="37"/>
  <c r="C17" i="37"/>
  <c r="D17" i="37"/>
  <c r="E17" i="37"/>
  <c r="F17" i="37"/>
  <c r="G17" i="37"/>
  <c r="H17" i="37"/>
  <c r="I17" i="37"/>
  <c r="B17" i="37"/>
  <c r="C3" i="37"/>
  <c r="D3" i="37"/>
  <c r="E3" i="37"/>
  <c r="F3" i="37"/>
  <c r="G3" i="37"/>
  <c r="H3" i="37"/>
  <c r="I3" i="37"/>
  <c r="B3" i="37"/>
  <c r="C6" i="37"/>
  <c r="D6" i="37"/>
  <c r="E6" i="37"/>
  <c r="F6" i="37"/>
  <c r="G6" i="37"/>
  <c r="H6" i="37"/>
  <c r="I6" i="37"/>
  <c r="B6" i="37"/>
  <c r="M14" i="37"/>
  <c r="C8" i="37" s="1"/>
  <c r="N14" i="37"/>
  <c r="D8" i="37" s="1"/>
  <c r="O14" i="37"/>
  <c r="E8" i="37" s="1"/>
  <c r="P14" i="37"/>
  <c r="F8" i="37" s="1"/>
  <c r="Q14" i="37"/>
  <c r="G8" i="37" s="1"/>
  <c r="R14" i="37"/>
  <c r="H8" i="37" s="1"/>
  <c r="S14" i="37"/>
  <c r="I8" i="37" s="1"/>
  <c r="L14" i="37"/>
  <c r="B8" i="37" s="1"/>
  <c r="C8" i="38" l="1"/>
  <c r="D8" i="38"/>
  <c r="E8" i="38"/>
  <c r="F8" i="38"/>
  <c r="G8" i="38"/>
  <c r="H8" i="38"/>
  <c r="I8" i="38"/>
  <c r="B8" i="38"/>
  <c r="C14" i="38"/>
  <c r="D14" i="38"/>
  <c r="E14" i="38"/>
  <c r="F14" i="38"/>
  <c r="G14" i="38"/>
  <c r="H14" i="38"/>
  <c r="I14" i="38"/>
  <c r="B14" i="38"/>
  <c r="C15" i="38"/>
  <c r="D15" i="38"/>
  <c r="E15" i="38"/>
  <c r="F15" i="38"/>
  <c r="G15" i="38"/>
  <c r="H15" i="38"/>
  <c r="I15" i="38"/>
  <c r="B15" i="38"/>
  <c r="C17" i="38"/>
  <c r="D17" i="38"/>
  <c r="E17" i="38"/>
  <c r="F17" i="38"/>
  <c r="G17" i="38"/>
  <c r="H17" i="38"/>
  <c r="I17" i="38"/>
  <c r="B17" i="38"/>
  <c r="C3" i="38"/>
  <c r="D3" i="38"/>
  <c r="E3" i="38"/>
  <c r="F3" i="38"/>
  <c r="G3" i="38"/>
  <c r="H3" i="38"/>
  <c r="I3" i="38"/>
  <c r="B3" i="38"/>
  <c r="C6" i="38"/>
  <c r="D6" i="38"/>
  <c r="E6" i="38"/>
  <c r="F6" i="38"/>
  <c r="G6" i="38"/>
  <c r="H6" i="38"/>
  <c r="I6" i="38"/>
  <c r="B6" i="38"/>
  <c r="B8" i="35" l="1"/>
  <c r="C3" i="35"/>
  <c r="D3" i="35"/>
  <c r="E3" i="35"/>
  <c r="F3" i="35"/>
  <c r="G3" i="35"/>
  <c r="H3" i="35"/>
  <c r="I3" i="35"/>
  <c r="B3" i="35"/>
  <c r="C13" i="35"/>
  <c r="D13" i="35"/>
  <c r="E13" i="35"/>
  <c r="F13" i="35"/>
  <c r="G13" i="35"/>
  <c r="H13" i="35"/>
  <c r="I13" i="35"/>
  <c r="B13" i="35"/>
  <c r="C15" i="35"/>
  <c r="D15" i="35"/>
  <c r="E15" i="35"/>
  <c r="F15" i="35"/>
  <c r="G15" i="35"/>
  <c r="H15" i="35"/>
  <c r="I15" i="35"/>
  <c r="B15" i="35"/>
  <c r="C16" i="35"/>
  <c r="D16" i="35"/>
  <c r="E16" i="35"/>
  <c r="F16" i="35"/>
  <c r="G16" i="35"/>
  <c r="H16" i="35"/>
  <c r="I16" i="35"/>
  <c r="B16" i="35"/>
  <c r="C17" i="35"/>
  <c r="D17" i="35"/>
  <c r="E17" i="35"/>
  <c r="F17" i="35"/>
  <c r="G17" i="35"/>
  <c r="H17" i="35"/>
  <c r="I17" i="35"/>
  <c r="B17" i="35"/>
  <c r="C6" i="35"/>
  <c r="D6" i="35"/>
  <c r="E6" i="35"/>
  <c r="F6" i="35"/>
  <c r="G6" i="35"/>
  <c r="H6" i="35"/>
  <c r="I6" i="35"/>
  <c r="B6" i="35"/>
  <c r="L14" i="35"/>
  <c r="M14" i="35"/>
  <c r="C8" i="35" s="1"/>
  <c r="N14" i="35"/>
  <c r="D8" i="35" s="1"/>
  <c r="O14" i="35" l="1"/>
  <c r="E8" i="35" s="1"/>
  <c r="P14" i="35"/>
  <c r="F8" i="35" s="1"/>
  <c r="Q14" i="35"/>
  <c r="G8" i="35" s="1"/>
  <c r="R14" i="35"/>
  <c r="H8" i="35" s="1"/>
  <c r="S14" i="35"/>
  <c r="I8" i="35" s="1"/>
  <c r="F8" i="33" l="1"/>
  <c r="B8" i="33"/>
  <c r="C13" i="33"/>
  <c r="D13" i="33"/>
  <c r="E13" i="33"/>
  <c r="F13" i="33"/>
  <c r="G13" i="33"/>
  <c r="H13" i="33"/>
  <c r="I13" i="33"/>
  <c r="B13" i="33"/>
  <c r="C14" i="33"/>
  <c r="D14" i="33"/>
  <c r="E14" i="33"/>
  <c r="F14" i="33"/>
  <c r="G14" i="33"/>
  <c r="H14" i="33"/>
  <c r="I14" i="33"/>
  <c r="B14" i="33"/>
  <c r="C15" i="33"/>
  <c r="D15" i="33"/>
  <c r="E15" i="33"/>
  <c r="F15" i="33"/>
  <c r="G15" i="33"/>
  <c r="H15" i="33"/>
  <c r="I15" i="33"/>
  <c r="B15" i="33"/>
  <c r="C16" i="33"/>
  <c r="D16" i="33"/>
  <c r="E16" i="33"/>
  <c r="F16" i="33"/>
  <c r="G16" i="33"/>
  <c r="H16" i="33"/>
  <c r="I16" i="33"/>
  <c r="B16" i="33"/>
  <c r="C17" i="33"/>
  <c r="D17" i="33"/>
  <c r="E17" i="33"/>
  <c r="F17" i="33"/>
  <c r="G17" i="33"/>
  <c r="H17" i="33"/>
  <c r="I17" i="33"/>
  <c r="B17" i="33"/>
  <c r="C3" i="33"/>
  <c r="D3" i="33"/>
  <c r="E3" i="33"/>
  <c r="F3" i="33"/>
  <c r="G3" i="33"/>
  <c r="H3" i="33"/>
  <c r="I3" i="33"/>
  <c r="B3" i="33"/>
  <c r="C6" i="33"/>
  <c r="D6" i="33"/>
  <c r="E6" i="33"/>
  <c r="F6" i="33"/>
  <c r="G6" i="33"/>
  <c r="H6" i="33"/>
  <c r="I6" i="33"/>
  <c r="B6" i="33"/>
  <c r="L14" i="33"/>
  <c r="M14" i="33"/>
  <c r="C8" i="33" s="1"/>
  <c r="N14" i="33"/>
  <c r="D8" i="33" s="1"/>
  <c r="O14" i="33"/>
  <c r="E8" i="33" s="1"/>
  <c r="P14" i="33"/>
  <c r="Q14" i="33"/>
  <c r="G8" i="33" s="1"/>
  <c r="R14" i="33"/>
  <c r="H8" i="33" s="1"/>
  <c r="S14" i="33"/>
  <c r="I8" i="33" s="1"/>
  <c r="C8" i="34" l="1"/>
  <c r="D8" i="34"/>
  <c r="E8" i="34"/>
  <c r="F8" i="34"/>
  <c r="G8" i="34"/>
  <c r="H8" i="34"/>
  <c r="I8" i="34"/>
  <c r="B8" i="34"/>
  <c r="C14" i="34"/>
  <c r="D14" i="34"/>
  <c r="E14" i="34"/>
  <c r="F14" i="34"/>
  <c r="G14" i="34"/>
  <c r="H14" i="34"/>
  <c r="I14" i="34"/>
  <c r="B14" i="34"/>
  <c r="C15" i="34"/>
  <c r="D15" i="34"/>
  <c r="E15" i="34"/>
  <c r="F15" i="34"/>
  <c r="G15" i="34"/>
  <c r="H15" i="34"/>
  <c r="I15" i="34"/>
  <c r="B15" i="34"/>
  <c r="C16" i="34"/>
  <c r="D16" i="34"/>
  <c r="E16" i="34"/>
  <c r="F16" i="34"/>
  <c r="G16" i="34"/>
  <c r="H16" i="34"/>
  <c r="I16" i="34"/>
  <c r="B16" i="34"/>
  <c r="C17" i="34"/>
  <c r="D17" i="34"/>
  <c r="E17" i="34"/>
  <c r="F17" i="34"/>
  <c r="G17" i="34"/>
  <c r="H17" i="34"/>
  <c r="I17" i="34"/>
  <c r="B17" i="34"/>
  <c r="C3" i="34"/>
  <c r="D3" i="34"/>
  <c r="E3" i="34"/>
  <c r="F3" i="34"/>
  <c r="G3" i="34"/>
  <c r="H3" i="34"/>
  <c r="I3" i="34"/>
  <c r="B3" i="34"/>
  <c r="C6" i="34"/>
  <c r="D6" i="34"/>
  <c r="E6" i="34"/>
  <c r="F6" i="34"/>
  <c r="G6" i="34"/>
  <c r="H6" i="34"/>
  <c r="I6" i="34"/>
  <c r="B6" i="34"/>
  <c r="C13" i="34"/>
  <c r="D13" i="34"/>
  <c r="E13" i="34"/>
  <c r="F13" i="34"/>
  <c r="G13" i="34"/>
  <c r="H13" i="34"/>
  <c r="I13" i="34"/>
  <c r="B13" i="34"/>
  <c r="C8" i="32" l="1"/>
  <c r="D8" i="32"/>
  <c r="E8" i="32"/>
  <c r="F8" i="32"/>
  <c r="G8" i="32"/>
  <c r="H8" i="32"/>
  <c r="I8" i="32"/>
  <c r="B8" i="32"/>
  <c r="C14" i="32"/>
  <c r="D14" i="32"/>
  <c r="E14" i="32"/>
  <c r="F14" i="32"/>
  <c r="G14" i="32"/>
  <c r="H14" i="32"/>
  <c r="I14" i="32"/>
  <c r="B14" i="32"/>
  <c r="C15" i="32"/>
  <c r="D15" i="32"/>
  <c r="E15" i="32"/>
  <c r="F15" i="32"/>
  <c r="G15" i="32"/>
  <c r="H15" i="32"/>
  <c r="I15" i="32"/>
  <c r="B15" i="32"/>
  <c r="C3" i="32"/>
  <c r="D3" i="32"/>
  <c r="E3" i="32"/>
  <c r="F3" i="32"/>
  <c r="G3" i="32"/>
  <c r="H3" i="32"/>
  <c r="I3" i="32"/>
  <c r="B3" i="32"/>
  <c r="C16" i="32"/>
  <c r="D16" i="32"/>
  <c r="E16" i="32"/>
  <c r="F16" i="32"/>
  <c r="G16" i="32"/>
  <c r="H16" i="32"/>
  <c r="I16" i="32"/>
  <c r="B16" i="32"/>
  <c r="C17" i="32"/>
  <c r="D17" i="32"/>
  <c r="E17" i="32"/>
  <c r="F17" i="32"/>
  <c r="G17" i="32"/>
  <c r="H17" i="32"/>
  <c r="I17" i="32"/>
  <c r="B17" i="32"/>
  <c r="C6" i="32"/>
  <c r="D6" i="32"/>
  <c r="E6" i="32"/>
  <c r="F6" i="32"/>
  <c r="G6" i="32"/>
  <c r="H6" i="32"/>
  <c r="I6" i="32"/>
  <c r="B6" i="32"/>
  <c r="C8" i="30" l="1"/>
  <c r="D8" i="30"/>
  <c r="E8" i="30"/>
  <c r="F8" i="30"/>
  <c r="G8" i="30"/>
  <c r="H8" i="30"/>
  <c r="I8" i="30"/>
  <c r="B8" i="30"/>
  <c r="C3" i="30"/>
  <c r="D3" i="30"/>
  <c r="E3" i="30"/>
  <c r="F3" i="30"/>
  <c r="G3" i="30"/>
  <c r="H3" i="30"/>
  <c r="I3" i="30"/>
  <c r="B3" i="30"/>
  <c r="C6" i="30"/>
  <c r="D6" i="30"/>
  <c r="E6" i="30"/>
  <c r="F6" i="30"/>
  <c r="G6" i="30"/>
  <c r="H6" i="30"/>
  <c r="I6" i="30"/>
  <c r="B6" i="30"/>
  <c r="C13" i="30"/>
  <c r="D13" i="30"/>
  <c r="E13" i="30"/>
  <c r="F13" i="30"/>
  <c r="G13" i="30"/>
  <c r="H13" i="30"/>
  <c r="I13" i="30"/>
  <c r="B13" i="30"/>
  <c r="C14" i="30"/>
  <c r="D14" i="30"/>
  <c r="E14" i="30"/>
  <c r="F14" i="30"/>
  <c r="G14" i="30"/>
  <c r="H14" i="30"/>
  <c r="I14" i="30"/>
  <c r="B14" i="30"/>
  <c r="C15" i="30"/>
  <c r="D15" i="30"/>
  <c r="E15" i="30"/>
  <c r="F15" i="30"/>
  <c r="G15" i="30"/>
  <c r="H15" i="30"/>
  <c r="I15" i="30"/>
  <c r="B15" i="30"/>
  <c r="C16" i="30"/>
  <c r="D16" i="30"/>
  <c r="E16" i="30"/>
  <c r="F16" i="30"/>
  <c r="G16" i="30"/>
  <c r="H16" i="30"/>
  <c r="I16" i="30"/>
  <c r="B16" i="30"/>
  <c r="C17" i="30"/>
  <c r="D17" i="30"/>
  <c r="E17" i="30"/>
  <c r="F17" i="30"/>
  <c r="G17" i="30"/>
  <c r="H17" i="30"/>
  <c r="I17" i="30"/>
  <c r="B17" i="30"/>
  <c r="C8" i="14"/>
  <c r="D8" i="14"/>
  <c r="E8" i="14"/>
  <c r="F8" i="14"/>
  <c r="G8" i="14"/>
  <c r="H8" i="14"/>
  <c r="I8" i="14"/>
  <c r="B8" i="14"/>
  <c r="C14" i="14"/>
  <c r="D14" i="14"/>
  <c r="E14" i="14"/>
  <c r="F14" i="14"/>
  <c r="G14" i="14"/>
  <c r="H14" i="14"/>
  <c r="I14" i="14"/>
  <c r="B14" i="14"/>
  <c r="I15" i="14"/>
  <c r="C15" i="14"/>
  <c r="D15" i="14"/>
  <c r="E15" i="14"/>
  <c r="F15" i="14"/>
  <c r="G15" i="14"/>
  <c r="H15" i="14"/>
  <c r="B15" i="14"/>
  <c r="C16" i="14"/>
  <c r="D16" i="14"/>
  <c r="E16" i="14"/>
  <c r="F16" i="14"/>
  <c r="G16" i="14"/>
  <c r="H16" i="14"/>
  <c r="I16" i="14"/>
  <c r="B16" i="14"/>
  <c r="C17" i="14"/>
  <c r="D17" i="14"/>
  <c r="E17" i="14"/>
  <c r="F17" i="14"/>
  <c r="G17" i="14"/>
  <c r="H17" i="14"/>
  <c r="I17" i="14"/>
  <c r="B17" i="14"/>
  <c r="C3" i="14"/>
  <c r="D3" i="14"/>
  <c r="E3" i="14"/>
  <c r="F3" i="14"/>
  <c r="G3" i="14"/>
  <c r="H3" i="14"/>
  <c r="I3" i="14"/>
  <c r="B3" i="14"/>
  <c r="C13" i="14"/>
  <c r="D13" i="14"/>
  <c r="E13" i="14"/>
  <c r="F13" i="14"/>
  <c r="G13" i="14"/>
  <c r="H13" i="14"/>
  <c r="I13" i="14"/>
  <c r="B13" i="14"/>
  <c r="B6" i="14"/>
  <c r="D6" i="14"/>
  <c r="E6" i="14"/>
  <c r="F6" i="14"/>
  <c r="G6" i="14"/>
  <c r="H6" i="14"/>
  <c r="I6" i="14"/>
  <c r="C6" i="14"/>
  <c r="C8" i="8" l="1"/>
  <c r="D8" i="8"/>
  <c r="E8" i="8"/>
  <c r="F8" i="8"/>
  <c r="G8" i="8"/>
  <c r="H8" i="8"/>
  <c r="I8" i="8"/>
  <c r="B8" i="8"/>
  <c r="C17" i="8"/>
  <c r="D17" i="8"/>
  <c r="E17" i="8"/>
  <c r="F17" i="8"/>
  <c r="G17" i="8"/>
  <c r="H17" i="8"/>
  <c r="I17" i="8"/>
  <c r="B17" i="8"/>
  <c r="C16" i="8"/>
  <c r="D16" i="8"/>
  <c r="E16" i="8"/>
  <c r="F16" i="8"/>
  <c r="G16" i="8"/>
  <c r="H16" i="8"/>
  <c r="I16" i="8"/>
  <c r="B16" i="8"/>
  <c r="C15" i="8"/>
  <c r="D15" i="8"/>
  <c r="E15" i="8"/>
  <c r="F15" i="8"/>
  <c r="G15" i="8"/>
  <c r="H15" i="8"/>
  <c r="I15" i="8"/>
  <c r="B15" i="8"/>
  <c r="C14" i="8"/>
  <c r="D14" i="8"/>
  <c r="E14" i="8"/>
  <c r="F14" i="8"/>
  <c r="G14" i="8"/>
  <c r="H14" i="8"/>
  <c r="I14" i="8"/>
  <c r="B14" i="8"/>
  <c r="C3" i="8"/>
  <c r="D3" i="8"/>
  <c r="E3" i="8"/>
  <c r="F3" i="8"/>
  <c r="G3" i="8"/>
  <c r="H3" i="8"/>
  <c r="I3" i="8"/>
  <c r="B3" i="8"/>
  <c r="C6" i="8"/>
  <c r="D6" i="8"/>
  <c r="E6" i="8"/>
  <c r="F6" i="8"/>
  <c r="G6" i="8"/>
  <c r="H6" i="8"/>
  <c r="I6" i="8"/>
  <c r="B6" i="8"/>
  <c r="B20" i="7" l="1"/>
  <c r="C3" i="29" l="1"/>
  <c r="D3" i="29"/>
  <c r="E3" i="29"/>
  <c r="F3" i="29"/>
  <c r="G3" i="29"/>
  <c r="H3" i="29"/>
  <c r="I3" i="29"/>
  <c r="B3" i="29"/>
  <c r="C8" i="29"/>
  <c r="D8" i="29"/>
  <c r="E8" i="29"/>
  <c r="F8" i="29"/>
  <c r="G8" i="29"/>
  <c r="H8" i="29"/>
  <c r="I8" i="29"/>
  <c r="B8" i="29"/>
  <c r="C17" i="29"/>
  <c r="D17" i="29"/>
  <c r="E17" i="29"/>
  <c r="F17" i="29"/>
  <c r="G17" i="29"/>
  <c r="H17" i="29"/>
  <c r="I17" i="29"/>
  <c r="B17" i="29"/>
  <c r="C16" i="29"/>
  <c r="D16" i="29"/>
  <c r="E16" i="29"/>
  <c r="F16" i="29"/>
  <c r="G16" i="29"/>
  <c r="H16" i="29"/>
  <c r="I16" i="29"/>
  <c r="B16" i="29"/>
  <c r="C15" i="29"/>
  <c r="D15" i="29"/>
  <c r="E15" i="29"/>
  <c r="F15" i="29"/>
  <c r="G15" i="29"/>
  <c r="H15" i="29"/>
  <c r="I15" i="29"/>
  <c r="B15" i="29"/>
  <c r="C14" i="29"/>
  <c r="D14" i="29"/>
  <c r="E14" i="29"/>
  <c r="F14" i="29"/>
  <c r="G14" i="29"/>
  <c r="H14" i="29"/>
  <c r="I14" i="29"/>
  <c r="B14" i="29"/>
  <c r="C13" i="29"/>
  <c r="D13" i="29"/>
  <c r="E13" i="29"/>
  <c r="F13" i="29"/>
  <c r="G13" i="29"/>
  <c r="H13" i="29"/>
  <c r="I13" i="29"/>
  <c r="B13" i="29"/>
  <c r="C6" i="29"/>
  <c r="D6" i="29"/>
  <c r="E6" i="29"/>
  <c r="F6" i="29"/>
  <c r="G6" i="29"/>
  <c r="H6" i="29"/>
  <c r="I6" i="29"/>
  <c r="B6" i="29"/>
  <c r="C8" i="28"/>
  <c r="D8" i="28"/>
  <c r="E8" i="28"/>
  <c r="F8" i="28"/>
  <c r="G8" i="28"/>
  <c r="H8" i="28"/>
  <c r="I8" i="28"/>
  <c r="B8" i="28"/>
  <c r="C15" i="28"/>
  <c r="D15" i="28"/>
  <c r="E15" i="28"/>
  <c r="F15" i="28"/>
  <c r="G15" i="28"/>
  <c r="H15" i="28"/>
  <c r="I15" i="28"/>
  <c r="B15" i="28"/>
  <c r="C13" i="28"/>
  <c r="D13" i="28"/>
  <c r="E13" i="28"/>
  <c r="F13" i="28"/>
  <c r="G13" i="28"/>
  <c r="H13" i="28"/>
  <c r="I13" i="28"/>
  <c r="B13" i="28"/>
  <c r="C14" i="28"/>
  <c r="D14" i="28"/>
  <c r="E14" i="28"/>
  <c r="F14" i="28"/>
  <c r="G14" i="28"/>
  <c r="H14" i="28"/>
  <c r="I14" i="28"/>
  <c r="B14" i="28"/>
  <c r="C16" i="28"/>
  <c r="D16" i="28"/>
  <c r="E16" i="28"/>
  <c r="F16" i="28"/>
  <c r="G16" i="28"/>
  <c r="H16" i="28"/>
  <c r="I16" i="28"/>
  <c r="B16" i="28"/>
  <c r="C17" i="28"/>
  <c r="D17" i="28"/>
  <c r="E17" i="28"/>
  <c r="F17" i="28"/>
  <c r="G17" i="28"/>
  <c r="H17" i="28"/>
  <c r="I17" i="28"/>
  <c r="B17" i="28"/>
  <c r="C3" i="28"/>
  <c r="D3" i="28"/>
  <c r="E3" i="28"/>
  <c r="F3" i="28"/>
  <c r="G3" i="28"/>
  <c r="H3" i="28"/>
  <c r="I3" i="28"/>
  <c r="B3" i="28"/>
  <c r="C6" i="28"/>
  <c r="D6" i="28"/>
  <c r="E6" i="28"/>
  <c r="F6" i="28"/>
  <c r="G6" i="28"/>
  <c r="H6" i="28"/>
  <c r="I6" i="28"/>
  <c r="B6" i="28"/>
  <c r="C16" i="13" l="1"/>
  <c r="D16" i="13"/>
  <c r="E16" i="13"/>
  <c r="F16" i="13"/>
  <c r="G16" i="13"/>
  <c r="H16" i="13"/>
  <c r="I16" i="13"/>
  <c r="B16" i="13"/>
  <c r="C14" i="13"/>
  <c r="D14" i="13"/>
  <c r="E14" i="13"/>
  <c r="F14" i="13"/>
  <c r="G14" i="13"/>
  <c r="H14" i="13"/>
  <c r="I14" i="13"/>
  <c r="B14" i="13"/>
  <c r="C3" i="13"/>
  <c r="D3" i="13"/>
  <c r="E3" i="13"/>
  <c r="F3" i="13"/>
  <c r="G3" i="13"/>
  <c r="H3" i="13"/>
  <c r="I3" i="13"/>
  <c r="B3" i="13"/>
  <c r="C13" i="13"/>
  <c r="D13" i="13"/>
  <c r="E13" i="13"/>
  <c r="F13" i="13"/>
  <c r="G13" i="13"/>
  <c r="H13" i="13"/>
  <c r="I13" i="13"/>
  <c r="B13" i="13"/>
  <c r="C15" i="13"/>
  <c r="D15" i="13"/>
  <c r="E15" i="13"/>
  <c r="F15" i="13"/>
  <c r="G15" i="13"/>
  <c r="H15" i="13"/>
  <c r="I15" i="13"/>
  <c r="B15" i="13"/>
  <c r="C17" i="13"/>
  <c r="D17" i="13"/>
  <c r="E17" i="13"/>
  <c r="F17" i="13"/>
  <c r="G17" i="13"/>
  <c r="H17" i="13"/>
  <c r="I17" i="13"/>
  <c r="B17" i="13"/>
  <c r="C6" i="13"/>
  <c r="D6" i="13"/>
  <c r="E6" i="13"/>
  <c r="F6" i="13"/>
  <c r="G6" i="13"/>
  <c r="H6" i="13"/>
  <c r="I6" i="13"/>
  <c r="B6" i="13"/>
  <c r="M14" i="13"/>
  <c r="C8" i="13" s="1"/>
  <c r="N14" i="13"/>
  <c r="D8" i="13" s="1"/>
  <c r="O14" i="13"/>
  <c r="E8" i="13" s="1"/>
  <c r="P14" i="13"/>
  <c r="F8" i="13" s="1"/>
  <c r="Q14" i="13"/>
  <c r="G8" i="13" s="1"/>
  <c r="R14" i="13"/>
  <c r="H8" i="13" s="1"/>
  <c r="S14" i="13"/>
  <c r="I8" i="13" s="1"/>
  <c r="L14" i="13"/>
  <c r="B8" i="13" s="1"/>
  <c r="F8" i="25" l="1"/>
  <c r="B8" i="25"/>
  <c r="C14" i="25"/>
  <c r="D14" i="25"/>
  <c r="E14" i="25"/>
  <c r="F14" i="25"/>
  <c r="G14" i="25"/>
  <c r="H14" i="25"/>
  <c r="I14" i="25"/>
  <c r="B14" i="25"/>
  <c r="C15" i="25"/>
  <c r="D15" i="25"/>
  <c r="E15" i="25"/>
  <c r="F15" i="25"/>
  <c r="G15" i="25"/>
  <c r="H15" i="25"/>
  <c r="I15" i="25"/>
  <c r="B15" i="25"/>
  <c r="C3" i="25"/>
  <c r="D3" i="25"/>
  <c r="E3" i="25"/>
  <c r="F3" i="25"/>
  <c r="G3" i="25"/>
  <c r="H3" i="25"/>
  <c r="I3" i="25"/>
  <c r="B3" i="25"/>
  <c r="C13" i="25"/>
  <c r="D13" i="25"/>
  <c r="E13" i="25"/>
  <c r="F13" i="25"/>
  <c r="G13" i="25"/>
  <c r="H13" i="25"/>
  <c r="I13" i="25"/>
  <c r="B13" i="25"/>
  <c r="I16" i="25"/>
  <c r="C16" i="25"/>
  <c r="D16" i="25"/>
  <c r="E16" i="25"/>
  <c r="F16" i="25"/>
  <c r="G16" i="25"/>
  <c r="H16" i="25"/>
  <c r="B16" i="25"/>
  <c r="C17" i="25"/>
  <c r="D17" i="25"/>
  <c r="E17" i="25"/>
  <c r="F17" i="25"/>
  <c r="G17" i="25"/>
  <c r="H17" i="25"/>
  <c r="I17" i="25"/>
  <c r="B17" i="25"/>
  <c r="C6" i="25"/>
  <c r="D6" i="25"/>
  <c r="E6" i="25"/>
  <c r="F6" i="25"/>
  <c r="G6" i="25"/>
  <c r="H6" i="25"/>
  <c r="I6" i="25"/>
  <c r="B6" i="25"/>
  <c r="L14" i="25"/>
  <c r="M14" i="25"/>
  <c r="C8" i="25" s="1"/>
  <c r="N14" i="25"/>
  <c r="D8" i="25" s="1"/>
  <c r="O14" i="25"/>
  <c r="E8" i="25" s="1"/>
  <c r="P14" i="25"/>
  <c r="Q14" i="25"/>
  <c r="G8" i="25" s="1"/>
  <c r="R14" i="25"/>
  <c r="H8" i="25" s="1"/>
  <c r="S14" i="25"/>
  <c r="I8" i="25" s="1"/>
  <c r="C14" i="24"/>
  <c r="D14" i="24"/>
  <c r="E14" i="24"/>
  <c r="F14" i="24"/>
  <c r="G14" i="24"/>
  <c r="H14" i="24"/>
  <c r="I14" i="24"/>
  <c r="B14" i="24"/>
  <c r="C15" i="24"/>
  <c r="D15" i="24"/>
  <c r="E15" i="24"/>
  <c r="F15" i="24"/>
  <c r="G15" i="24"/>
  <c r="H15" i="24"/>
  <c r="I15" i="24"/>
  <c r="B15" i="24"/>
  <c r="C16" i="24"/>
  <c r="D16" i="24"/>
  <c r="E16" i="24"/>
  <c r="F16" i="24"/>
  <c r="G16" i="24"/>
  <c r="H16" i="24"/>
  <c r="I16" i="24"/>
  <c r="B16" i="24"/>
  <c r="C17" i="24"/>
  <c r="D17" i="24"/>
  <c r="E17" i="24"/>
  <c r="F17" i="24"/>
  <c r="G17" i="24"/>
  <c r="H17" i="24"/>
  <c r="I17" i="24"/>
  <c r="B17" i="24"/>
  <c r="C13" i="24"/>
  <c r="D13" i="24"/>
  <c r="E13" i="24"/>
  <c r="F13" i="24"/>
  <c r="G13" i="24"/>
  <c r="H13" i="24"/>
  <c r="I13" i="24"/>
  <c r="B13" i="24"/>
  <c r="C6" i="24"/>
  <c r="D6" i="24"/>
  <c r="E6" i="24"/>
  <c r="F6" i="24"/>
  <c r="G6" i="24"/>
  <c r="H6" i="24"/>
  <c r="I6" i="24"/>
  <c r="B6" i="24"/>
  <c r="C3" i="24"/>
  <c r="D3" i="24"/>
  <c r="E3" i="24"/>
  <c r="F3" i="24"/>
  <c r="G3" i="24"/>
  <c r="H3" i="24"/>
  <c r="I3" i="24"/>
  <c r="B3" i="24"/>
  <c r="M14" i="24"/>
  <c r="C8" i="24" s="1"/>
  <c r="N14" i="24"/>
  <c r="D8" i="24" s="1"/>
  <c r="O14" i="24"/>
  <c r="E8" i="24" s="1"/>
  <c r="P14" i="24"/>
  <c r="F8" i="24" s="1"/>
  <c r="Q14" i="24"/>
  <c r="G8" i="24" s="1"/>
  <c r="R14" i="24"/>
  <c r="H8" i="24" s="1"/>
  <c r="S14" i="24"/>
  <c r="I8" i="24" s="1"/>
  <c r="L14" i="24"/>
  <c r="B8" i="24" s="1"/>
  <c r="C3" i="23"/>
  <c r="D3" i="23"/>
  <c r="E3" i="23"/>
  <c r="F3" i="23"/>
  <c r="G3" i="23"/>
  <c r="H3" i="23"/>
  <c r="I3" i="23"/>
  <c r="B3" i="23"/>
  <c r="C8" i="23"/>
  <c r="D8" i="23"/>
  <c r="E8" i="23"/>
  <c r="F8" i="23"/>
  <c r="G8" i="23"/>
  <c r="H8" i="23"/>
  <c r="I8" i="23"/>
  <c r="B8" i="23"/>
  <c r="C17" i="23"/>
  <c r="D17" i="23"/>
  <c r="E17" i="23"/>
  <c r="F17" i="23"/>
  <c r="G17" i="23"/>
  <c r="H17" i="23"/>
  <c r="I17" i="23"/>
  <c r="B17" i="23"/>
  <c r="C16" i="23"/>
  <c r="D16" i="23"/>
  <c r="E16" i="23"/>
  <c r="F16" i="23"/>
  <c r="G16" i="23"/>
  <c r="H16" i="23"/>
  <c r="I16" i="23"/>
  <c r="B16" i="23"/>
  <c r="C15" i="23"/>
  <c r="D15" i="23"/>
  <c r="E15" i="23"/>
  <c r="F15" i="23"/>
  <c r="G15" i="23"/>
  <c r="H15" i="23"/>
  <c r="I15" i="23"/>
  <c r="B15" i="23"/>
  <c r="C14" i="23"/>
  <c r="D14" i="23"/>
  <c r="E14" i="23"/>
  <c r="F14" i="23"/>
  <c r="G14" i="23"/>
  <c r="H14" i="23"/>
  <c r="I14" i="23"/>
  <c r="B14" i="23"/>
  <c r="C13" i="23"/>
  <c r="D13" i="23"/>
  <c r="E13" i="23"/>
  <c r="F13" i="23"/>
  <c r="G13" i="23"/>
  <c r="H13" i="23"/>
  <c r="I13" i="23"/>
  <c r="B13" i="23"/>
  <c r="C6" i="23" l="1"/>
  <c r="D6" i="23"/>
  <c r="E6" i="23"/>
  <c r="F6" i="23"/>
  <c r="G6" i="23"/>
  <c r="H6" i="23"/>
  <c r="I6" i="23"/>
  <c r="B6" i="23"/>
  <c r="C17" i="22" l="1"/>
  <c r="D17" i="22"/>
  <c r="E17" i="22"/>
  <c r="F17" i="22"/>
  <c r="G17" i="22"/>
  <c r="H17" i="22"/>
  <c r="I17" i="22"/>
  <c r="B17" i="22"/>
  <c r="C15" i="22"/>
  <c r="D15" i="22"/>
  <c r="E15" i="22"/>
  <c r="F15" i="22"/>
  <c r="G15" i="22"/>
  <c r="H15" i="22"/>
  <c r="I15" i="22"/>
  <c r="B15" i="22"/>
  <c r="C14" i="22"/>
  <c r="D14" i="22"/>
  <c r="E14" i="22"/>
  <c r="F14" i="22"/>
  <c r="G14" i="22"/>
  <c r="H14" i="22"/>
  <c r="I14" i="22"/>
  <c r="B14" i="22"/>
  <c r="C13" i="22"/>
  <c r="D13" i="22"/>
  <c r="E13" i="22"/>
  <c r="F13" i="22"/>
  <c r="G13" i="22"/>
  <c r="H13" i="22"/>
  <c r="I13" i="22"/>
  <c r="B13" i="22"/>
  <c r="C3" i="22"/>
  <c r="D3" i="22"/>
  <c r="E3" i="22"/>
  <c r="F3" i="22"/>
  <c r="G3" i="22"/>
  <c r="H3" i="22"/>
  <c r="I3" i="22"/>
  <c r="B3" i="22"/>
  <c r="C6" i="22"/>
  <c r="D6" i="22"/>
  <c r="E6" i="22"/>
  <c r="F6" i="22"/>
  <c r="G6" i="22"/>
  <c r="H6" i="22"/>
  <c r="I6" i="22"/>
  <c r="B6" i="22"/>
  <c r="C16" i="22"/>
  <c r="D16" i="22"/>
  <c r="E16" i="22"/>
  <c r="F16" i="22"/>
  <c r="G16" i="22"/>
  <c r="H16" i="22"/>
  <c r="I16" i="22"/>
  <c r="B16" i="22"/>
  <c r="M14" i="22"/>
  <c r="C8" i="22" s="1"/>
  <c r="N14" i="22"/>
  <c r="D8" i="22" s="1"/>
  <c r="O14" i="22"/>
  <c r="E8" i="22" s="1"/>
  <c r="P14" i="22"/>
  <c r="F8" i="22" s="1"/>
  <c r="Q14" i="22"/>
  <c r="G8" i="22" s="1"/>
  <c r="R14" i="22"/>
  <c r="H8" i="22" s="1"/>
  <c r="S14" i="22"/>
  <c r="I8" i="22" s="1"/>
  <c r="L14" i="22"/>
  <c r="B8" i="22" s="1"/>
  <c r="C6" i="21"/>
  <c r="D6" i="21"/>
  <c r="E6" i="21"/>
  <c r="F6" i="21"/>
  <c r="G6" i="21"/>
  <c r="H6" i="21"/>
  <c r="I6" i="21"/>
  <c r="B6" i="21"/>
  <c r="C17" i="21"/>
  <c r="D17" i="21"/>
  <c r="E17" i="21"/>
  <c r="F17" i="21"/>
  <c r="G17" i="21"/>
  <c r="H17" i="21"/>
  <c r="I17" i="21"/>
  <c r="B17" i="21"/>
  <c r="C16" i="21"/>
  <c r="D16" i="21"/>
  <c r="E16" i="21"/>
  <c r="F16" i="21"/>
  <c r="G16" i="21"/>
  <c r="H16" i="21"/>
  <c r="I16" i="21"/>
  <c r="B16" i="21"/>
  <c r="C15" i="21"/>
  <c r="D15" i="21"/>
  <c r="E15" i="21"/>
  <c r="F15" i="21"/>
  <c r="G15" i="21"/>
  <c r="H15" i="21"/>
  <c r="I15" i="21"/>
  <c r="B15" i="21"/>
  <c r="C14" i="21"/>
  <c r="D14" i="21"/>
  <c r="E14" i="21"/>
  <c r="F14" i="21"/>
  <c r="G14" i="21"/>
  <c r="H14" i="21"/>
  <c r="I14" i="21"/>
  <c r="B14" i="21"/>
  <c r="C13" i="21"/>
  <c r="D13" i="21"/>
  <c r="E13" i="21"/>
  <c r="F13" i="21"/>
  <c r="G13" i="21"/>
  <c r="H13" i="21"/>
  <c r="I13" i="21"/>
  <c r="B13" i="21"/>
  <c r="C3" i="21"/>
  <c r="D3" i="21"/>
  <c r="E3" i="21"/>
  <c r="F3" i="21"/>
  <c r="G3" i="21"/>
  <c r="H3" i="21"/>
  <c r="I3" i="21"/>
  <c r="B3" i="21"/>
  <c r="M14" i="21"/>
  <c r="C8" i="21" s="1"/>
  <c r="N14" i="21"/>
  <c r="D8" i="21" s="1"/>
  <c r="O14" i="21"/>
  <c r="E8" i="21" s="1"/>
  <c r="P14" i="21"/>
  <c r="F8" i="21" s="1"/>
  <c r="Q14" i="21"/>
  <c r="G8" i="21" s="1"/>
  <c r="R14" i="21"/>
  <c r="H8" i="21" s="1"/>
  <c r="S14" i="21"/>
  <c r="I8" i="21" s="1"/>
  <c r="L14" i="21"/>
  <c r="B8" i="21" s="1"/>
  <c r="C8" i="20" l="1"/>
  <c r="D8" i="20"/>
  <c r="E8" i="20"/>
  <c r="F8" i="20"/>
  <c r="G8" i="20"/>
  <c r="H8" i="20"/>
  <c r="I8" i="20"/>
  <c r="B8" i="20"/>
  <c r="C17" i="20"/>
  <c r="D17" i="20"/>
  <c r="E17" i="20"/>
  <c r="F17" i="20"/>
  <c r="G17" i="20"/>
  <c r="H17" i="20"/>
  <c r="I17" i="20"/>
  <c r="B17" i="20"/>
  <c r="C16" i="20"/>
  <c r="D16" i="20"/>
  <c r="E16" i="20"/>
  <c r="F16" i="20"/>
  <c r="G16" i="20"/>
  <c r="H16" i="20"/>
  <c r="I16" i="20"/>
  <c r="B16" i="20"/>
  <c r="C15" i="20"/>
  <c r="D15" i="20"/>
  <c r="E15" i="20"/>
  <c r="F15" i="20"/>
  <c r="G15" i="20"/>
  <c r="H15" i="20"/>
  <c r="I15" i="20"/>
  <c r="B15" i="20"/>
  <c r="C14" i="20"/>
  <c r="D14" i="20"/>
  <c r="E14" i="20"/>
  <c r="F14" i="20"/>
  <c r="G14" i="20"/>
  <c r="H14" i="20"/>
  <c r="I14" i="20"/>
  <c r="B14" i="20"/>
  <c r="C13" i="20"/>
  <c r="D13" i="20"/>
  <c r="E13" i="20"/>
  <c r="F13" i="20"/>
  <c r="G13" i="20"/>
  <c r="H13" i="20"/>
  <c r="I13" i="20"/>
  <c r="B13" i="20"/>
  <c r="C6" i="20"/>
  <c r="D6" i="20"/>
  <c r="E6" i="20"/>
  <c r="F6" i="20"/>
  <c r="G6" i="20"/>
  <c r="H6" i="20"/>
  <c r="I6" i="20"/>
  <c r="B6" i="20"/>
  <c r="C3" i="20"/>
  <c r="D3" i="20"/>
  <c r="E3" i="20"/>
  <c r="F3" i="20"/>
  <c r="G3" i="20"/>
  <c r="H3" i="20"/>
  <c r="I3" i="20"/>
  <c r="B3" i="20"/>
  <c r="C14" i="19" l="1"/>
  <c r="D14" i="19"/>
  <c r="E14" i="19"/>
  <c r="F14" i="19"/>
  <c r="G14" i="19"/>
  <c r="H14" i="19"/>
  <c r="I14" i="19"/>
  <c r="B14" i="19"/>
  <c r="C15" i="19"/>
  <c r="D15" i="19"/>
  <c r="E15" i="19"/>
  <c r="F15" i="19"/>
  <c r="G15" i="19"/>
  <c r="H15" i="19"/>
  <c r="I15" i="19"/>
  <c r="B15" i="19"/>
  <c r="C16" i="19"/>
  <c r="D16" i="19"/>
  <c r="E16" i="19"/>
  <c r="F16" i="19"/>
  <c r="G16" i="19"/>
  <c r="H16" i="19"/>
  <c r="I16" i="19"/>
  <c r="B16" i="19"/>
  <c r="C3" i="19"/>
  <c r="D3" i="19"/>
  <c r="E3" i="19"/>
  <c r="F3" i="19"/>
  <c r="G3" i="19"/>
  <c r="H3" i="19"/>
  <c r="I3" i="19"/>
  <c r="B3" i="19"/>
  <c r="C13" i="19"/>
  <c r="D13" i="19"/>
  <c r="E13" i="19"/>
  <c r="F13" i="19"/>
  <c r="G13" i="19"/>
  <c r="H13" i="19"/>
  <c r="I13" i="19"/>
  <c r="B13" i="19"/>
  <c r="C17" i="19"/>
  <c r="D17" i="19"/>
  <c r="E17" i="19"/>
  <c r="F17" i="19"/>
  <c r="G17" i="19"/>
  <c r="H17" i="19"/>
  <c r="I17" i="19"/>
  <c r="B17" i="19"/>
  <c r="C6" i="19"/>
  <c r="D6" i="19"/>
  <c r="E6" i="19"/>
  <c r="F6" i="19"/>
  <c r="G6" i="19"/>
  <c r="H6" i="19"/>
  <c r="I6" i="19"/>
  <c r="B6" i="19"/>
  <c r="M14" i="19"/>
  <c r="C8" i="19" s="1"/>
  <c r="N14" i="19"/>
  <c r="D8" i="19" s="1"/>
  <c r="O14" i="19"/>
  <c r="E8" i="19" s="1"/>
  <c r="P14" i="19"/>
  <c r="F8" i="19" s="1"/>
  <c r="Q14" i="19"/>
  <c r="G8" i="19" s="1"/>
  <c r="R14" i="19"/>
  <c r="H8" i="19" s="1"/>
  <c r="S14" i="19"/>
  <c r="I8" i="19" s="1"/>
  <c r="L14" i="19"/>
  <c r="B8" i="19" s="1"/>
  <c r="F8" i="17"/>
  <c r="C14" i="17"/>
  <c r="D14" i="17"/>
  <c r="E14" i="17"/>
  <c r="F14" i="17"/>
  <c r="G14" i="17"/>
  <c r="H14" i="17"/>
  <c r="I14" i="17"/>
  <c r="B14" i="17"/>
  <c r="C15" i="17"/>
  <c r="D15" i="17"/>
  <c r="E15" i="17"/>
  <c r="F15" i="17"/>
  <c r="G15" i="17"/>
  <c r="H15" i="17"/>
  <c r="I15" i="17"/>
  <c r="B15" i="17"/>
  <c r="C17" i="17"/>
  <c r="D17" i="17"/>
  <c r="E17" i="17"/>
  <c r="F17" i="17"/>
  <c r="G17" i="17"/>
  <c r="H17" i="17"/>
  <c r="I17" i="17"/>
  <c r="B17" i="17"/>
  <c r="C16" i="17"/>
  <c r="D16" i="17"/>
  <c r="E16" i="17"/>
  <c r="F16" i="17"/>
  <c r="G16" i="17"/>
  <c r="H16" i="17"/>
  <c r="I16" i="17"/>
  <c r="B16" i="17"/>
  <c r="C13" i="17"/>
  <c r="D13" i="17"/>
  <c r="E13" i="17"/>
  <c r="F13" i="17"/>
  <c r="G13" i="17"/>
  <c r="H13" i="17"/>
  <c r="I13" i="17"/>
  <c r="B13" i="17"/>
  <c r="C3" i="17"/>
  <c r="D3" i="17"/>
  <c r="E3" i="17"/>
  <c r="F3" i="17"/>
  <c r="G3" i="17"/>
  <c r="H3" i="17"/>
  <c r="I3" i="17"/>
  <c r="B3" i="17"/>
  <c r="C6" i="17"/>
  <c r="D6" i="17"/>
  <c r="E6" i="17"/>
  <c r="F6" i="17"/>
  <c r="G6" i="17"/>
  <c r="H6" i="17"/>
  <c r="I6" i="17"/>
  <c r="B6" i="17"/>
  <c r="M14" i="17"/>
  <c r="C8" i="17" s="1"/>
  <c r="N14" i="17"/>
  <c r="D8" i="17" s="1"/>
  <c r="O14" i="17"/>
  <c r="E8" i="17" s="1"/>
  <c r="P14" i="17"/>
  <c r="Q14" i="17"/>
  <c r="G8" i="17" s="1"/>
  <c r="R14" i="17"/>
  <c r="H8" i="17" s="1"/>
  <c r="S14" i="17"/>
  <c r="I8" i="17" s="1"/>
  <c r="L14" i="17"/>
  <c r="B8" i="17" s="1"/>
  <c r="C17" i="18"/>
  <c r="D17" i="18"/>
  <c r="E17" i="18"/>
  <c r="F17" i="18"/>
  <c r="G17" i="18"/>
  <c r="H17" i="18"/>
  <c r="I17" i="18"/>
  <c r="B17" i="18"/>
  <c r="C16" i="18"/>
  <c r="D16" i="18"/>
  <c r="E16" i="18"/>
  <c r="F16" i="18"/>
  <c r="G16" i="18"/>
  <c r="H16" i="18"/>
  <c r="I16" i="18"/>
  <c r="B16" i="18"/>
  <c r="C15" i="18"/>
  <c r="D15" i="18"/>
  <c r="E15" i="18"/>
  <c r="F15" i="18"/>
  <c r="G15" i="18"/>
  <c r="H15" i="18"/>
  <c r="I15" i="18"/>
  <c r="B15" i="18"/>
  <c r="C14" i="18"/>
  <c r="D14" i="18"/>
  <c r="E14" i="18"/>
  <c r="F14" i="18"/>
  <c r="G14" i="18"/>
  <c r="H14" i="18"/>
  <c r="I14" i="18"/>
  <c r="B14" i="18"/>
  <c r="C13" i="18"/>
  <c r="D13" i="18"/>
  <c r="E13" i="18"/>
  <c r="F13" i="18"/>
  <c r="G13" i="18"/>
  <c r="H13" i="18"/>
  <c r="I13" i="18"/>
  <c r="B13" i="18"/>
  <c r="C3" i="18"/>
  <c r="D3" i="18"/>
  <c r="E3" i="18"/>
  <c r="F3" i="18"/>
  <c r="G3" i="18"/>
  <c r="H3" i="18"/>
  <c r="I3" i="18"/>
  <c r="B3" i="18"/>
  <c r="I6" i="18"/>
  <c r="C6" i="18"/>
  <c r="D6" i="18"/>
  <c r="E6" i="18"/>
  <c r="F6" i="18"/>
  <c r="G6" i="18"/>
  <c r="H6" i="18"/>
  <c r="B6" i="18"/>
  <c r="M14" i="18"/>
  <c r="C8" i="18" s="1"/>
  <c r="N14" i="18"/>
  <c r="D8" i="18" s="1"/>
  <c r="O14" i="18"/>
  <c r="E8" i="18" s="1"/>
  <c r="P14" i="18"/>
  <c r="F8" i="18" s="1"/>
  <c r="Q14" i="18"/>
  <c r="G8" i="18" s="1"/>
  <c r="R14" i="18"/>
  <c r="H8" i="18" s="1"/>
  <c r="S14" i="18"/>
  <c r="I8" i="18" s="1"/>
  <c r="L14" i="18"/>
  <c r="B8" i="18" s="1"/>
  <c r="I8" i="16"/>
  <c r="C8" i="16"/>
  <c r="D8" i="16"/>
  <c r="E8" i="16"/>
  <c r="F8" i="16"/>
  <c r="G8" i="16"/>
  <c r="H8" i="16"/>
  <c r="B8" i="16"/>
  <c r="C14" i="16"/>
  <c r="D14" i="16"/>
  <c r="E14" i="16"/>
  <c r="F14" i="16"/>
  <c r="G14" i="16"/>
  <c r="H14" i="16"/>
  <c r="I14" i="16"/>
  <c r="B14" i="16"/>
  <c r="C15" i="16"/>
  <c r="D15" i="16"/>
  <c r="E15" i="16"/>
  <c r="F15" i="16"/>
  <c r="G15" i="16"/>
  <c r="H15" i="16"/>
  <c r="I15" i="16"/>
  <c r="B15" i="16"/>
  <c r="C17" i="16"/>
  <c r="D17" i="16"/>
  <c r="E17" i="16"/>
  <c r="F17" i="16"/>
  <c r="G17" i="16"/>
  <c r="H17" i="16"/>
  <c r="I17" i="16"/>
  <c r="B17" i="16"/>
  <c r="C16" i="16"/>
  <c r="D16" i="16"/>
  <c r="E16" i="16"/>
  <c r="F16" i="16"/>
  <c r="G16" i="16"/>
  <c r="H16" i="16"/>
  <c r="I16" i="16"/>
  <c r="B16" i="16"/>
  <c r="C13" i="16"/>
  <c r="D13" i="16"/>
  <c r="E13" i="16"/>
  <c r="F13" i="16"/>
  <c r="G13" i="16"/>
  <c r="H13" i="16"/>
  <c r="I13" i="16"/>
  <c r="B13" i="16"/>
  <c r="C3" i="16"/>
  <c r="D3" i="16"/>
  <c r="E3" i="16"/>
  <c r="F3" i="16"/>
  <c r="G3" i="16"/>
  <c r="H3" i="16"/>
  <c r="I3" i="16"/>
  <c r="B3" i="16"/>
  <c r="C6" i="16"/>
  <c r="D6" i="16"/>
  <c r="E6" i="16"/>
  <c r="F6" i="16"/>
  <c r="G6" i="16"/>
  <c r="H6" i="16"/>
  <c r="I6" i="16"/>
  <c r="B6" i="16"/>
  <c r="L13" i="16"/>
  <c r="M13" i="16"/>
  <c r="N13" i="16"/>
  <c r="O13" i="16"/>
  <c r="P13" i="16"/>
  <c r="Q13" i="16"/>
  <c r="R13" i="16"/>
  <c r="S13" i="16"/>
  <c r="F8" i="15" l="1"/>
  <c r="B8" i="15"/>
  <c r="C14" i="15"/>
  <c r="D14" i="15"/>
  <c r="E14" i="15"/>
  <c r="F14" i="15"/>
  <c r="B14" i="15"/>
  <c r="C17" i="15"/>
  <c r="D17" i="15"/>
  <c r="E17" i="15"/>
  <c r="F17" i="15"/>
  <c r="B17" i="15"/>
  <c r="C16" i="15"/>
  <c r="D16" i="15"/>
  <c r="E16" i="15"/>
  <c r="F16" i="15"/>
  <c r="B16" i="15"/>
  <c r="C15" i="15"/>
  <c r="D15" i="15"/>
  <c r="E15" i="15"/>
  <c r="F15" i="15"/>
  <c r="B15" i="15"/>
  <c r="C13" i="15"/>
  <c r="D13" i="15"/>
  <c r="E13" i="15"/>
  <c r="F13" i="15"/>
  <c r="B13" i="15"/>
  <c r="P14" i="15"/>
  <c r="Q3" i="15"/>
  <c r="G6" i="15" s="1"/>
  <c r="O3" i="15"/>
  <c r="E6" i="15" s="1"/>
  <c r="N3" i="15"/>
  <c r="D6" i="15" s="1"/>
  <c r="M3" i="15"/>
  <c r="C6" i="15" s="1"/>
  <c r="C3" i="15"/>
  <c r="D3" i="15"/>
  <c r="E3" i="15"/>
  <c r="G3" i="15"/>
  <c r="B3" i="15"/>
  <c r="S9" i="15"/>
  <c r="I16" i="15" s="1"/>
  <c r="R9" i="15"/>
  <c r="H16" i="15" s="1"/>
  <c r="Q9" i="15"/>
  <c r="G16" i="15" s="1"/>
  <c r="P9" i="15"/>
  <c r="L3" i="15"/>
  <c r="B6" i="15" s="1"/>
  <c r="P8" i="15"/>
  <c r="Q8" i="15"/>
  <c r="G14" i="15" s="1"/>
  <c r="R8" i="15"/>
  <c r="H14" i="15" s="1"/>
  <c r="S8" i="15"/>
  <c r="I14" i="15" s="1"/>
  <c r="P11" i="15"/>
  <c r="Q11" i="15"/>
  <c r="R11" i="15"/>
  <c r="S11" i="15"/>
  <c r="P5" i="15"/>
  <c r="Q5" i="15"/>
  <c r="G15" i="15" s="1"/>
  <c r="R5" i="15"/>
  <c r="H15" i="15" s="1"/>
  <c r="S5" i="15"/>
  <c r="I15" i="15" s="1"/>
  <c r="P4" i="15"/>
  <c r="Q4" i="15"/>
  <c r="R4" i="15"/>
  <c r="S4" i="15"/>
  <c r="P2" i="15"/>
  <c r="F3" i="15" s="1"/>
  <c r="Q2" i="15"/>
  <c r="G8" i="15" s="1"/>
  <c r="R2" i="15"/>
  <c r="H3" i="15" s="1"/>
  <c r="S2" i="15"/>
  <c r="I3" i="15" s="1"/>
  <c r="F20" i="15"/>
  <c r="G20" i="15"/>
  <c r="H20" i="15"/>
  <c r="I20" i="15"/>
  <c r="P10" i="15"/>
  <c r="Q10" i="15"/>
  <c r="G17" i="15" s="1"/>
  <c r="R10" i="15"/>
  <c r="H17" i="15" s="1"/>
  <c r="S10" i="15"/>
  <c r="I17" i="15" s="1"/>
  <c r="F4" i="15"/>
  <c r="P3" i="15" s="1"/>
  <c r="F6" i="15" s="1"/>
  <c r="G4" i="15"/>
  <c r="I4" i="15"/>
  <c r="S3" i="15" s="1"/>
  <c r="I6" i="15" s="1"/>
  <c r="H4" i="15"/>
  <c r="R3" i="15" s="1"/>
  <c r="H6" i="15" s="1"/>
  <c r="M14" i="15"/>
  <c r="C8" i="15" s="1"/>
  <c r="N14" i="15"/>
  <c r="D8" i="15" s="1"/>
  <c r="O14" i="15"/>
  <c r="E8" i="15" s="1"/>
  <c r="Q14" i="15"/>
  <c r="R14" i="15"/>
  <c r="S14" i="15"/>
  <c r="L14" i="15"/>
  <c r="I13" i="15" l="1"/>
  <c r="I8" i="15"/>
  <c r="H13" i="15"/>
  <c r="H8" i="15"/>
  <c r="G13" i="15"/>
  <c r="C14" i="12"/>
  <c r="D14" i="12"/>
  <c r="E14" i="12"/>
  <c r="F14" i="12"/>
  <c r="G14" i="12"/>
  <c r="H14" i="12"/>
  <c r="I14" i="12"/>
  <c r="B14" i="12"/>
  <c r="C15" i="12"/>
  <c r="D15" i="12"/>
  <c r="E15" i="12"/>
  <c r="F15" i="12"/>
  <c r="G15" i="12"/>
  <c r="H15" i="12"/>
  <c r="I15" i="12"/>
  <c r="B15" i="12"/>
  <c r="C16" i="12"/>
  <c r="D16" i="12"/>
  <c r="E16" i="12"/>
  <c r="F16" i="12"/>
  <c r="G16" i="12"/>
  <c r="H16" i="12"/>
  <c r="I16" i="12"/>
  <c r="B16" i="12"/>
  <c r="C17" i="12"/>
  <c r="D17" i="12"/>
  <c r="E17" i="12"/>
  <c r="F17" i="12"/>
  <c r="G17" i="12"/>
  <c r="H17" i="12"/>
  <c r="I17" i="12"/>
  <c r="B17" i="12"/>
  <c r="C13" i="12"/>
  <c r="D13" i="12"/>
  <c r="E13" i="12"/>
  <c r="F13" i="12"/>
  <c r="G13" i="12"/>
  <c r="H13" i="12"/>
  <c r="I13" i="12"/>
  <c r="B13" i="12"/>
  <c r="C6" i="12"/>
  <c r="D6" i="12"/>
  <c r="E6" i="12"/>
  <c r="F6" i="12"/>
  <c r="G6" i="12"/>
  <c r="H6" i="12"/>
  <c r="I6" i="12"/>
  <c r="B6" i="12"/>
  <c r="C3" i="12"/>
  <c r="D3" i="12"/>
  <c r="E3" i="12"/>
  <c r="F3" i="12"/>
  <c r="G3" i="12"/>
  <c r="H3" i="12"/>
  <c r="I3" i="12"/>
  <c r="B3" i="12"/>
  <c r="M14" i="12"/>
  <c r="C8" i="12" s="1"/>
  <c r="N14" i="12"/>
  <c r="D8" i="12" s="1"/>
  <c r="O14" i="12"/>
  <c r="E8" i="12" s="1"/>
  <c r="P14" i="12"/>
  <c r="F8" i="12" s="1"/>
  <c r="Q14" i="12"/>
  <c r="G8" i="12" s="1"/>
  <c r="R14" i="12"/>
  <c r="H8" i="12" s="1"/>
  <c r="S14" i="12"/>
  <c r="I8" i="12" s="1"/>
  <c r="L14" i="12"/>
  <c r="B8" i="12" s="1"/>
  <c r="B14" i="5"/>
  <c r="C14" i="11"/>
  <c r="D14" i="11"/>
  <c r="E14" i="11"/>
  <c r="F14" i="11"/>
  <c r="G14" i="11"/>
  <c r="H14" i="11"/>
  <c r="I14" i="11"/>
  <c r="B14" i="11"/>
  <c r="C15" i="11"/>
  <c r="D15" i="11"/>
  <c r="E15" i="11"/>
  <c r="F15" i="11"/>
  <c r="G15" i="11"/>
  <c r="H15" i="11"/>
  <c r="I15" i="11"/>
  <c r="B15" i="11"/>
  <c r="C16" i="11"/>
  <c r="D16" i="11"/>
  <c r="E16" i="11"/>
  <c r="F16" i="11"/>
  <c r="G16" i="11"/>
  <c r="H16" i="11"/>
  <c r="I16" i="11"/>
  <c r="B16" i="11"/>
  <c r="C13" i="11"/>
  <c r="D13" i="11"/>
  <c r="E13" i="11"/>
  <c r="F13" i="11"/>
  <c r="G13" i="11"/>
  <c r="H13" i="11"/>
  <c r="I13" i="11"/>
  <c r="B13" i="11"/>
  <c r="I8" i="11"/>
  <c r="C6" i="11"/>
  <c r="D6" i="11"/>
  <c r="E6" i="11"/>
  <c r="F6" i="11"/>
  <c r="G6" i="11"/>
  <c r="H6" i="11"/>
  <c r="I6" i="11"/>
  <c r="B6" i="11"/>
  <c r="C3" i="11"/>
  <c r="D3" i="11"/>
  <c r="E3" i="11"/>
  <c r="F3" i="11"/>
  <c r="G3" i="11"/>
  <c r="H3" i="11"/>
  <c r="I3" i="11"/>
  <c r="B3" i="11"/>
  <c r="C17" i="11"/>
  <c r="D17" i="11"/>
  <c r="E17" i="11"/>
  <c r="F17" i="11"/>
  <c r="G17" i="11"/>
  <c r="H17" i="11"/>
  <c r="I17" i="11"/>
  <c r="B17" i="11"/>
  <c r="P14" i="11"/>
  <c r="F8" i="11" s="1"/>
  <c r="Q14" i="11"/>
  <c r="G8" i="11" s="1"/>
  <c r="R14" i="11"/>
  <c r="H8" i="11" s="1"/>
  <c r="S14" i="11"/>
  <c r="M14" i="11"/>
  <c r="C8" i="11" s="1"/>
  <c r="N14" i="11"/>
  <c r="D8" i="11" s="1"/>
  <c r="O14" i="11"/>
  <c r="E8" i="11" s="1"/>
  <c r="L14" i="11"/>
  <c r="B8" i="11" s="1"/>
  <c r="C14" i="1" l="1"/>
  <c r="D14" i="1"/>
  <c r="E14" i="1"/>
  <c r="F14" i="1"/>
  <c r="G14" i="1"/>
  <c r="H14" i="1"/>
  <c r="I14" i="1"/>
  <c r="B14" i="1"/>
  <c r="C17" i="1"/>
  <c r="D17" i="1"/>
  <c r="E17" i="1"/>
  <c r="F17" i="1"/>
  <c r="G17" i="1"/>
  <c r="H17" i="1"/>
  <c r="I17" i="1"/>
  <c r="B17" i="1"/>
  <c r="C16" i="1"/>
  <c r="D16" i="1"/>
  <c r="E16" i="1"/>
  <c r="F16" i="1"/>
  <c r="G16" i="1"/>
  <c r="H16" i="1"/>
  <c r="I16" i="1"/>
  <c r="B16" i="1"/>
  <c r="C15" i="1"/>
  <c r="D15" i="1"/>
  <c r="E15" i="1"/>
  <c r="F15" i="1"/>
  <c r="G15" i="1"/>
  <c r="H15" i="1"/>
  <c r="I15" i="1"/>
  <c r="B15" i="1"/>
  <c r="C13" i="1"/>
  <c r="D13" i="1"/>
  <c r="E13" i="1"/>
  <c r="F13" i="1"/>
  <c r="G13" i="1"/>
  <c r="H13" i="1"/>
  <c r="I13" i="1"/>
  <c r="B13" i="1"/>
  <c r="C6" i="1"/>
  <c r="D6" i="1"/>
  <c r="E6" i="1"/>
  <c r="F6" i="1"/>
  <c r="G6" i="1"/>
  <c r="H6" i="1"/>
  <c r="I6" i="1"/>
  <c r="B6" i="1"/>
  <c r="C3" i="1"/>
  <c r="D3" i="1"/>
  <c r="E3" i="1"/>
  <c r="F3" i="1"/>
  <c r="G3" i="1"/>
  <c r="H3" i="1"/>
  <c r="I3" i="1"/>
  <c r="B3" i="1"/>
  <c r="M14" i="1"/>
  <c r="C8" i="1" s="1"/>
  <c r="N14" i="1"/>
  <c r="D8" i="1" s="1"/>
  <c r="O14" i="1"/>
  <c r="E8" i="1" s="1"/>
  <c r="P14" i="1"/>
  <c r="F8" i="1" s="1"/>
  <c r="Q14" i="1"/>
  <c r="G8" i="1" s="1"/>
  <c r="R14" i="1"/>
  <c r="H8" i="1" s="1"/>
  <c r="S14" i="1"/>
  <c r="I8" i="1" s="1"/>
  <c r="L14" i="1"/>
  <c r="B8" i="1" s="1"/>
  <c r="C17" i="10" l="1"/>
  <c r="D17" i="10"/>
  <c r="E17" i="10"/>
  <c r="F17" i="10"/>
  <c r="G17" i="10"/>
  <c r="H17" i="10"/>
  <c r="I17" i="10"/>
  <c r="B17" i="10"/>
  <c r="I14" i="10"/>
  <c r="C14" i="10"/>
  <c r="D14" i="10"/>
  <c r="E14" i="10"/>
  <c r="F14" i="10"/>
  <c r="G14" i="10"/>
  <c r="H14" i="10"/>
  <c r="B14" i="10"/>
  <c r="C15" i="10"/>
  <c r="D15" i="10"/>
  <c r="E15" i="10"/>
  <c r="F15" i="10"/>
  <c r="G15" i="10"/>
  <c r="H15" i="10"/>
  <c r="I15" i="10"/>
  <c r="B15" i="10"/>
  <c r="C13" i="10"/>
  <c r="D13" i="10"/>
  <c r="E13" i="10"/>
  <c r="F13" i="10"/>
  <c r="G13" i="10"/>
  <c r="H13" i="10"/>
  <c r="I13" i="10"/>
  <c r="B13" i="10"/>
  <c r="C6" i="10"/>
  <c r="D6" i="10"/>
  <c r="E6" i="10"/>
  <c r="F6" i="10"/>
  <c r="G6" i="10"/>
  <c r="H6" i="10"/>
  <c r="I6" i="10"/>
  <c r="B6" i="10"/>
  <c r="C3" i="10"/>
  <c r="D3" i="10"/>
  <c r="E3" i="10"/>
  <c r="F3" i="10"/>
  <c r="G3" i="10"/>
  <c r="H3" i="10"/>
  <c r="I3" i="10"/>
  <c r="B3" i="10"/>
  <c r="M14" i="10"/>
  <c r="C8" i="10" s="1"/>
  <c r="N14" i="10"/>
  <c r="D8" i="10" s="1"/>
  <c r="O14" i="10"/>
  <c r="E8" i="10" s="1"/>
  <c r="P14" i="10"/>
  <c r="F8" i="10" s="1"/>
  <c r="Q14" i="10"/>
  <c r="G8" i="10" s="1"/>
  <c r="R14" i="10"/>
  <c r="H8" i="10" s="1"/>
  <c r="S14" i="10"/>
  <c r="I8" i="10" s="1"/>
  <c r="L14" i="10"/>
  <c r="B8" i="10" s="1"/>
  <c r="C6" i="26"/>
  <c r="R6" i="26"/>
  <c r="C14" i="9"/>
  <c r="D14" i="9"/>
  <c r="E14" i="9"/>
  <c r="F14" i="9"/>
  <c r="G14" i="9"/>
  <c r="H14" i="9"/>
  <c r="I14" i="9"/>
  <c r="B14" i="9"/>
  <c r="C15" i="9"/>
  <c r="D15" i="9"/>
  <c r="E15" i="9"/>
  <c r="F15" i="9"/>
  <c r="G15" i="9"/>
  <c r="H15" i="9"/>
  <c r="I15" i="9"/>
  <c r="B15" i="9"/>
  <c r="C17" i="9"/>
  <c r="D17" i="9"/>
  <c r="E17" i="9"/>
  <c r="F17" i="9"/>
  <c r="G17" i="9"/>
  <c r="H17" i="9"/>
  <c r="I17" i="9"/>
  <c r="B17" i="9"/>
  <c r="C16" i="9"/>
  <c r="D16" i="9"/>
  <c r="E16" i="9"/>
  <c r="F16" i="9"/>
  <c r="G16" i="9"/>
  <c r="H16" i="9"/>
  <c r="I16" i="9"/>
  <c r="B16" i="9"/>
  <c r="C13" i="9"/>
  <c r="D13" i="9"/>
  <c r="E13" i="9"/>
  <c r="F13" i="9"/>
  <c r="G13" i="9"/>
  <c r="H13" i="9"/>
  <c r="I13" i="9"/>
  <c r="B13" i="9"/>
  <c r="C6" i="9"/>
  <c r="D6" i="9"/>
  <c r="E6" i="9"/>
  <c r="F6" i="9"/>
  <c r="G6" i="9"/>
  <c r="H6" i="9"/>
  <c r="I6" i="9"/>
  <c r="B6" i="9"/>
  <c r="I3" i="9"/>
  <c r="H3" i="9"/>
  <c r="G3" i="9"/>
  <c r="F3" i="9"/>
  <c r="E3" i="9"/>
  <c r="D3" i="9"/>
  <c r="C3" i="9"/>
  <c r="B3" i="9"/>
  <c r="M14" i="9"/>
  <c r="C8" i="9" s="1"/>
  <c r="N14" i="9"/>
  <c r="D8" i="9" s="1"/>
  <c r="O14" i="9"/>
  <c r="E8" i="9" s="1"/>
  <c r="P14" i="9"/>
  <c r="F8" i="9" s="1"/>
  <c r="Q14" i="9"/>
  <c r="G8" i="9" s="1"/>
  <c r="R14" i="9"/>
  <c r="H8" i="9" s="1"/>
  <c r="S14" i="9"/>
  <c r="I8" i="9" s="1"/>
  <c r="L14" i="9"/>
  <c r="B8" i="9" s="1"/>
  <c r="B8" i="7" l="1"/>
  <c r="C8" i="7"/>
  <c r="D8" i="7"/>
  <c r="E8" i="7"/>
  <c r="F8" i="7"/>
  <c r="G8" i="7"/>
  <c r="H8" i="7"/>
  <c r="I8" i="7"/>
  <c r="C14" i="7"/>
  <c r="D14" i="7"/>
  <c r="E14" i="7"/>
  <c r="F14" i="7"/>
  <c r="G14" i="7"/>
  <c r="H14" i="7"/>
  <c r="I14" i="7"/>
  <c r="B14" i="7"/>
  <c r="C15" i="7"/>
  <c r="D15" i="7"/>
  <c r="E15" i="7"/>
  <c r="F15" i="7"/>
  <c r="G15" i="7"/>
  <c r="H15" i="7"/>
  <c r="I15" i="7"/>
  <c r="B15" i="7"/>
  <c r="C17" i="7"/>
  <c r="D17" i="7"/>
  <c r="E17" i="7"/>
  <c r="F17" i="7"/>
  <c r="G17" i="7"/>
  <c r="H17" i="7"/>
  <c r="I17" i="7"/>
  <c r="B17" i="7"/>
  <c r="C16" i="7"/>
  <c r="D16" i="7"/>
  <c r="E16" i="7"/>
  <c r="F16" i="7"/>
  <c r="G16" i="7"/>
  <c r="H16" i="7"/>
  <c r="I16" i="7"/>
  <c r="B16" i="7"/>
  <c r="C13" i="7"/>
  <c r="D13" i="7"/>
  <c r="E13" i="7"/>
  <c r="F13" i="7"/>
  <c r="G13" i="7"/>
  <c r="H13" i="7"/>
  <c r="I13" i="7"/>
  <c r="B13" i="7"/>
  <c r="C10" i="7"/>
  <c r="D10" i="7"/>
  <c r="E10" i="7"/>
  <c r="F10" i="7"/>
  <c r="G10" i="7"/>
  <c r="H10" i="7"/>
  <c r="I10" i="7"/>
  <c r="B10" i="7"/>
  <c r="C6" i="7"/>
  <c r="D6" i="7"/>
  <c r="E6" i="7"/>
  <c r="F6" i="7"/>
  <c r="G6" i="7"/>
  <c r="H6" i="7"/>
  <c r="I6" i="7"/>
  <c r="B6" i="7"/>
  <c r="C3" i="7"/>
  <c r="D3" i="7"/>
  <c r="E3" i="7"/>
  <c r="F3" i="7"/>
  <c r="G3" i="7"/>
  <c r="H3" i="7"/>
  <c r="I3" i="7"/>
  <c r="B3" i="7"/>
  <c r="I14" i="6" l="1"/>
  <c r="C14" i="6"/>
  <c r="D14" i="6"/>
  <c r="E14" i="6"/>
  <c r="F14" i="6"/>
  <c r="G14" i="6"/>
  <c r="H14" i="6"/>
  <c r="B14" i="6"/>
  <c r="C15" i="6"/>
  <c r="D15" i="6"/>
  <c r="E15" i="6"/>
  <c r="F15" i="6"/>
  <c r="G15" i="6"/>
  <c r="H15" i="6"/>
  <c r="I15" i="6"/>
  <c r="B15" i="6"/>
  <c r="C17" i="6"/>
  <c r="D17" i="6"/>
  <c r="E17" i="6"/>
  <c r="F17" i="6"/>
  <c r="G17" i="6"/>
  <c r="H17" i="6"/>
  <c r="I17" i="6"/>
  <c r="B17" i="6"/>
  <c r="C16" i="6"/>
  <c r="D16" i="6"/>
  <c r="E16" i="6"/>
  <c r="F16" i="6"/>
  <c r="G16" i="6"/>
  <c r="H16" i="6"/>
  <c r="I16" i="6"/>
  <c r="B16" i="6"/>
  <c r="C13" i="6"/>
  <c r="D13" i="6"/>
  <c r="E13" i="6"/>
  <c r="F13" i="6"/>
  <c r="G13" i="6"/>
  <c r="H13" i="6"/>
  <c r="I13" i="6"/>
  <c r="B13" i="6"/>
  <c r="C10" i="6"/>
  <c r="D10" i="6"/>
  <c r="E10" i="6"/>
  <c r="F10" i="6"/>
  <c r="G10" i="6"/>
  <c r="H10" i="6"/>
  <c r="I10" i="6"/>
  <c r="B10" i="6"/>
  <c r="C6" i="6"/>
  <c r="D6" i="6"/>
  <c r="E6" i="6"/>
  <c r="F6" i="6"/>
  <c r="G6" i="6"/>
  <c r="H6" i="6"/>
  <c r="I6" i="6"/>
  <c r="B6" i="6"/>
  <c r="C3" i="6"/>
  <c r="D3" i="6"/>
  <c r="E3" i="6"/>
  <c r="F3" i="6"/>
  <c r="G3" i="6"/>
  <c r="H3" i="6"/>
  <c r="I3" i="6"/>
  <c r="B3" i="6"/>
  <c r="M14" i="6"/>
  <c r="C8" i="6" s="1"/>
  <c r="N14" i="6"/>
  <c r="D8" i="6" s="1"/>
  <c r="O14" i="6"/>
  <c r="E8" i="6" s="1"/>
  <c r="P14" i="6"/>
  <c r="F8" i="6" s="1"/>
  <c r="Q14" i="6"/>
  <c r="G8" i="6" s="1"/>
  <c r="R14" i="6"/>
  <c r="H8" i="6" s="1"/>
  <c r="S14" i="6"/>
  <c r="I8" i="6" s="1"/>
  <c r="L14" i="6"/>
  <c r="B8" i="6" s="1"/>
  <c r="F8" i="5" l="1"/>
  <c r="B8" i="5"/>
  <c r="C17" i="5"/>
  <c r="D17" i="5"/>
  <c r="E17" i="5"/>
  <c r="F17" i="5"/>
  <c r="G17" i="5"/>
  <c r="H17" i="5"/>
  <c r="I17" i="5"/>
  <c r="B17" i="5"/>
  <c r="C16" i="5"/>
  <c r="D16" i="5"/>
  <c r="E16" i="5"/>
  <c r="F16" i="5"/>
  <c r="G16" i="5"/>
  <c r="H16" i="5"/>
  <c r="I16" i="5"/>
  <c r="B16" i="5"/>
  <c r="C15" i="5"/>
  <c r="D15" i="5"/>
  <c r="E15" i="5"/>
  <c r="F15" i="5"/>
  <c r="G15" i="5"/>
  <c r="H15" i="5"/>
  <c r="I15" i="5"/>
  <c r="B15" i="5"/>
  <c r="C14" i="5"/>
  <c r="D14" i="5"/>
  <c r="E14" i="5"/>
  <c r="F14" i="5"/>
  <c r="G14" i="5"/>
  <c r="H14" i="5"/>
  <c r="I14" i="5"/>
  <c r="C13" i="5"/>
  <c r="D13" i="5"/>
  <c r="E13" i="5"/>
  <c r="F13" i="5"/>
  <c r="G13" i="5"/>
  <c r="H13" i="5"/>
  <c r="I13" i="5"/>
  <c r="B13" i="5"/>
  <c r="C17" i="26"/>
  <c r="D17" i="26"/>
  <c r="E17" i="26"/>
  <c r="F17" i="26"/>
  <c r="G17" i="26"/>
  <c r="H17" i="26"/>
  <c r="I17" i="26"/>
  <c r="C13" i="26"/>
  <c r="B13" i="26"/>
  <c r="C10" i="26"/>
  <c r="D10" i="26"/>
  <c r="E10" i="26"/>
  <c r="F10" i="26"/>
  <c r="G10" i="26"/>
  <c r="H10" i="26"/>
  <c r="I10" i="26"/>
  <c r="B10" i="26"/>
  <c r="C10" i="5"/>
  <c r="D10" i="5"/>
  <c r="E10" i="5"/>
  <c r="F10" i="5"/>
  <c r="G10" i="5"/>
  <c r="H10" i="5"/>
  <c r="I10" i="5"/>
  <c r="B10" i="5"/>
  <c r="B6" i="26"/>
  <c r="C6" i="5"/>
  <c r="D6" i="5"/>
  <c r="E6" i="5"/>
  <c r="F6" i="5"/>
  <c r="G6" i="5"/>
  <c r="H6" i="5"/>
  <c r="I6" i="5"/>
  <c r="B6" i="5"/>
  <c r="C3" i="5"/>
  <c r="D3" i="5"/>
  <c r="E3" i="5"/>
  <c r="F3" i="5"/>
  <c r="G3" i="5"/>
  <c r="H3" i="5"/>
  <c r="I3" i="5"/>
  <c r="B3" i="5"/>
  <c r="M14" i="5"/>
  <c r="C8" i="5" s="1"/>
  <c r="N14" i="5"/>
  <c r="D8" i="5" s="1"/>
  <c r="O14" i="5"/>
  <c r="E8" i="5" s="1"/>
  <c r="P14" i="5"/>
  <c r="Q14" i="5"/>
  <c r="G8" i="5" s="1"/>
  <c r="R14" i="5"/>
  <c r="H8" i="5" s="1"/>
  <c r="S14" i="5"/>
  <c r="I8" i="5" s="1"/>
  <c r="L14" i="5"/>
  <c r="D5" i="27" l="1"/>
  <c r="D9" i="27"/>
  <c r="D10" i="27"/>
  <c r="D18" i="27"/>
  <c r="D19" i="27"/>
  <c r="F5" i="27"/>
  <c r="F9" i="27"/>
  <c r="F10" i="27"/>
  <c r="F18" i="27"/>
  <c r="F19" i="27"/>
  <c r="E5" i="27"/>
  <c r="E9" i="27"/>
  <c r="E10" i="27"/>
  <c r="E18" i="27"/>
  <c r="E19" i="27"/>
  <c r="C5" i="27"/>
  <c r="C9" i="27"/>
  <c r="C10" i="27"/>
  <c r="C18" i="27"/>
  <c r="C19" i="27"/>
  <c r="B5" i="27"/>
  <c r="B9" i="27"/>
  <c r="B10" i="27"/>
  <c r="B18" i="27"/>
  <c r="B19" i="27"/>
  <c r="C17" i="4"/>
  <c r="D17" i="4"/>
  <c r="E17" i="4"/>
  <c r="F17" i="4"/>
  <c r="G17" i="4"/>
  <c r="H17" i="4"/>
  <c r="I17" i="4"/>
  <c r="B17" i="4"/>
  <c r="C16" i="4"/>
  <c r="D16" i="4"/>
  <c r="E16" i="4"/>
  <c r="F16" i="4"/>
  <c r="G16" i="4"/>
  <c r="H16" i="4"/>
  <c r="I16" i="4"/>
  <c r="B16" i="4"/>
  <c r="C15" i="4"/>
  <c r="D15" i="4"/>
  <c r="E15" i="4"/>
  <c r="F15" i="4"/>
  <c r="G15" i="4"/>
  <c r="H15" i="4"/>
  <c r="I15" i="4"/>
  <c r="B15" i="4"/>
  <c r="C14" i="4"/>
  <c r="D14" i="4"/>
  <c r="E14" i="4"/>
  <c r="F14" i="4"/>
  <c r="G14" i="4"/>
  <c r="H14" i="4"/>
  <c r="I14" i="4"/>
  <c r="B14" i="4"/>
  <c r="C13" i="4"/>
  <c r="D13" i="4"/>
  <c r="E13" i="4"/>
  <c r="F13" i="4"/>
  <c r="G13" i="4"/>
  <c r="H13" i="4"/>
  <c r="I13" i="4"/>
  <c r="B13" i="4"/>
  <c r="C6" i="4"/>
  <c r="D6" i="4"/>
  <c r="E6" i="4"/>
  <c r="F6" i="4"/>
  <c r="G6" i="4"/>
  <c r="H6" i="4"/>
  <c r="I6" i="4"/>
  <c r="B6" i="4"/>
  <c r="C3" i="4"/>
  <c r="D3" i="4"/>
  <c r="E3" i="4"/>
  <c r="F3" i="4"/>
  <c r="G3" i="4"/>
  <c r="H3" i="4"/>
  <c r="I3" i="4"/>
  <c r="B3" i="4"/>
  <c r="L14" i="4" l="1"/>
  <c r="B8" i="4" s="1"/>
  <c r="M14" i="4"/>
  <c r="C8" i="4" s="1"/>
  <c r="N14" i="4"/>
  <c r="D8" i="4" s="1"/>
  <c r="O14" i="4"/>
  <c r="E8" i="4" s="1"/>
  <c r="P14" i="4"/>
  <c r="F8" i="4" s="1"/>
  <c r="Q14" i="4"/>
  <c r="G8" i="4" s="1"/>
  <c r="R14" i="4"/>
  <c r="H8" i="4" s="1"/>
  <c r="S14" i="4"/>
  <c r="I8" i="4" s="1"/>
  <c r="C16" i="26" l="1"/>
  <c r="B16" i="26"/>
  <c r="C15" i="26"/>
  <c r="D15" i="26"/>
  <c r="E15" i="26"/>
  <c r="F15" i="26"/>
  <c r="G15" i="26"/>
  <c r="H15" i="26"/>
  <c r="I15" i="26"/>
  <c r="B15" i="26"/>
  <c r="C14" i="26"/>
  <c r="D14" i="26"/>
  <c r="E14" i="26"/>
  <c r="F14" i="26"/>
  <c r="G14" i="26"/>
  <c r="H14" i="26"/>
  <c r="I14" i="26"/>
  <c r="B14" i="26"/>
  <c r="M14" i="26"/>
  <c r="C8" i="26" s="1"/>
  <c r="N14" i="26"/>
  <c r="D8" i="26" s="1"/>
  <c r="O14" i="26"/>
  <c r="E8" i="26" s="1"/>
  <c r="P14" i="26"/>
  <c r="F8" i="26" s="1"/>
  <c r="Q14" i="26"/>
  <c r="G8" i="26" s="1"/>
  <c r="R14" i="26"/>
  <c r="H8" i="26" s="1"/>
  <c r="S14" i="26"/>
  <c r="I8" i="26" s="1"/>
  <c r="L14" i="26"/>
  <c r="B8" i="26" s="1"/>
  <c r="F8" i="27" l="1"/>
  <c r="C8" i="27"/>
  <c r="D8" i="27"/>
  <c r="E8" i="27"/>
  <c r="D14" i="27"/>
  <c r="E14" i="27"/>
  <c r="F14" i="27"/>
  <c r="C14" i="27"/>
  <c r="B14" i="27"/>
  <c r="B8" i="27"/>
  <c r="F15" i="27"/>
  <c r="D15" i="27"/>
  <c r="C15" i="27"/>
  <c r="E15" i="27"/>
  <c r="B15" i="27"/>
  <c r="F3" i="26"/>
  <c r="G3" i="26"/>
  <c r="H3" i="26"/>
  <c r="I3" i="26"/>
  <c r="E3" i="26"/>
  <c r="C3" i="26"/>
  <c r="D3" i="26"/>
  <c r="B3" i="26"/>
  <c r="B17" i="26"/>
  <c r="I4" i="26"/>
  <c r="H4" i="26"/>
  <c r="G4" i="26"/>
  <c r="F4" i="26"/>
  <c r="E4" i="26"/>
  <c r="D4" i="26"/>
  <c r="G16" i="26" l="1"/>
  <c r="G6" i="26"/>
  <c r="G13" i="26"/>
  <c r="D16" i="26"/>
  <c r="D6" i="26"/>
  <c r="D13" i="26"/>
  <c r="D4" i="27"/>
  <c r="E4" i="27"/>
  <c r="F4" i="27"/>
  <c r="C4" i="27"/>
  <c r="B4" i="27"/>
  <c r="H16" i="26"/>
  <c r="H6" i="26"/>
  <c r="H13" i="26"/>
  <c r="B3" i="27"/>
  <c r="D3" i="27"/>
  <c r="E3" i="27"/>
  <c r="F3" i="27"/>
  <c r="C3" i="27"/>
  <c r="E16" i="26"/>
  <c r="E6" i="26"/>
  <c r="E13" i="26"/>
  <c r="I16" i="26"/>
  <c r="I6" i="26"/>
  <c r="I13" i="26"/>
  <c r="F16" i="26"/>
  <c r="F6" i="26"/>
  <c r="F13" i="26"/>
  <c r="F17" i="27"/>
  <c r="C17" i="27"/>
  <c r="B17" i="27"/>
  <c r="D17" i="27"/>
  <c r="E17" i="27"/>
  <c r="C16" i="27" l="1"/>
  <c r="B16" i="27"/>
  <c r="F16" i="27"/>
  <c r="D16" i="27"/>
  <c r="E16" i="27"/>
  <c r="F13" i="27"/>
  <c r="C13" i="27"/>
  <c r="B13" i="27"/>
  <c r="D13" i="27"/>
  <c r="E13" i="27"/>
  <c r="F6" i="27"/>
  <c r="C6" i="27"/>
  <c r="B6" i="27"/>
  <c r="E6" i="27"/>
  <c r="D6" i="27"/>
</calcChain>
</file>

<file path=xl/sharedStrings.xml><?xml version="1.0" encoding="utf-8"?>
<sst xmlns="http://schemas.openxmlformats.org/spreadsheetml/2006/main" count="1498" uniqueCount="73">
  <si>
    <t>Controls</t>
  </si>
  <si>
    <t xml:space="preserve">ROA is the  net income divided by total assets. </t>
  </si>
  <si>
    <t>SIZE is the natural logarithm of the firm's total assets</t>
  </si>
  <si>
    <t>FSTS is the ratio of foreign sales to total sales.</t>
  </si>
  <si>
    <t>FSD</t>
  </si>
  <si>
    <t>Gross FXD</t>
  </si>
  <si>
    <t>FXD</t>
  </si>
  <si>
    <t>DERIV</t>
  </si>
  <si>
    <t>Tobin's Q</t>
  </si>
  <si>
    <t xml:space="preserve">ROA </t>
  </si>
  <si>
    <t>SIZE</t>
  </si>
  <si>
    <t>FSTS</t>
  </si>
  <si>
    <t>Year/indexes</t>
  </si>
  <si>
    <t>Sales</t>
  </si>
  <si>
    <t>Leverage</t>
  </si>
  <si>
    <t>Capex/sales</t>
  </si>
  <si>
    <t>R&amp;D/sales</t>
  </si>
  <si>
    <t>Leverage is the ratio of total debt to shareholder equity</t>
  </si>
  <si>
    <t>Capex/sales is capital expenditures scaled by sales</t>
  </si>
  <si>
    <t>R&amp;D/sales is research and development expenses scaled by sales.</t>
  </si>
  <si>
    <t>The FXD dummy equals I if the company reports currency derivatives.</t>
  </si>
  <si>
    <t>Hedging</t>
  </si>
  <si>
    <t>Total sales in millions.</t>
  </si>
  <si>
    <t>The (FSD) foreign sales dummy equals I if the company reports any foreign sales, 0 otherwise.</t>
  </si>
  <si>
    <t>Characteristics</t>
  </si>
  <si>
    <t xml:space="preserve">(book value of assets less book value of equity plus the market value of equity) divided by the book value of assets. </t>
  </si>
  <si>
    <t>Gross value of FXD is defined as the gross national value of the use of any foreign curnency instruments</t>
  </si>
  <si>
    <t>Foreign sales</t>
  </si>
  <si>
    <t>BV equity</t>
  </si>
  <si>
    <t>Capitalization</t>
  </si>
  <si>
    <t>R&amp;D expenses</t>
  </si>
  <si>
    <t>Capex</t>
  </si>
  <si>
    <t>Net income</t>
  </si>
  <si>
    <t>Total Assets</t>
  </si>
  <si>
    <t>Total debt</t>
  </si>
  <si>
    <t>Firm's investment opportunities</t>
  </si>
  <si>
    <t>Positive relationship with Q</t>
  </si>
  <si>
    <t>Firm's size</t>
  </si>
  <si>
    <t>Capital structure</t>
  </si>
  <si>
    <t xml:space="preserve">Profitability </t>
  </si>
  <si>
    <t>Quick ratio</t>
  </si>
  <si>
    <t>Financial distress</t>
  </si>
  <si>
    <t>Control</t>
  </si>
  <si>
    <t>Access to financial markets</t>
  </si>
  <si>
    <t>DD</t>
  </si>
  <si>
    <t>Dividend dummy; 1 for paid dividend and 0 for no dividend</t>
  </si>
  <si>
    <t>Industrial diversification</t>
  </si>
  <si>
    <t>Geographic diversification</t>
  </si>
  <si>
    <t>ID</t>
  </si>
  <si>
    <t>1 if the firm operates in more than one sector and 0 if operates only to one</t>
  </si>
  <si>
    <t>Negative relationship with Q</t>
  </si>
  <si>
    <t>No of shares (millions)</t>
  </si>
  <si>
    <t>Share price 31/12 (est = x cost of EQ - dividend)</t>
  </si>
  <si>
    <t>Cash</t>
  </si>
  <si>
    <t>Short term liabilities</t>
  </si>
  <si>
    <t>Investments in fixed assets</t>
  </si>
  <si>
    <t xml:space="preserve"> </t>
  </si>
  <si>
    <t>DE</t>
  </si>
  <si>
    <t>DDE</t>
  </si>
  <si>
    <t>Gains and losses on derivatives used to hedge foreign cash flow exposure</t>
  </si>
  <si>
    <t>Dummy variable that takes 1 if there are gains from hedging derivatives and 0 otherwise.</t>
  </si>
  <si>
    <t>Cash/short term liabilities</t>
  </si>
  <si>
    <t>Gross nominal value</t>
  </si>
  <si>
    <t>ετος</t>
  </si>
  <si>
    <t>τιμη</t>
  </si>
  <si>
    <t>μεσος ορος (AVERAGE)</t>
  </si>
  <si>
    <t>τυπική απόκλιση (STDEV.P)</t>
  </si>
  <si>
    <t>προσομειωμενη τιμη=(μεσος ορος)+(τυπικη αποκλιση)*(τυχαίος αριθμός)</t>
  </si>
  <si>
    <t>παρατηρησε οτι οι τυχαιοι αριθμοι του excel αλλαζουν οταν κανεις κλικ σε αλλο κελι</t>
  </si>
  <si>
    <t>προσομειωσεις</t>
  </si>
  <si>
    <t>τυχαιοι αριθμοι από 0 εως 1</t>
  </si>
  <si>
    <t>μετατροπή του (0,1) σε (-1,1)</t>
  </si>
  <si>
    <t>DERIV is defined as the notional amount of FXD divided by foreign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</si>
</sst>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\ _€_-;\-* #,##0.00\ _€_-;_-* &quot;-&quot;??\ _€_-;_-@_-"/>
    <numFmt numFmtId="165" formatCode="0.000"/>
    <numFmt numFmtId="166" formatCode="0.00000"/>
    <numFmt numFmtId="167" formatCode="0.0000"/>
    <numFmt numFmtId="168" formatCode="0.0"/>
    <numFmt numFmtId="169" formatCode="#,##0.0000"/>
  </numFmts>
  <fonts count="20" x14ac:knownFonts="1">
    <font>
      <sz val="11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  <font>
      <b/>
      <i/>
      <sz val="13"/>
      <color rgb="FF000000"/>
      <name val="Calibri"/>
      <family val="2"/>
      <charset val="161"/>
    </font>
    <font>
      <b/>
      <u/>
      <sz val="12"/>
      <color rgb="FF000000"/>
      <name val="Calibri"/>
      <family val="2"/>
      <charset val="161"/>
    </font>
    <font>
      <sz val="11"/>
      <color rgb="FF000000"/>
      <name val="Calibri"/>
      <family val="2"/>
      <charset val="161"/>
    </font>
    <font>
      <b/>
      <sz val="11"/>
      <color rgb="FF000000"/>
      <name val="Calibri"/>
      <family val="2"/>
      <charset val="161"/>
    </font>
    <font>
      <sz val="9"/>
      <color theme="1"/>
      <name val="Calibri"/>
      <family val="2"/>
      <charset val="161"/>
      <scheme val="minor"/>
    </font>
    <font>
      <b/>
      <i/>
      <sz val="10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u/>
      <sz val="11"/>
      <color theme="1"/>
      <name val="Calibri"/>
      <family val="2"/>
      <charset val="161"/>
      <scheme val="minor"/>
    </font>
    <font>
      <i/>
      <sz val="10"/>
      <color theme="1"/>
      <name val="Calibri"/>
      <family val="2"/>
      <charset val="161"/>
      <scheme val="minor"/>
    </font>
    <font>
      <sz val="10"/>
      <color theme="1"/>
      <name val="Calibri"/>
      <family val="2"/>
      <charset val="161"/>
      <scheme val="minor"/>
    </font>
    <font>
      <sz val="10"/>
      <color rgb="FF000000"/>
      <name val="Calibri"/>
      <family val="2"/>
      <charset val="161"/>
    </font>
    <font>
      <sz val="9"/>
      <color rgb="FF000000"/>
      <name val="Calibri"/>
      <family val="2"/>
      <charset val="161"/>
    </font>
    <font>
      <b/>
      <sz val="9"/>
      <color rgb="FF333333"/>
      <name val="Arial"/>
      <family val="2"/>
      <charset val="161"/>
    </font>
    <font>
      <b/>
      <i/>
      <sz val="13"/>
      <color rgb="FF000000"/>
      <name val="Calibri"/>
      <family val="2"/>
      <charset val="161"/>
      <scheme val="minor"/>
    </font>
    <font>
      <b/>
      <u/>
      <sz val="12"/>
      <color rgb="FF000000"/>
      <name val="Calibri"/>
      <family val="2"/>
      <charset val="161"/>
      <scheme val="minor"/>
    </font>
    <font>
      <sz val="11"/>
      <color rgb="FF000000"/>
      <name val="Calibri"/>
      <family val="2"/>
      <charset val="161"/>
      <scheme val="minor"/>
    </font>
    <font>
      <b/>
      <sz val="11"/>
      <color rgb="FF000000"/>
      <name val="Calibri"/>
      <family val="2"/>
      <charset val="161"/>
      <scheme val="minor"/>
    </font>
    <font>
      <sz val="9"/>
      <color rgb="FF000000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CCCCCC"/>
      </bottom>
      <diagonal/>
    </border>
  </borders>
  <cellStyleXfs count="3">
    <xf numFmtId="0" fontId="0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6" fillId="0" borderId="0" xfId="0" applyFont="1"/>
    <xf numFmtId="0" fontId="7" fillId="0" borderId="0" xfId="0" applyFont="1"/>
    <xf numFmtId="165" fontId="0" fillId="0" borderId="0" xfId="0" applyNumberFormat="1"/>
    <xf numFmtId="2" fontId="0" fillId="0" borderId="0" xfId="0" applyNumberFormat="1"/>
    <xf numFmtId="1" fontId="1" fillId="0" borderId="0" xfId="0" applyNumberFormat="1" applyFont="1" applyFill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vertical="center"/>
    </xf>
    <xf numFmtId="2" fontId="0" fillId="0" borderId="0" xfId="2" applyNumberFormat="1" applyFont="1"/>
    <xf numFmtId="1" fontId="0" fillId="0" borderId="0" xfId="0" applyNumberFormat="1"/>
    <xf numFmtId="0" fontId="4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4" fillId="0" borderId="0" xfId="0" applyFont="1" applyAlignment="1">
      <alignment vertical="top"/>
    </xf>
    <xf numFmtId="0" fontId="5" fillId="0" borderId="0" xfId="0" applyFont="1" applyAlignment="1">
      <alignment horizontal="left" vertical="top"/>
    </xf>
    <xf numFmtId="0" fontId="13" fillId="0" borderId="0" xfId="0" applyFont="1" applyAlignment="1">
      <alignment vertical="center"/>
    </xf>
    <xf numFmtId="0" fontId="0" fillId="0" borderId="0" xfId="0" applyAlignmen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" fontId="1" fillId="0" borderId="0" xfId="1" applyNumberFormat="1" applyFont="1" applyFill="1" applyAlignment="1">
      <alignment horizontal="right"/>
    </xf>
    <xf numFmtId="0" fontId="1" fillId="0" borderId="0" xfId="0" applyFont="1" applyAlignment="1">
      <alignment horizontal="right"/>
    </xf>
    <xf numFmtId="168" fontId="0" fillId="0" borderId="0" xfId="0" applyNumberFormat="1" applyAlignment="1">
      <alignment horizontal="right"/>
    </xf>
    <xf numFmtId="169" fontId="0" fillId="0" borderId="0" xfId="0" applyNumberFormat="1"/>
    <xf numFmtId="0" fontId="14" fillId="2" borderId="1" xfId="0" applyFont="1" applyFill="1" applyBorder="1" applyAlignment="1">
      <alignment horizontal="right" vertical="center"/>
    </xf>
    <xf numFmtId="1" fontId="0" fillId="0" borderId="0" xfId="0" applyNumberFormat="1" applyProtection="1">
      <protection hidden="1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 wrapText="1"/>
    </xf>
    <xf numFmtId="0" fontId="18" fillId="0" borderId="0" xfId="0" applyFont="1" applyAlignment="1">
      <alignment horizontal="right" vertical="center"/>
    </xf>
    <xf numFmtId="0" fontId="19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3">
    <cellStyle name="Normal" xfId="0" builtinId="0"/>
    <cellStyle name="Procent" xfId="2" builtinId="5"/>
    <cellStyle name="Tusenta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S36"/>
  <sheetViews>
    <sheetView tabSelected="1" workbookViewId="0">
      <selection activeCell="B11" sqref="B11:I11"/>
    </sheetView>
  </sheetViews>
  <sheetFormatPr defaultRowHeight="15" x14ac:dyDescent="0.25"/>
  <cols>
    <col min="1" max="1" width="19.5703125" customWidth="1"/>
    <col min="2" max="2" width="10.7109375" customWidth="1"/>
    <col min="10" max="10" width="9.140625" customWidth="1"/>
    <col min="11" max="11" width="12.5703125" customWidth="1"/>
  </cols>
  <sheetData>
    <row r="1" spans="1:19" ht="17.25" x14ac:dyDescent="0.25">
      <c r="A1" s="2" t="s">
        <v>12</v>
      </c>
      <c r="B1" s="36">
        <v>2006</v>
      </c>
      <c r="C1" s="36">
        <v>2007</v>
      </c>
      <c r="D1" s="36">
        <v>2008</v>
      </c>
      <c r="E1" s="36">
        <v>2009</v>
      </c>
      <c r="F1" s="36">
        <v>2010</v>
      </c>
      <c r="G1" s="36">
        <v>2011</v>
      </c>
      <c r="H1" s="36">
        <v>2012</v>
      </c>
      <c r="I1" s="36">
        <v>2013</v>
      </c>
      <c r="K1" s="5"/>
      <c r="L1" s="36">
        <v>2006</v>
      </c>
      <c r="M1" s="36">
        <v>2007</v>
      </c>
      <c r="N1" s="36">
        <v>2008</v>
      </c>
      <c r="O1" s="36">
        <v>2009</v>
      </c>
      <c r="P1" s="36">
        <v>2010</v>
      </c>
      <c r="Q1" s="36">
        <v>2011</v>
      </c>
      <c r="R1" s="36">
        <v>2012</v>
      </c>
      <c r="S1" s="36">
        <v>2013</v>
      </c>
    </row>
    <row r="2" spans="1:19" ht="15.75" x14ac:dyDescent="0.25">
      <c r="A2" s="3" t="s">
        <v>24</v>
      </c>
      <c r="K2" s="4" t="s">
        <v>33</v>
      </c>
    </row>
    <row r="3" spans="1:19" x14ac:dyDescent="0.25">
      <c r="A3" s="4" t="s">
        <v>10</v>
      </c>
      <c r="B3" s="6" t="s">
        <v>2</v>
      </c>
      <c r="K3" s="4" t="s">
        <v>27</v>
      </c>
      <c r="M3" s="11" t="s">
        <v>37</v>
      </c>
      <c r="P3" t="s">
        <v>36</v>
      </c>
    </row>
    <row r="4" spans="1:19" x14ac:dyDescent="0.25">
      <c r="A4" s="4" t="s">
        <v>13</v>
      </c>
      <c r="B4" s="6" t="s">
        <v>22</v>
      </c>
      <c r="K4" s="4" t="s">
        <v>28</v>
      </c>
      <c r="M4" s="12" t="s">
        <v>10</v>
      </c>
    </row>
    <row r="5" spans="1:19" x14ac:dyDescent="0.25">
      <c r="A5" s="4" t="s">
        <v>4</v>
      </c>
      <c r="B5" s="6" t="s">
        <v>23</v>
      </c>
      <c r="K5" s="4" t="s">
        <v>53</v>
      </c>
      <c r="M5" s="11" t="s">
        <v>41</v>
      </c>
      <c r="P5" t="s">
        <v>36</v>
      </c>
    </row>
    <row r="6" spans="1:19" x14ac:dyDescent="0.25">
      <c r="A6" s="4" t="s">
        <v>11</v>
      </c>
      <c r="B6" s="6" t="s">
        <v>3</v>
      </c>
      <c r="K6" s="21" t="s">
        <v>62</v>
      </c>
      <c r="M6" t="s">
        <v>40</v>
      </c>
    </row>
    <row r="7" spans="1:19" ht="15.75" x14ac:dyDescent="0.25">
      <c r="A7" s="3" t="s">
        <v>21</v>
      </c>
      <c r="K7" s="4" t="s">
        <v>30</v>
      </c>
      <c r="M7" s="11" t="s">
        <v>43</v>
      </c>
      <c r="P7" t="s">
        <v>50</v>
      </c>
    </row>
    <row r="8" spans="1:19" x14ac:dyDescent="0.25">
      <c r="A8" s="4" t="s">
        <v>8</v>
      </c>
      <c r="B8" s="6" t="s">
        <v>25</v>
      </c>
      <c r="K8" s="4" t="s">
        <v>34</v>
      </c>
      <c r="M8" s="1" t="s">
        <v>44</v>
      </c>
    </row>
    <row r="9" spans="1:19" x14ac:dyDescent="0.25">
      <c r="A9" s="4" t="s">
        <v>6</v>
      </c>
      <c r="B9" s="6" t="s">
        <v>20</v>
      </c>
      <c r="K9" s="4" t="s">
        <v>31</v>
      </c>
      <c r="M9" s="11" t="s">
        <v>38</v>
      </c>
      <c r="P9" t="s">
        <v>36</v>
      </c>
    </row>
    <row r="10" spans="1:19" x14ac:dyDescent="0.25">
      <c r="A10" s="4" t="s">
        <v>5</v>
      </c>
      <c r="B10" s="6" t="s">
        <v>26</v>
      </c>
      <c r="K10" s="4" t="s">
        <v>32</v>
      </c>
      <c r="M10" s="12" t="s">
        <v>14</v>
      </c>
    </row>
    <row r="11" spans="1:19" x14ac:dyDescent="0.25">
      <c r="A11" s="4" t="s">
        <v>7</v>
      </c>
      <c r="B11" s="6" t="s">
        <v>72</v>
      </c>
      <c r="K11" s="4" t="s">
        <v>54</v>
      </c>
      <c r="M11" s="11" t="s">
        <v>39</v>
      </c>
      <c r="P11" t="s">
        <v>36</v>
      </c>
    </row>
    <row r="12" spans="1:19" ht="15.75" x14ac:dyDescent="0.25">
      <c r="A12" s="3" t="s">
        <v>0</v>
      </c>
      <c r="B12" s="6"/>
      <c r="K12" s="4" t="s">
        <v>51</v>
      </c>
      <c r="M12" s="12" t="s">
        <v>9</v>
      </c>
    </row>
    <row r="13" spans="1:19" x14ac:dyDescent="0.25">
      <c r="A13" s="4" t="s">
        <v>16</v>
      </c>
      <c r="B13" s="6" t="s">
        <v>19</v>
      </c>
      <c r="K13" s="4" t="s">
        <v>52</v>
      </c>
      <c r="M13" s="11" t="s">
        <v>46</v>
      </c>
      <c r="P13" t="s">
        <v>50</v>
      </c>
    </row>
    <row r="14" spans="1:19" x14ac:dyDescent="0.25">
      <c r="A14" s="4" t="s">
        <v>14</v>
      </c>
      <c r="B14" s="6" t="s">
        <v>17</v>
      </c>
      <c r="K14" s="4" t="s">
        <v>29</v>
      </c>
      <c r="M14" s="12" t="s">
        <v>48</v>
      </c>
    </row>
    <row r="15" spans="1:19" x14ac:dyDescent="0.25">
      <c r="A15" s="4" t="s">
        <v>40</v>
      </c>
      <c r="B15" s="6" t="s">
        <v>61</v>
      </c>
      <c r="M15" s="11" t="s">
        <v>47</v>
      </c>
      <c r="P15" t="s">
        <v>36</v>
      </c>
    </row>
    <row r="16" spans="1:19" x14ac:dyDescent="0.25">
      <c r="A16" s="4" t="s">
        <v>15</v>
      </c>
      <c r="B16" s="6" t="s">
        <v>18</v>
      </c>
      <c r="M16" s="12" t="s">
        <v>11</v>
      </c>
    </row>
    <row r="17" spans="1:16" x14ac:dyDescent="0.25">
      <c r="A17" s="4" t="s">
        <v>9</v>
      </c>
      <c r="B17" s="6" t="s">
        <v>1</v>
      </c>
      <c r="M17" s="11" t="s">
        <v>35</v>
      </c>
      <c r="P17" t="s">
        <v>36</v>
      </c>
    </row>
    <row r="18" spans="1:16" x14ac:dyDescent="0.25">
      <c r="A18" s="4" t="s">
        <v>44</v>
      </c>
      <c r="B18" s="6" t="s">
        <v>45</v>
      </c>
      <c r="M18" s="12"/>
    </row>
    <row r="19" spans="1:16" ht="15.75" x14ac:dyDescent="0.25">
      <c r="A19" s="4" t="s">
        <v>48</v>
      </c>
      <c r="B19" s="6" t="s">
        <v>49</v>
      </c>
      <c r="M19" s="3" t="s">
        <v>24</v>
      </c>
    </row>
    <row r="20" spans="1:16" x14ac:dyDescent="0.25">
      <c r="A20" t="s">
        <v>57</v>
      </c>
      <c r="B20" t="s">
        <v>55</v>
      </c>
      <c r="M20" s="4" t="s">
        <v>10</v>
      </c>
    </row>
    <row r="21" spans="1:16" x14ac:dyDescent="0.25">
      <c r="A21" s="7" t="s">
        <v>57</v>
      </c>
      <c r="B21" t="s">
        <v>59</v>
      </c>
      <c r="M21" s="4" t="s">
        <v>4</v>
      </c>
    </row>
    <row r="22" spans="1:16" x14ac:dyDescent="0.25">
      <c r="A22" s="7" t="s">
        <v>58</v>
      </c>
      <c r="B22" t="s">
        <v>60</v>
      </c>
      <c r="M22" s="4" t="s">
        <v>11</v>
      </c>
    </row>
    <row r="23" spans="1:16" ht="15.75" x14ac:dyDescent="0.25">
      <c r="A23" s="17"/>
      <c r="M23" s="3" t="s">
        <v>21</v>
      </c>
    </row>
    <row r="24" spans="1:16" x14ac:dyDescent="0.25">
      <c r="A24" s="18"/>
      <c r="M24" s="4" t="s">
        <v>8</v>
      </c>
    </row>
    <row r="25" spans="1:16" x14ac:dyDescent="0.25">
      <c r="A25" s="17"/>
      <c r="M25" s="4" t="s">
        <v>6</v>
      </c>
    </row>
    <row r="26" spans="1:16" x14ac:dyDescent="0.25">
      <c r="A26" s="17"/>
      <c r="M26" s="4" t="s">
        <v>5</v>
      </c>
    </row>
    <row r="27" spans="1:16" x14ac:dyDescent="0.25">
      <c r="A27" s="17"/>
      <c r="M27" s="4" t="s">
        <v>7</v>
      </c>
    </row>
    <row r="28" spans="1:16" ht="15.75" x14ac:dyDescent="0.25">
      <c r="A28" s="17"/>
      <c r="M28" s="3" t="s">
        <v>42</v>
      </c>
    </row>
    <row r="29" spans="1:16" x14ac:dyDescent="0.25">
      <c r="A29" s="17"/>
      <c r="M29" s="4" t="s">
        <v>21</v>
      </c>
    </row>
    <row r="30" spans="1:16" x14ac:dyDescent="0.25">
      <c r="A30" s="17"/>
      <c r="M30" s="4" t="s">
        <v>30</v>
      </c>
    </row>
    <row r="31" spans="1:16" ht="15.75" x14ac:dyDescent="0.25">
      <c r="A31" s="17"/>
      <c r="B31" s="3"/>
      <c r="M31" s="4" t="s">
        <v>40</v>
      </c>
    </row>
    <row r="32" spans="1:16" x14ac:dyDescent="0.25">
      <c r="A32" s="17"/>
      <c r="B32" s="4"/>
      <c r="M32" s="4" t="s">
        <v>15</v>
      </c>
    </row>
    <row r="33" spans="2:13" x14ac:dyDescent="0.25">
      <c r="B33" s="4"/>
      <c r="M33" s="4" t="s">
        <v>9</v>
      </c>
    </row>
    <row r="34" spans="2:13" x14ac:dyDescent="0.25">
      <c r="M34" s="13" t="s">
        <v>40</v>
      </c>
    </row>
    <row r="35" spans="2:13" x14ac:dyDescent="0.25">
      <c r="M35" s="13" t="s">
        <v>44</v>
      </c>
    </row>
    <row r="36" spans="2:13" x14ac:dyDescent="0.25">
      <c r="M36" s="13" t="s">
        <v>48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0"/>
  <dimension ref="A1:S21"/>
  <sheetViews>
    <sheetView workbookViewId="0">
      <selection activeCell="H11" sqref="H11"/>
    </sheetView>
  </sheetViews>
  <sheetFormatPr defaultRowHeight="15" x14ac:dyDescent="0.25"/>
  <cols>
    <col min="1" max="1" width="13.85546875" customWidth="1"/>
    <col min="11" max="11" width="12.5703125" customWidth="1"/>
  </cols>
  <sheetData>
    <row r="1" spans="1:19" ht="17.25" x14ac:dyDescent="0.25">
      <c r="A1" s="2" t="s">
        <v>12</v>
      </c>
      <c r="B1" s="36">
        <v>2006</v>
      </c>
      <c r="C1" s="36">
        <v>2007</v>
      </c>
      <c r="D1" s="36">
        <v>2008</v>
      </c>
      <c r="E1" s="36">
        <v>2009</v>
      </c>
      <c r="F1" s="36">
        <v>2010</v>
      </c>
      <c r="G1" s="36">
        <v>2011</v>
      </c>
      <c r="H1" s="36">
        <v>2012</v>
      </c>
      <c r="I1" s="36">
        <v>2013</v>
      </c>
      <c r="L1" s="36">
        <v>2006</v>
      </c>
      <c r="M1" s="36">
        <v>2007</v>
      </c>
      <c r="N1" s="36">
        <v>2008</v>
      </c>
      <c r="O1" s="36">
        <v>2009</v>
      </c>
      <c r="P1" s="36">
        <v>2010</v>
      </c>
      <c r="Q1" s="36">
        <v>2011</v>
      </c>
      <c r="R1" s="36">
        <v>2012</v>
      </c>
      <c r="S1" s="36">
        <v>2013</v>
      </c>
    </row>
    <row r="2" spans="1:19" ht="15.75" x14ac:dyDescent="0.25">
      <c r="A2" s="3" t="s">
        <v>24</v>
      </c>
      <c r="K2" s="4" t="s">
        <v>33</v>
      </c>
      <c r="L2">
        <v>158904</v>
      </c>
      <c r="M2">
        <v>158787</v>
      </c>
      <c r="N2">
        <v>105496</v>
      </c>
      <c r="O2">
        <v>143261</v>
      </c>
      <c r="P2">
        <v>180858</v>
      </c>
      <c r="Q2">
        <v>172980</v>
      </c>
      <c r="R2">
        <v>197463</v>
      </c>
      <c r="S2">
        <v>238521</v>
      </c>
    </row>
    <row r="3" spans="1:19" x14ac:dyDescent="0.25">
      <c r="A3" s="4" t="s">
        <v>10</v>
      </c>
      <c r="B3" s="25">
        <f>LN(L2)</f>
        <v>11.976055525272791</v>
      </c>
      <c r="C3" s="25">
        <f t="shared" ref="C3:I3" si="0">LN(M2)</f>
        <v>11.975318960464286</v>
      </c>
      <c r="D3" s="25">
        <f t="shared" si="0"/>
        <v>11.566428316487535</v>
      </c>
      <c r="E3" s="25">
        <f t="shared" si="0"/>
        <v>11.87242342045959</v>
      </c>
      <c r="F3" s="25">
        <f t="shared" si="0"/>
        <v>12.105467471956208</v>
      </c>
      <c r="G3" s="25">
        <f t="shared" si="0"/>
        <v>12.060931259860503</v>
      </c>
      <c r="H3" s="25">
        <f t="shared" si="0"/>
        <v>12.1933065040005</v>
      </c>
      <c r="I3" s="25">
        <f t="shared" si="0"/>
        <v>12.382212635748797</v>
      </c>
      <c r="K3" s="4" t="s">
        <v>27</v>
      </c>
      <c r="L3">
        <v>4103</v>
      </c>
      <c r="M3">
        <v>4099</v>
      </c>
      <c r="N3">
        <v>2459</v>
      </c>
      <c r="O3">
        <v>1910</v>
      </c>
      <c r="P3">
        <v>1488</v>
      </c>
      <c r="Q3">
        <v>10881</v>
      </c>
      <c r="R3">
        <v>11698</v>
      </c>
      <c r="S3">
        <v>13370</v>
      </c>
    </row>
    <row r="4" spans="1:19" x14ac:dyDescent="0.25">
      <c r="A4" s="4" t="s">
        <v>13</v>
      </c>
      <c r="B4">
        <v>6958</v>
      </c>
      <c r="C4">
        <v>7127</v>
      </c>
      <c r="D4">
        <v>7352</v>
      </c>
      <c r="E4">
        <v>5456</v>
      </c>
      <c r="F4">
        <v>2943</v>
      </c>
      <c r="G4">
        <v>14674</v>
      </c>
      <c r="H4">
        <v>16849</v>
      </c>
      <c r="I4">
        <v>18569</v>
      </c>
      <c r="K4" s="4" t="s">
        <v>28</v>
      </c>
      <c r="L4">
        <v>159320</v>
      </c>
      <c r="M4">
        <v>155204</v>
      </c>
      <c r="N4">
        <v>115233</v>
      </c>
      <c r="O4">
        <v>142186</v>
      </c>
      <c r="P4">
        <v>170051</v>
      </c>
      <c r="Q4">
        <v>156719</v>
      </c>
      <c r="R4">
        <v>175106</v>
      </c>
      <c r="S4">
        <v>215966</v>
      </c>
    </row>
    <row r="5" spans="1:19" x14ac:dyDescent="0.25">
      <c r="A5" s="4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4" t="s">
        <v>53</v>
      </c>
      <c r="L5">
        <v>5068</v>
      </c>
      <c r="M5">
        <v>5010</v>
      </c>
      <c r="N5">
        <v>9151</v>
      </c>
      <c r="O5">
        <v>5804</v>
      </c>
      <c r="P5">
        <v>2684</v>
      </c>
      <c r="Q5">
        <v>4312</v>
      </c>
      <c r="R5">
        <v>7696</v>
      </c>
      <c r="S5">
        <v>9783</v>
      </c>
    </row>
    <row r="6" spans="1:19" x14ac:dyDescent="0.25">
      <c r="A6" s="4" t="s">
        <v>11</v>
      </c>
      <c r="B6" s="9">
        <f>L3/B4</f>
        <v>0.58968094279965511</v>
      </c>
      <c r="C6" s="9">
        <f t="shared" ref="C6:I6" si="1">M3/C4</f>
        <v>0.57513680370422338</v>
      </c>
      <c r="D6" s="9">
        <f t="shared" si="1"/>
        <v>0.33446681175190424</v>
      </c>
      <c r="E6" s="9">
        <f t="shared" si="1"/>
        <v>0.35007331378299122</v>
      </c>
      <c r="F6" s="9">
        <f t="shared" si="1"/>
        <v>0.50560652395514782</v>
      </c>
      <c r="G6" s="9">
        <f t="shared" si="1"/>
        <v>0.74151560583344689</v>
      </c>
      <c r="H6" s="9">
        <f t="shared" si="1"/>
        <v>0.69428452727164813</v>
      </c>
      <c r="I6" s="9">
        <f t="shared" si="1"/>
        <v>0.72001723302277987</v>
      </c>
      <c r="K6" s="21" t="s">
        <v>62</v>
      </c>
      <c r="L6">
        <v>13388</v>
      </c>
      <c r="M6">
        <v>16236</v>
      </c>
      <c r="N6">
        <v>14388</v>
      </c>
      <c r="O6">
        <v>17032</v>
      </c>
      <c r="P6">
        <v>24301</v>
      </c>
      <c r="Q6">
        <v>39243</v>
      </c>
      <c r="R6">
        <v>36878</v>
      </c>
      <c r="S6">
        <v>44448</v>
      </c>
    </row>
    <row r="7" spans="1:19" ht="15.75" x14ac:dyDescent="0.25">
      <c r="A7" s="3" t="s">
        <v>21</v>
      </c>
      <c r="K7" s="4" t="s">
        <v>30</v>
      </c>
      <c r="L7">
        <v>0</v>
      </c>
      <c r="M7">
        <v>0</v>
      </c>
      <c r="N7">
        <v>0</v>
      </c>
      <c r="O7">
        <v>0</v>
      </c>
      <c r="P7">
        <v>221</v>
      </c>
      <c r="Q7">
        <v>1334</v>
      </c>
      <c r="R7">
        <v>1549</v>
      </c>
      <c r="S7">
        <v>2795</v>
      </c>
    </row>
    <row r="8" spans="1:19" x14ac:dyDescent="0.25">
      <c r="A8" s="4" t="s">
        <v>8</v>
      </c>
      <c r="B8" s="9">
        <f>(L2+L14-L4)/L2</f>
        <v>0.80258520867945427</v>
      </c>
      <c r="C8" s="9">
        <f t="shared" ref="C8:I8" si="2">(M2+M14-M4)/M2</f>
        <v>0.72315113957691746</v>
      </c>
      <c r="D8" s="9">
        <f t="shared" si="2"/>
        <v>0.74248312732236288</v>
      </c>
      <c r="E8" s="9">
        <f t="shared" si="2"/>
        <v>0.71245489002589679</v>
      </c>
      <c r="F8" s="9">
        <f t="shared" si="2"/>
        <v>0.65639341361731307</v>
      </c>
      <c r="G8" s="9">
        <f t="shared" si="2"/>
        <v>0.64914440975835352</v>
      </c>
      <c r="H8" s="9">
        <f t="shared" si="2"/>
        <v>0.76168699958979658</v>
      </c>
      <c r="I8" s="9">
        <f t="shared" si="2"/>
        <v>0.79240821562881258</v>
      </c>
      <c r="K8" s="4" t="s">
        <v>34</v>
      </c>
      <c r="L8">
        <v>18498</v>
      </c>
      <c r="M8">
        <v>19300</v>
      </c>
      <c r="N8">
        <v>22736</v>
      </c>
      <c r="O8">
        <v>24146</v>
      </c>
      <c r="P8">
        <v>42086</v>
      </c>
      <c r="Q8">
        <v>48845</v>
      </c>
      <c r="R8">
        <v>47216</v>
      </c>
      <c r="S8">
        <v>42906</v>
      </c>
    </row>
    <row r="9" spans="1:19" x14ac:dyDescent="0.25">
      <c r="A9" s="4" t="s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K9" s="4" t="s">
        <v>31</v>
      </c>
      <c r="L9">
        <v>22693</v>
      </c>
      <c r="M9">
        <v>25041</v>
      </c>
      <c r="N9">
        <v>25321</v>
      </c>
      <c r="O9">
        <v>30111</v>
      </c>
      <c r="P9">
        <v>30036</v>
      </c>
      <c r="Q9">
        <v>37215</v>
      </c>
      <c r="R9">
        <v>35144</v>
      </c>
      <c r="S9">
        <v>32256</v>
      </c>
    </row>
    <row r="10" spans="1:19" x14ac:dyDescent="0.25">
      <c r="A10" s="4" t="s">
        <v>5</v>
      </c>
      <c r="B10">
        <v>13388</v>
      </c>
      <c r="C10">
        <v>16236</v>
      </c>
      <c r="D10">
        <v>14388</v>
      </c>
      <c r="E10">
        <v>17032</v>
      </c>
      <c r="F10">
        <v>24301</v>
      </c>
      <c r="G10">
        <v>39243</v>
      </c>
      <c r="H10">
        <v>36878</v>
      </c>
      <c r="I10">
        <v>44448</v>
      </c>
      <c r="K10" s="4" t="s">
        <v>32</v>
      </c>
      <c r="L10">
        <v>28468</v>
      </c>
      <c r="M10">
        <v>-365</v>
      </c>
      <c r="N10">
        <v>-36708</v>
      </c>
      <c r="O10">
        <v>31379</v>
      </c>
      <c r="P10">
        <v>30631</v>
      </c>
      <c r="Q10">
        <v>-9229</v>
      </c>
      <c r="R10">
        <v>24226</v>
      </c>
      <c r="S10">
        <v>45165</v>
      </c>
    </row>
    <row r="11" spans="1:19" x14ac:dyDescent="0.25">
      <c r="A11" s="4" t="s">
        <v>7</v>
      </c>
      <c r="B11" s="9">
        <f>B10/B4</f>
        <v>1.9241161253233687</v>
      </c>
      <c r="C11" s="9">
        <f t="shared" ref="C11:I11" si="3">C10/C4</f>
        <v>2.2780973761751087</v>
      </c>
      <c r="D11" s="9">
        <f t="shared" si="3"/>
        <v>1.9570184983677912</v>
      </c>
      <c r="E11" s="9">
        <f t="shared" si="3"/>
        <v>3.1217008797653958</v>
      </c>
      <c r="F11" s="9">
        <f t="shared" si="3"/>
        <v>8.2572205232755689</v>
      </c>
      <c r="G11" s="9">
        <f t="shared" si="3"/>
        <v>2.674321929944119</v>
      </c>
      <c r="H11" s="9">
        <f t="shared" si="3"/>
        <v>2.1887352365125525</v>
      </c>
      <c r="I11" s="9">
        <f t="shared" si="3"/>
        <v>2.3936668641283858</v>
      </c>
      <c r="K11" s="4" t="s">
        <v>54</v>
      </c>
      <c r="L11">
        <v>3040</v>
      </c>
      <c r="M11">
        <v>2244</v>
      </c>
      <c r="N11">
        <v>2924</v>
      </c>
      <c r="O11">
        <v>3075</v>
      </c>
      <c r="P11">
        <v>5770</v>
      </c>
      <c r="Q11">
        <v>7774</v>
      </c>
      <c r="R11">
        <v>5660</v>
      </c>
      <c r="S11">
        <v>4592</v>
      </c>
    </row>
    <row r="12" spans="1:19" ht="15.75" x14ac:dyDescent="0.25">
      <c r="A12" s="3" t="s">
        <v>0</v>
      </c>
      <c r="K12" s="4" t="s">
        <v>51</v>
      </c>
    </row>
    <row r="13" spans="1:19" x14ac:dyDescent="0.25">
      <c r="A13" s="4" t="s">
        <v>16</v>
      </c>
      <c r="B13">
        <f>L7/B4</f>
        <v>0</v>
      </c>
      <c r="C13">
        <f t="shared" ref="C13:I13" si="4">M7/C4</f>
        <v>0</v>
      </c>
      <c r="D13">
        <f t="shared" si="4"/>
        <v>0</v>
      </c>
      <c r="E13">
        <f t="shared" si="4"/>
        <v>0</v>
      </c>
      <c r="F13" s="9">
        <f t="shared" si="4"/>
        <v>7.5093442065919128E-2</v>
      </c>
      <c r="G13" s="9">
        <f t="shared" si="4"/>
        <v>9.0909090909090912E-2</v>
      </c>
      <c r="H13" s="9">
        <f t="shared" si="4"/>
        <v>9.1934239420737141E-2</v>
      </c>
      <c r="I13" s="9">
        <f t="shared" si="4"/>
        <v>0.15051968334320642</v>
      </c>
      <c r="K13" s="4" t="s">
        <v>52</v>
      </c>
    </row>
    <row r="14" spans="1:19" x14ac:dyDescent="0.25">
      <c r="A14" s="4" t="s">
        <v>14</v>
      </c>
      <c r="B14" s="9">
        <f>L8/L4</f>
        <v>0.11610595028872708</v>
      </c>
      <c r="C14" s="9">
        <f t="shared" ref="C14:I14" si="5">M8/M4</f>
        <v>0.12435246514265096</v>
      </c>
      <c r="D14" s="9">
        <f t="shared" si="5"/>
        <v>0.19730459156665192</v>
      </c>
      <c r="E14" s="9">
        <f t="shared" si="5"/>
        <v>0.16981981348374664</v>
      </c>
      <c r="F14" s="9">
        <f t="shared" si="5"/>
        <v>0.24749045874472952</v>
      </c>
      <c r="G14" s="9">
        <f t="shared" si="5"/>
        <v>0.31167248387240859</v>
      </c>
      <c r="H14" s="9">
        <f t="shared" si="5"/>
        <v>0.26964238803924478</v>
      </c>
      <c r="I14" s="9">
        <f t="shared" si="5"/>
        <v>0.198670161043868</v>
      </c>
      <c r="K14" s="4" t="s">
        <v>29</v>
      </c>
      <c r="L14">
        <v>127950</v>
      </c>
      <c r="M14">
        <v>111244</v>
      </c>
      <c r="N14">
        <v>88066</v>
      </c>
      <c r="O14">
        <v>100992</v>
      </c>
      <c r="P14">
        <v>107907</v>
      </c>
      <c r="Q14">
        <v>96028</v>
      </c>
      <c r="R14">
        <v>128048</v>
      </c>
      <c r="S14">
        <v>166451</v>
      </c>
    </row>
    <row r="15" spans="1:19" x14ac:dyDescent="0.25">
      <c r="A15" s="4" t="s">
        <v>40</v>
      </c>
      <c r="B15" s="9">
        <f>L5/L11</f>
        <v>1.6671052631578946</v>
      </c>
      <c r="C15" s="9">
        <f t="shared" ref="C15:I15" si="6">M5/M11</f>
        <v>2.2326203208556148</v>
      </c>
      <c r="D15" s="9">
        <f t="shared" si="6"/>
        <v>3.1296169630642954</v>
      </c>
      <c r="E15" s="9">
        <f t="shared" si="6"/>
        <v>1.8874796747967479</v>
      </c>
      <c r="F15" s="9">
        <f t="shared" si="6"/>
        <v>0.46516464471403812</v>
      </c>
      <c r="G15" s="9">
        <f t="shared" si="6"/>
        <v>0.55466941085670185</v>
      </c>
      <c r="H15" s="9">
        <f t="shared" si="6"/>
        <v>1.3597173144876324</v>
      </c>
      <c r="I15" s="9">
        <f t="shared" si="6"/>
        <v>2.1304442508710801</v>
      </c>
    </row>
    <row r="16" spans="1:19" x14ac:dyDescent="0.25">
      <c r="A16" s="4" t="s">
        <v>15</v>
      </c>
      <c r="B16" s="9">
        <f>L9/B4</f>
        <v>3.2614256970393791</v>
      </c>
      <c r="C16" s="9">
        <f t="shared" ref="C16:I16" si="7">M9/C4</f>
        <v>3.5135400589308263</v>
      </c>
      <c r="D16" s="9">
        <f t="shared" si="7"/>
        <v>3.4440968443960829</v>
      </c>
      <c r="E16" s="9">
        <f t="shared" si="7"/>
        <v>5.5188782991202343</v>
      </c>
      <c r="F16" s="9">
        <f t="shared" si="7"/>
        <v>10.205912334352702</v>
      </c>
      <c r="G16" s="9">
        <f t="shared" si="7"/>
        <v>2.5361183044841216</v>
      </c>
      <c r="H16" s="9">
        <f t="shared" si="7"/>
        <v>2.0858211169802363</v>
      </c>
      <c r="I16" s="9">
        <f t="shared" si="7"/>
        <v>1.7370886962141203</v>
      </c>
    </row>
    <row r="17" spans="1:9" x14ac:dyDescent="0.25">
      <c r="A17" s="4" t="s">
        <v>9</v>
      </c>
      <c r="B17" s="9">
        <f>L10/L2</f>
        <v>0.17915219251875347</v>
      </c>
      <c r="C17" s="9">
        <f t="shared" ref="C17:I17" si="8">M10/M2</f>
        <v>-2.2986768438222273E-3</v>
      </c>
      <c r="D17" s="9">
        <f t="shared" si="8"/>
        <v>-0.34795632061879123</v>
      </c>
      <c r="E17" s="9">
        <f t="shared" si="8"/>
        <v>0.21903379147151003</v>
      </c>
      <c r="F17" s="9">
        <f t="shared" si="8"/>
        <v>0.16936491612204049</v>
      </c>
      <c r="G17" s="9">
        <f t="shared" si="8"/>
        <v>-5.3352988784830614E-2</v>
      </c>
      <c r="H17" s="9">
        <f t="shared" si="8"/>
        <v>0.12268627540349332</v>
      </c>
      <c r="I17" s="9">
        <f t="shared" si="8"/>
        <v>0.18935439646823551</v>
      </c>
    </row>
    <row r="18" spans="1:9" x14ac:dyDescent="0.25">
      <c r="A18" s="4" t="s">
        <v>44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s="4" t="s">
        <v>48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25">
      <c r="A20" t="s">
        <v>57</v>
      </c>
      <c r="B20">
        <v>-409</v>
      </c>
      <c r="C20">
        <v>-413</v>
      </c>
      <c r="D20">
        <v>41</v>
      </c>
      <c r="E20">
        <v>-357</v>
      </c>
      <c r="F20">
        <v>209</v>
      </c>
      <c r="G20">
        <v>-243</v>
      </c>
      <c r="H20">
        <v>399</v>
      </c>
      <c r="I20">
        <v>606</v>
      </c>
    </row>
    <row r="21" spans="1:9" x14ac:dyDescent="0.25">
      <c r="A21" s="17" t="s">
        <v>58</v>
      </c>
      <c r="B21">
        <v>0</v>
      </c>
      <c r="C21">
        <v>0</v>
      </c>
      <c r="D21">
        <v>1</v>
      </c>
      <c r="E21">
        <v>0</v>
      </c>
      <c r="F21">
        <v>1</v>
      </c>
      <c r="G21">
        <v>0</v>
      </c>
      <c r="H21">
        <v>1</v>
      </c>
      <c r="I21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1"/>
  <dimension ref="A1:S34"/>
  <sheetViews>
    <sheetView workbookViewId="0">
      <selection activeCell="H11" sqref="H11"/>
    </sheetView>
  </sheetViews>
  <sheetFormatPr defaultRowHeight="15" x14ac:dyDescent="0.25"/>
  <cols>
    <col min="1" max="1" width="19.5703125" customWidth="1"/>
    <col min="11" max="11" width="12.5703125" customWidth="1"/>
  </cols>
  <sheetData>
    <row r="1" spans="1:19" ht="17.25" x14ac:dyDescent="0.25">
      <c r="A1" s="2" t="s">
        <v>12</v>
      </c>
      <c r="B1" s="36">
        <v>2006</v>
      </c>
      <c r="C1" s="36">
        <v>2007</v>
      </c>
      <c r="D1" s="36">
        <v>2008</v>
      </c>
      <c r="E1" s="36">
        <v>2009</v>
      </c>
      <c r="F1" s="36">
        <v>2010</v>
      </c>
      <c r="G1" s="36">
        <v>2011</v>
      </c>
      <c r="H1" s="36">
        <v>2012</v>
      </c>
      <c r="I1" s="36">
        <v>2013</v>
      </c>
      <c r="K1" s="5"/>
      <c r="L1" s="36">
        <v>2006</v>
      </c>
      <c r="M1" s="36">
        <v>2007</v>
      </c>
      <c r="N1" s="36">
        <v>2008</v>
      </c>
      <c r="O1" s="36">
        <v>2009</v>
      </c>
      <c r="P1" s="36">
        <v>2010</v>
      </c>
      <c r="Q1" s="36">
        <v>2011</v>
      </c>
      <c r="R1" s="36">
        <v>2012</v>
      </c>
      <c r="S1" s="36">
        <v>2013</v>
      </c>
    </row>
    <row r="2" spans="1:19" ht="15.75" x14ac:dyDescent="0.25">
      <c r="A2" s="3" t="s">
        <v>24</v>
      </c>
      <c r="K2" s="4" t="s">
        <v>33</v>
      </c>
      <c r="L2">
        <v>17685</v>
      </c>
      <c r="M2">
        <v>21053</v>
      </c>
      <c r="N2">
        <v>25280</v>
      </c>
      <c r="O2">
        <v>20998</v>
      </c>
      <c r="P2" s="16">
        <f>2429*F22</f>
        <v>17477.6266</v>
      </c>
      <c r="Q2" s="16">
        <f>2670*G22</f>
        <v>17319.489000000001</v>
      </c>
      <c r="R2" s="16">
        <f>3293.7*H22</f>
        <v>22306.58325</v>
      </c>
      <c r="S2" s="16">
        <f>4374.5*I22</f>
        <v>28491.993400000003</v>
      </c>
    </row>
    <row r="3" spans="1:19" x14ac:dyDescent="0.25">
      <c r="A3" s="4" t="s">
        <v>10</v>
      </c>
      <c r="B3" s="9">
        <f>LN(L2)</f>
        <v>9.7804721016395817</v>
      </c>
      <c r="C3" s="9">
        <f t="shared" ref="C3:I3" si="0">LN(M2)</f>
        <v>9.9547983467705556</v>
      </c>
      <c r="D3" s="9">
        <f t="shared" si="0"/>
        <v>10.137768848260794</v>
      </c>
      <c r="E3" s="9">
        <f t="shared" si="0"/>
        <v>9.9521824740748865</v>
      </c>
      <c r="F3" s="9">
        <f t="shared" si="0"/>
        <v>9.7686768619588182</v>
      </c>
      <c r="G3" s="9">
        <f t="shared" si="0"/>
        <v>9.7595876782169864</v>
      </c>
      <c r="H3" s="9">
        <f t="shared" si="0"/>
        <v>10.01263712688591</v>
      </c>
      <c r="I3" s="9">
        <f t="shared" si="0"/>
        <v>10.257378393454248</v>
      </c>
      <c r="K3" s="4" t="s">
        <v>27</v>
      </c>
      <c r="L3" s="16">
        <f>0.98*B4</f>
        <v>4325.72</v>
      </c>
      <c r="M3" s="16">
        <f>0.975*C4</f>
        <v>5346.9</v>
      </c>
      <c r="N3" s="16">
        <f>0.967*D4</f>
        <v>6182.0309999999999</v>
      </c>
      <c r="O3" s="16">
        <f>0.988*E4</f>
        <v>6116.7079999999996</v>
      </c>
      <c r="P3" s="16">
        <f>0.991*F4</f>
        <v>5742.3055194199997</v>
      </c>
      <c r="Q3" s="16">
        <f>0.976*G4</f>
        <v>7920.7381211199991</v>
      </c>
      <c r="R3" s="16">
        <f>0.986*H4</f>
        <v>9187.1590230000002</v>
      </c>
      <c r="S3" s="16">
        <f>0.993*I4</f>
        <v>7733.9651680799998</v>
      </c>
    </row>
    <row r="4" spans="1:19" x14ac:dyDescent="0.25">
      <c r="A4" s="4" t="s">
        <v>13</v>
      </c>
      <c r="B4">
        <v>4414</v>
      </c>
      <c r="C4">
        <v>5484</v>
      </c>
      <c r="D4">
        <v>6393</v>
      </c>
      <c r="E4">
        <v>6191</v>
      </c>
      <c r="F4" s="16">
        <f>805.3*F22</f>
        <v>5794.4556199999997</v>
      </c>
      <c r="G4" s="16">
        <f>1251.1*G22</f>
        <v>8115.5103699999991</v>
      </c>
      <c r="H4" s="16">
        <f>1375.8*H22</f>
        <v>9317.6054999999997</v>
      </c>
      <c r="I4" s="16">
        <f>1195.8*I22</f>
        <v>7788.4845599999999</v>
      </c>
      <c r="K4" s="4" t="s">
        <v>28</v>
      </c>
      <c r="L4">
        <v>10568</v>
      </c>
      <c r="M4">
        <v>11052</v>
      </c>
      <c r="N4">
        <v>12827</v>
      </c>
      <c r="O4">
        <v>8805</v>
      </c>
      <c r="P4" s="16">
        <f>997.8*F22</f>
        <v>7179.5701200000003</v>
      </c>
      <c r="Q4" s="16">
        <f>1070.3*G22</f>
        <v>6942.7150099999999</v>
      </c>
      <c r="R4" s="16">
        <f>1250.1*H22</f>
        <v>8466.3022499999988</v>
      </c>
      <c r="S4" s="16">
        <f>1266.8*I22</f>
        <v>8250.9217599999993</v>
      </c>
    </row>
    <row r="5" spans="1:19" x14ac:dyDescent="0.25">
      <c r="A5" s="4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4" t="s">
        <v>53</v>
      </c>
      <c r="L5">
        <v>297</v>
      </c>
      <c r="M5">
        <v>483</v>
      </c>
      <c r="N5">
        <v>449</v>
      </c>
      <c r="O5">
        <v>550</v>
      </c>
      <c r="P5" s="16">
        <f>F22*48.7</f>
        <v>350.41598000000005</v>
      </c>
      <c r="Q5" s="16">
        <f>G22*73.5</f>
        <v>476.77244999999999</v>
      </c>
      <c r="R5" s="16">
        <f>97.4*H22</f>
        <v>659.64150000000006</v>
      </c>
      <c r="S5" s="16">
        <f>92.7*I22</f>
        <v>603.77364</v>
      </c>
    </row>
    <row r="6" spans="1:19" x14ac:dyDescent="0.25">
      <c r="A6" s="4" t="s">
        <v>11</v>
      </c>
      <c r="B6">
        <f>L3/B4</f>
        <v>0.98000000000000009</v>
      </c>
      <c r="C6">
        <f t="shared" ref="C6:I6" si="1">M3/C4</f>
        <v>0.97499999999999998</v>
      </c>
      <c r="D6">
        <f t="shared" si="1"/>
        <v>0.96699999999999997</v>
      </c>
      <c r="E6">
        <f t="shared" si="1"/>
        <v>0.98799999999999999</v>
      </c>
      <c r="F6">
        <f t="shared" si="1"/>
        <v>0.99099999999999999</v>
      </c>
      <c r="G6">
        <f t="shared" si="1"/>
        <v>0.97599999999999998</v>
      </c>
      <c r="H6">
        <f t="shared" si="1"/>
        <v>0.9860000000000001</v>
      </c>
      <c r="I6">
        <f t="shared" si="1"/>
        <v>0.99299999999999999</v>
      </c>
      <c r="K6" s="21" t="s">
        <v>62</v>
      </c>
      <c r="L6">
        <v>13456</v>
      </c>
      <c r="M6">
        <v>11756</v>
      </c>
      <c r="N6">
        <v>10987</v>
      </c>
      <c r="O6">
        <v>4444</v>
      </c>
      <c r="P6">
        <v>3909</v>
      </c>
      <c r="Q6">
        <v>5369</v>
      </c>
      <c r="R6">
        <v>4700</v>
      </c>
      <c r="S6" s="16">
        <v>5224</v>
      </c>
    </row>
    <row r="7" spans="1:19" ht="15.75" x14ac:dyDescent="0.25">
      <c r="A7" s="3" t="s">
        <v>21</v>
      </c>
      <c r="K7" s="4" t="s">
        <v>30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25">
      <c r="A8" s="4" t="s">
        <v>8</v>
      </c>
      <c r="B8" s="25">
        <f>(L2+L14-L4)/L2</f>
        <v>1.6714645179530678</v>
      </c>
      <c r="C8" s="25">
        <f t="shared" ref="C8:I8" si="2">(M2+M14-M4)/M2</f>
        <v>1.4862727402270459</v>
      </c>
      <c r="D8" s="25">
        <f t="shared" si="2"/>
        <v>1.0044541139240506</v>
      </c>
      <c r="E8" s="25">
        <f t="shared" si="2"/>
        <v>1.4254424230879132</v>
      </c>
      <c r="F8" s="25">
        <f t="shared" si="2"/>
        <v>2.0829613947697001</v>
      </c>
      <c r="G8" s="25">
        <f t="shared" si="2"/>
        <v>3.6374037357568687</v>
      </c>
      <c r="H8" s="25">
        <f t="shared" si="2"/>
        <v>2.7027864520667908</v>
      </c>
      <c r="I8" s="25">
        <f t="shared" si="2"/>
        <v>2.0747959193336047</v>
      </c>
      <c r="K8" s="4" t="s">
        <v>34</v>
      </c>
      <c r="L8">
        <v>1391</v>
      </c>
      <c r="M8">
        <v>2740</v>
      </c>
      <c r="N8">
        <v>4340</v>
      </c>
      <c r="O8">
        <v>3973</v>
      </c>
      <c r="P8" s="16">
        <f>F22*476.7</f>
        <v>3430.04718</v>
      </c>
      <c r="Q8" s="16">
        <f>G22*228.8</f>
        <v>1484.15696</v>
      </c>
      <c r="R8" s="16">
        <f>H22*432</f>
        <v>2925.72</v>
      </c>
      <c r="S8" s="16">
        <f>1275*I22</f>
        <v>8304.33</v>
      </c>
    </row>
    <row r="9" spans="1:19" x14ac:dyDescent="0.25">
      <c r="A9" s="4" t="s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K9" s="4" t="s">
        <v>31</v>
      </c>
      <c r="L9">
        <v>2801</v>
      </c>
      <c r="M9">
        <v>4282</v>
      </c>
      <c r="N9">
        <v>4096</v>
      </c>
      <c r="O9">
        <v>3946</v>
      </c>
      <c r="P9" s="16">
        <f>F22*375</f>
        <v>2698.2750000000001</v>
      </c>
      <c r="Q9" s="16">
        <f>G22*673</f>
        <v>4365.5491000000002</v>
      </c>
      <c r="R9" s="16">
        <f>929*H22</f>
        <v>6291.6525000000001</v>
      </c>
      <c r="S9" s="16">
        <f>1738*I22</f>
        <v>11319.9416</v>
      </c>
    </row>
    <row r="10" spans="1:19" x14ac:dyDescent="0.25">
      <c r="A10" s="4" t="s">
        <v>5</v>
      </c>
      <c r="B10">
        <v>13456</v>
      </c>
      <c r="C10">
        <v>11756</v>
      </c>
      <c r="D10">
        <v>10987</v>
      </c>
      <c r="E10">
        <v>4444</v>
      </c>
      <c r="F10">
        <v>3909</v>
      </c>
      <c r="G10">
        <v>5369</v>
      </c>
      <c r="H10">
        <v>4700</v>
      </c>
      <c r="I10" s="16">
        <v>5224</v>
      </c>
      <c r="K10" s="4" t="s">
        <v>32</v>
      </c>
      <c r="L10">
        <v>794</v>
      </c>
      <c r="M10">
        <v>952</v>
      </c>
      <c r="N10">
        <v>310</v>
      </c>
      <c r="O10">
        <v>-3789</v>
      </c>
      <c r="P10" s="16">
        <f>F22*129</f>
        <v>928.20659999999998</v>
      </c>
      <c r="Q10" s="16">
        <f>155*G22</f>
        <v>1005.4385</v>
      </c>
      <c r="R10" s="16">
        <f>H22*103.9</f>
        <v>703.66275000000007</v>
      </c>
      <c r="S10" s="16">
        <f>72.9*I22</f>
        <v>474.81228000000004</v>
      </c>
    </row>
    <row r="11" spans="1:19" x14ac:dyDescent="0.25">
      <c r="A11" s="4" t="s">
        <v>7</v>
      </c>
      <c r="B11" s="9">
        <f>B10/B4</f>
        <v>3.0484821024014499</v>
      </c>
      <c r="C11" s="9">
        <f t="shared" ref="C11:I11" si="3">C10/C4</f>
        <v>2.1436907366885487</v>
      </c>
      <c r="D11" s="9">
        <f t="shared" si="3"/>
        <v>1.7185984670733614</v>
      </c>
      <c r="E11" s="9">
        <f t="shared" si="3"/>
        <v>0.71781618478436438</v>
      </c>
      <c r="F11" s="9">
        <f t="shared" si="3"/>
        <v>0.67461039592878957</v>
      </c>
      <c r="G11" s="9">
        <f t="shared" si="3"/>
        <v>0.66157268677114645</v>
      </c>
      <c r="H11" s="9">
        <f t="shared" si="3"/>
        <v>0.50442144175346337</v>
      </c>
      <c r="I11" s="9">
        <f t="shared" si="3"/>
        <v>0.67073381987933223</v>
      </c>
      <c r="K11" s="4" t="s">
        <v>54</v>
      </c>
      <c r="L11">
        <v>1245</v>
      </c>
      <c r="M11">
        <v>1767</v>
      </c>
      <c r="N11">
        <v>2026</v>
      </c>
      <c r="O11">
        <v>1832</v>
      </c>
      <c r="P11" s="16">
        <f>F22*191</f>
        <v>1374.3214</v>
      </c>
      <c r="Q11" s="16">
        <f>G22*402.8</f>
        <v>2612.84276</v>
      </c>
      <c r="R11" s="16">
        <f>H22*432.2</f>
        <v>2927.0744999999997</v>
      </c>
      <c r="S11" s="16">
        <f>492.4*I22</f>
        <v>3207.0996799999998</v>
      </c>
    </row>
    <row r="12" spans="1:19" ht="15.75" x14ac:dyDescent="0.25">
      <c r="A12" s="3" t="s">
        <v>0</v>
      </c>
      <c r="K12" s="4" t="s">
        <v>51</v>
      </c>
      <c r="L12">
        <v>282.3</v>
      </c>
      <c r="M12">
        <v>315.39999999999998</v>
      </c>
      <c r="N12">
        <v>315.60000000000002</v>
      </c>
      <c r="O12">
        <v>313.39999999999998</v>
      </c>
      <c r="P12">
        <v>312.10000000000002</v>
      </c>
      <c r="Q12">
        <v>311</v>
      </c>
      <c r="R12">
        <v>310.7</v>
      </c>
      <c r="S12">
        <v>310</v>
      </c>
    </row>
    <row r="13" spans="1:19" x14ac:dyDescent="0.25">
      <c r="A13" s="4" t="s">
        <v>16</v>
      </c>
      <c r="B13">
        <f>L7/L2</f>
        <v>0</v>
      </c>
      <c r="C13">
        <f t="shared" ref="C13:I13" si="4">M7/M2</f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K13" s="4" t="s">
        <v>52</v>
      </c>
      <c r="L13">
        <v>79.5</v>
      </c>
      <c r="M13">
        <v>67.5</v>
      </c>
      <c r="N13">
        <v>41</v>
      </c>
      <c r="O13">
        <v>56.6</v>
      </c>
      <c r="P13">
        <v>83.65</v>
      </c>
      <c r="Q13">
        <v>169.2</v>
      </c>
      <c r="R13">
        <v>149.5</v>
      </c>
      <c r="S13">
        <v>125.4</v>
      </c>
    </row>
    <row r="14" spans="1:19" x14ac:dyDescent="0.25">
      <c r="A14" s="4" t="s">
        <v>14</v>
      </c>
      <c r="B14" s="9">
        <f>L8/L4</f>
        <v>0.13162376987130961</v>
      </c>
      <c r="C14" s="9">
        <f t="shared" ref="C14:I14" si="5">M8/M4</f>
        <v>0.24791892870068766</v>
      </c>
      <c r="D14" s="9">
        <f t="shared" si="5"/>
        <v>0.33834879550947222</v>
      </c>
      <c r="E14" s="9">
        <f t="shared" si="5"/>
        <v>0.45122089721749004</v>
      </c>
      <c r="F14" s="9">
        <f t="shared" si="5"/>
        <v>0.47775105231509318</v>
      </c>
      <c r="G14" s="9">
        <f t="shared" si="5"/>
        <v>0.21377183967112026</v>
      </c>
      <c r="H14" s="9">
        <f t="shared" si="5"/>
        <v>0.3455723542116631</v>
      </c>
      <c r="I14" s="9">
        <f t="shared" si="5"/>
        <v>1.0064730028418063</v>
      </c>
      <c r="K14" s="4" t="s">
        <v>29</v>
      </c>
      <c r="L14" s="16">
        <f>L12*L13</f>
        <v>22442.850000000002</v>
      </c>
      <c r="M14" s="16">
        <f t="shared" ref="M14:S14" si="6">M12*M13</f>
        <v>21289.5</v>
      </c>
      <c r="N14" s="16">
        <f t="shared" si="6"/>
        <v>12939.6</v>
      </c>
      <c r="O14" s="16">
        <f t="shared" si="6"/>
        <v>17738.439999999999</v>
      </c>
      <c r="P14" s="16">
        <f t="shared" si="6"/>
        <v>26107.165000000005</v>
      </c>
      <c r="Q14" s="16">
        <f t="shared" si="6"/>
        <v>52621.2</v>
      </c>
      <c r="R14" s="16">
        <f t="shared" si="6"/>
        <v>46449.65</v>
      </c>
      <c r="S14" s="16">
        <f t="shared" si="6"/>
        <v>38874</v>
      </c>
    </row>
    <row r="15" spans="1:19" x14ac:dyDescent="0.25">
      <c r="A15" s="4" t="s">
        <v>40</v>
      </c>
      <c r="B15" s="9">
        <f>L5/L11</f>
        <v>0.23855421686746989</v>
      </c>
      <c r="C15" s="9">
        <f t="shared" ref="C15:I15" si="7">M5/M11</f>
        <v>0.27334465195246183</v>
      </c>
      <c r="D15" s="9">
        <f t="shared" si="7"/>
        <v>0.22161895360315895</v>
      </c>
      <c r="E15" s="9">
        <f t="shared" si="7"/>
        <v>0.30021834061135372</v>
      </c>
      <c r="F15" s="9">
        <f t="shared" si="7"/>
        <v>0.25497382198952884</v>
      </c>
      <c r="G15" s="9">
        <f t="shared" si="7"/>
        <v>0.18247269116186693</v>
      </c>
      <c r="H15" s="9">
        <f t="shared" si="7"/>
        <v>0.22535863026376682</v>
      </c>
      <c r="I15" s="9">
        <f t="shared" si="7"/>
        <v>0.18826157595450854</v>
      </c>
    </row>
    <row r="16" spans="1:19" x14ac:dyDescent="0.25">
      <c r="A16" s="4" t="s">
        <v>15</v>
      </c>
      <c r="B16" s="9">
        <f>L9/B4</f>
        <v>0.63457181694608067</v>
      </c>
      <c r="C16" s="9">
        <f t="shared" ref="C16:I16" si="8">M9/C4</f>
        <v>0.78081692195477759</v>
      </c>
      <c r="D16" s="9">
        <f t="shared" si="8"/>
        <v>0.6407007664633193</v>
      </c>
      <c r="E16" s="9">
        <f t="shared" si="8"/>
        <v>0.63737683734453243</v>
      </c>
      <c r="F16" s="9">
        <f t="shared" si="8"/>
        <v>0.46566496957655534</v>
      </c>
      <c r="G16" s="9">
        <f t="shared" si="8"/>
        <v>0.5379266245703781</v>
      </c>
      <c r="H16" s="9">
        <f t="shared" si="8"/>
        <v>0.67524349469399625</v>
      </c>
      <c r="I16" s="9">
        <f t="shared" si="8"/>
        <v>1.4534203043987288</v>
      </c>
    </row>
    <row r="17" spans="1:9" x14ac:dyDescent="0.25">
      <c r="A17" s="4" t="s">
        <v>9</v>
      </c>
      <c r="B17" s="8">
        <f>L10/L2</f>
        <v>4.4896805202148712E-2</v>
      </c>
      <c r="C17" s="8">
        <f t="shared" ref="C17:I17" si="9">M10/M2</f>
        <v>4.5219208663848383E-2</v>
      </c>
      <c r="D17" s="8">
        <f t="shared" si="9"/>
        <v>1.2262658227848101E-2</v>
      </c>
      <c r="E17" s="8">
        <f t="shared" si="9"/>
        <v>-0.18044575673873703</v>
      </c>
      <c r="F17" s="8">
        <f t="shared" si="9"/>
        <v>5.3108275010292298E-2</v>
      </c>
      <c r="G17" s="8">
        <f t="shared" si="9"/>
        <v>5.8052434456928835E-2</v>
      </c>
      <c r="H17" s="8">
        <f t="shared" si="9"/>
        <v>3.1545070892916784E-2</v>
      </c>
      <c r="I17" s="8">
        <f t="shared" si="9"/>
        <v>1.6664761687049948E-2</v>
      </c>
    </row>
    <row r="18" spans="1:9" x14ac:dyDescent="0.25">
      <c r="A18" s="4" t="s">
        <v>44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</row>
    <row r="19" spans="1:9" x14ac:dyDescent="0.25">
      <c r="A19" s="4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t="s">
        <v>57</v>
      </c>
      <c r="B20">
        <v>1790</v>
      </c>
      <c r="C20">
        <v>1003</v>
      </c>
      <c r="D20">
        <v>1524</v>
      </c>
      <c r="E20">
        <v>-387</v>
      </c>
      <c r="F20" s="16">
        <f>-44.5*F22</f>
        <v>-320.19530000000003</v>
      </c>
      <c r="G20" s="16">
        <f>-31*G22</f>
        <v>-201.08769999999998</v>
      </c>
      <c r="H20" s="16">
        <f>70.8*H22</f>
        <v>479.49299999999999</v>
      </c>
      <c r="I20" s="16">
        <f>-39.8*I22</f>
        <v>-259.22535999999997</v>
      </c>
    </row>
    <row r="21" spans="1:9" x14ac:dyDescent="0.25">
      <c r="A21" s="17" t="s">
        <v>58</v>
      </c>
      <c r="B21">
        <v>1</v>
      </c>
      <c r="C21">
        <v>1</v>
      </c>
      <c r="D21">
        <v>1</v>
      </c>
      <c r="E21">
        <v>0</v>
      </c>
      <c r="F21">
        <v>0</v>
      </c>
      <c r="G21">
        <v>0</v>
      </c>
      <c r="H21">
        <v>1</v>
      </c>
      <c r="I21">
        <v>0</v>
      </c>
    </row>
    <row r="22" spans="1:9" x14ac:dyDescent="0.25">
      <c r="A22" s="17"/>
      <c r="F22">
        <v>7.1954000000000002</v>
      </c>
      <c r="G22">
        <v>6.4866999999999999</v>
      </c>
      <c r="H22" s="29">
        <v>6.7725</v>
      </c>
      <c r="I22" s="29">
        <v>6.5132000000000003</v>
      </c>
    </row>
    <row r="23" spans="1:9" x14ac:dyDescent="0.25">
      <c r="A23" s="17"/>
    </row>
    <row r="24" spans="1:9" x14ac:dyDescent="0.25">
      <c r="A24" s="17"/>
    </row>
    <row r="25" spans="1:9" x14ac:dyDescent="0.25">
      <c r="A25" s="18"/>
    </row>
    <row r="26" spans="1:9" x14ac:dyDescent="0.25">
      <c r="A26" s="17"/>
    </row>
    <row r="27" spans="1:9" x14ac:dyDescent="0.25">
      <c r="A27" s="17"/>
    </row>
    <row r="28" spans="1:9" x14ac:dyDescent="0.25">
      <c r="A28" s="17"/>
    </row>
    <row r="29" spans="1:9" x14ac:dyDescent="0.25">
      <c r="A29" s="17"/>
    </row>
    <row r="30" spans="1:9" x14ac:dyDescent="0.25">
      <c r="A30" s="17"/>
    </row>
    <row r="31" spans="1:9" x14ac:dyDescent="0.25">
      <c r="A31" s="17"/>
    </row>
    <row r="32" spans="1:9" x14ac:dyDescent="0.25">
      <c r="A32" s="17"/>
    </row>
    <row r="33" spans="1:1" x14ac:dyDescent="0.25">
      <c r="A33" s="17"/>
    </row>
    <row r="34" spans="1:1" x14ac:dyDescent="0.25">
      <c r="A34" s="1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2"/>
  <dimension ref="A1:S46"/>
  <sheetViews>
    <sheetView workbookViewId="0">
      <selection activeCell="B8" sqref="B8"/>
    </sheetView>
  </sheetViews>
  <sheetFormatPr defaultRowHeight="15" x14ac:dyDescent="0.25"/>
  <cols>
    <col min="1" max="1" width="19.5703125" customWidth="1"/>
    <col min="11" max="11" width="12.5703125" customWidth="1"/>
  </cols>
  <sheetData>
    <row r="1" spans="1:19" ht="17.25" x14ac:dyDescent="0.25">
      <c r="A1" s="2" t="s">
        <v>12</v>
      </c>
      <c r="B1" s="36">
        <v>2006</v>
      </c>
      <c r="C1" s="36">
        <v>2007</v>
      </c>
      <c r="D1" s="36">
        <v>2008</v>
      </c>
      <c r="E1" s="36">
        <v>2009</v>
      </c>
      <c r="F1" s="36">
        <v>2010</v>
      </c>
      <c r="G1" s="36">
        <v>2011</v>
      </c>
      <c r="H1" s="36">
        <v>2012</v>
      </c>
      <c r="I1" s="36">
        <v>2013</v>
      </c>
      <c r="K1" s="5"/>
      <c r="L1" s="36">
        <v>2006</v>
      </c>
      <c r="M1" s="36">
        <v>2007</v>
      </c>
      <c r="N1" s="36">
        <v>2008</v>
      </c>
      <c r="O1" s="36">
        <v>2009</v>
      </c>
      <c r="P1" s="36">
        <v>2010</v>
      </c>
      <c r="Q1" s="36">
        <v>2011</v>
      </c>
      <c r="R1" s="36">
        <v>2012</v>
      </c>
      <c r="S1" s="36">
        <v>2013</v>
      </c>
    </row>
    <row r="2" spans="1:19" ht="15.75" x14ac:dyDescent="0.25">
      <c r="A2" s="3" t="s">
        <v>24</v>
      </c>
      <c r="K2" s="4" t="s">
        <v>33</v>
      </c>
      <c r="L2">
        <v>9205</v>
      </c>
      <c r="M2">
        <v>10958</v>
      </c>
      <c r="N2">
        <v>19232</v>
      </c>
      <c r="O2">
        <v>14651</v>
      </c>
      <c r="P2">
        <v>14002</v>
      </c>
      <c r="Q2">
        <v>11281</v>
      </c>
      <c r="R2">
        <v>18366</v>
      </c>
      <c r="S2">
        <v>20463</v>
      </c>
    </row>
    <row r="3" spans="1:19" x14ac:dyDescent="0.25">
      <c r="A3" s="4" t="s">
        <v>10</v>
      </c>
      <c r="B3" s="9">
        <f>LN(L2)</f>
        <v>9.1275020936671787</v>
      </c>
      <c r="C3" s="9">
        <f t="shared" ref="C3:I3" si="0">LN(M2)</f>
        <v>9.3018250620983611</v>
      </c>
      <c r="D3" s="9">
        <f t="shared" si="0"/>
        <v>9.8643308373349345</v>
      </c>
      <c r="E3" s="9">
        <f t="shared" si="0"/>
        <v>9.5922638715013129</v>
      </c>
      <c r="F3" s="9">
        <f t="shared" si="0"/>
        <v>9.5469554555371428</v>
      </c>
      <c r="G3" s="9">
        <f t="shared" si="0"/>
        <v>9.3308751736049196</v>
      </c>
      <c r="H3" s="9">
        <f t="shared" si="0"/>
        <v>9.8182564081734682</v>
      </c>
      <c r="I3" s="9">
        <f t="shared" si="0"/>
        <v>9.9263736563228289</v>
      </c>
      <c r="K3" s="4" t="s">
        <v>27</v>
      </c>
      <c r="L3">
        <v>8302</v>
      </c>
      <c r="M3">
        <v>8565</v>
      </c>
      <c r="N3">
        <v>11020</v>
      </c>
      <c r="O3">
        <v>10151</v>
      </c>
      <c r="P3">
        <v>10301</v>
      </c>
      <c r="Q3">
        <v>10058</v>
      </c>
      <c r="R3">
        <v>10981</v>
      </c>
      <c r="S3">
        <v>11236</v>
      </c>
    </row>
    <row r="4" spans="1:19" x14ac:dyDescent="0.25">
      <c r="A4" s="4" t="s">
        <v>13</v>
      </c>
      <c r="B4">
        <v>10136</v>
      </c>
      <c r="C4">
        <v>11351</v>
      </c>
      <c r="D4">
        <v>13166</v>
      </c>
      <c r="E4">
        <v>12427</v>
      </c>
      <c r="F4">
        <v>13101</v>
      </c>
      <c r="G4">
        <v>13473</v>
      </c>
      <c r="H4">
        <v>13336</v>
      </c>
      <c r="I4">
        <v>14129</v>
      </c>
      <c r="K4" s="4" t="s">
        <v>28</v>
      </c>
      <c r="L4">
        <v>5105</v>
      </c>
      <c r="M4">
        <v>5875</v>
      </c>
      <c r="N4">
        <v>8980</v>
      </c>
      <c r="O4">
        <v>5381</v>
      </c>
      <c r="P4">
        <v>5986</v>
      </c>
      <c r="Q4">
        <v>4128</v>
      </c>
      <c r="R4">
        <v>4946</v>
      </c>
      <c r="S4">
        <v>5136</v>
      </c>
    </row>
    <row r="5" spans="1:19" x14ac:dyDescent="0.25">
      <c r="A5" s="4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4" t="s">
        <v>53</v>
      </c>
      <c r="L5">
        <v>646</v>
      </c>
      <c r="M5">
        <v>521</v>
      </c>
      <c r="N5">
        <v>975</v>
      </c>
      <c r="O5">
        <v>737</v>
      </c>
      <c r="P5">
        <v>500</v>
      </c>
      <c r="Q5">
        <v>470</v>
      </c>
      <c r="R5">
        <v>371</v>
      </c>
      <c r="S5">
        <v>429</v>
      </c>
    </row>
    <row r="6" spans="1:19" x14ac:dyDescent="0.25">
      <c r="A6" s="4" t="s">
        <v>11</v>
      </c>
      <c r="B6" s="9">
        <f>L3/B4</f>
        <v>0.81906077348066297</v>
      </c>
      <c r="C6" s="9">
        <f t="shared" ref="C6:I6" si="1">M3/C4</f>
        <v>0.75455906968549025</v>
      </c>
      <c r="D6" s="9">
        <f t="shared" si="1"/>
        <v>0.83700440528634357</v>
      </c>
      <c r="E6" s="9">
        <f t="shared" si="1"/>
        <v>0.8168504063732196</v>
      </c>
      <c r="F6" s="9">
        <f t="shared" si="1"/>
        <v>0.78627585680482404</v>
      </c>
      <c r="G6" s="9">
        <f t="shared" si="1"/>
        <v>0.74653009723149999</v>
      </c>
      <c r="H6" s="9">
        <f t="shared" si="1"/>
        <v>0.82341031793641273</v>
      </c>
      <c r="I6" s="9">
        <f t="shared" si="1"/>
        <v>0.79524382475759081</v>
      </c>
      <c r="K6" s="21" t="s">
        <v>62</v>
      </c>
      <c r="L6">
        <v>1700</v>
      </c>
      <c r="M6">
        <v>2340</v>
      </c>
      <c r="N6">
        <v>4800</v>
      </c>
      <c r="O6">
        <v>3999</v>
      </c>
      <c r="P6">
        <v>3765</v>
      </c>
      <c r="Q6">
        <v>2202</v>
      </c>
      <c r="R6">
        <v>4900</v>
      </c>
      <c r="S6">
        <v>4678</v>
      </c>
    </row>
    <row r="7" spans="1:19" ht="15.75" x14ac:dyDescent="0.25">
      <c r="A7" s="3" t="s">
        <v>21</v>
      </c>
      <c r="K7" s="4" t="s">
        <v>30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25">
      <c r="A8" s="4" t="s">
        <v>8</v>
      </c>
      <c r="B8" s="9">
        <f>(L2+L14-L4)/L2</f>
        <v>3.7227593699076591</v>
      </c>
      <c r="C8" s="9">
        <f t="shared" ref="C8:H8" si="2">(M2+M14-M4)/M2</f>
        <v>3.2188355539331996</v>
      </c>
      <c r="D8" s="9">
        <f t="shared" si="2"/>
        <v>1.1103369384359401</v>
      </c>
      <c r="E8" s="9">
        <f t="shared" si="2"/>
        <v>2.2335676745614634</v>
      </c>
      <c r="F8" s="9">
        <f t="shared" si="2"/>
        <v>2.6808313098128838</v>
      </c>
      <c r="G8" s="9">
        <f t="shared" si="2"/>
        <v>2.5441007002925273</v>
      </c>
      <c r="H8" s="9">
        <f t="shared" si="2"/>
        <v>1.5653381247958185</v>
      </c>
      <c r="I8" s="9">
        <f>(S2+S14-S4)/S2</f>
        <v>1.8337975858867224</v>
      </c>
      <c r="K8" s="4" t="s">
        <v>34</v>
      </c>
      <c r="L8">
        <v>265</v>
      </c>
      <c r="M8">
        <v>515</v>
      </c>
      <c r="N8">
        <v>4705</v>
      </c>
      <c r="O8">
        <v>3563</v>
      </c>
      <c r="P8">
        <v>2768</v>
      </c>
      <c r="Q8">
        <v>1575</v>
      </c>
      <c r="R8">
        <v>1024</v>
      </c>
      <c r="S8">
        <v>1874</v>
      </c>
    </row>
    <row r="9" spans="1:19" x14ac:dyDescent="0.25">
      <c r="A9" s="4" t="s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K9" s="4" t="s">
        <v>31</v>
      </c>
      <c r="L9">
        <v>343</v>
      </c>
      <c r="M9">
        <v>327</v>
      </c>
      <c r="N9">
        <v>165</v>
      </c>
      <c r="O9">
        <v>159</v>
      </c>
      <c r="P9">
        <v>157</v>
      </c>
      <c r="Q9">
        <v>120</v>
      </c>
      <c r="R9">
        <v>144</v>
      </c>
      <c r="S9">
        <v>319</v>
      </c>
    </row>
    <row r="10" spans="1:19" x14ac:dyDescent="0.25">
      <c r="A10" s="4" t="s">
        <v>5</v>
      </c>
      <c r="B10">
        <v>1700</v>
      </c>
      <c r="C10">
        <v>2340</v>
      </c>
      <c r="D10">
        <v>4800</v>
      </c>
      <c r="E10">
        <v>3999</v>
      </c>
      <c r="F10">
        <v>3765</v>
      </c>
      <c r="G10">
        <v>2202</v>
      </c>
      <c r="H10">
        <v>4900</v>
      </c>
      <c r="I10">
        <v>4678</v>
      </c>
      <c r="K10" s="4" t="s">
        <v>32</v>
      </c>
      <c r="L10">
        <v>1499</v>
      </c>
      <c r="M10">
        <v>1428</v>
      </c>
      <c r="N10">
        <v>2927</v>
      </c>
      <c r="O10">
        <v>1858</v>
      </c>
      <c r="P10">
        <v>2424</v>
      </c>
      <c r="Q10">
        <v>2567</v>
      </c>
      <c r="R10">
        <v>2124</v>
      </c>
      <c r="S10">
        <v>1885</v>
      </c>
    </row>
    <row r="11" spans="1:19" x14ac:dyDescent="0.25">
      <c r="A11" s="4" t="s">
        <v>7</v>
      </c>
      <c r="B11" s="9">
        <f>B10/B4</f>
        <v>0.16771902131018154</v>
      </c>
      <c r="C11" s="9">
        <f t="shared" ref="C11:I11" si="3">C10/C4</f>
        <v>0.20614923795260329</v>
      </c>
      <c r="D11" s="9">
        <f t="shared" si="3"/>
        <v>0.36457542154033118</v>
      </c>
      <c r="E11" s="9">
        <f t="shared" si="3"/>
        <v>0.3217993079584775</v>
      </c>
      <c r="F11" s="9">
        <f t="shared" si="3"/>
        <v>0.28738264254637053</v>
      </c>
      <c r="G11" s="9">
        <f t="shared" si="3"/>
        <v>0.16343798708528168</v>
      </c>
      <c r="H11" s="9">
        <f t="shared" si="3"/>
        <v>0.36742651469706061</v>
      </c>
      <c r="I11" s="9">
        <f t="shared" si="3"/>
        <v>0.3310920801189044</v>
      </c>
      <c r="K11" s="4" t="s">
        <v>54</v>
      </c>
      <c r="L11">
        <v>3796</v>
      </c>
      <c r="M11">
        <v>4654</v>
      </c>
      <c r="N11">
        <v>4989</v>
      </c>
      <c r="O11">
        <v>4796</v>
      </c>
      <c r="P11">
        <v>4452</v>
      </c>
      <c r="Q11">
        <v>4763</v>
      </c>
      <c r="R11">
        <v>4808</v>
      </c>
      <c r="S11">
        <v>6080</v>
      </c>
    </row>
    <row r="12" spans="1:19" ht="15.75" x14ac:dyDescent="0.25">
      <c r="A12" s="3" t="s">
        <v>0</v>
      </c>
      <c r="K12" s="4" t="s">
        <v>51</v>
      </c>
      <c r="L12">
        <v>67</v>
      </c>
      <c r="M12">
        <v>67</v>
      </c>
      <c r="N12">
        <v>66</v>
      </c>
      <c r="O12">
        <v>66</v>
      </c>
      <c r="P12">
        <v>66</v>
      </c>
      <c r="Q12">
        <v>66</v>
      </c>
      <c r="R12">
        <v>67</v>
      </c>
      <c r="S12">
        <v>67</v>
      </c>
    </row>
    <row r="13" spans="1:19" x14ac:dyDescent="0.25">
      <c r="A13" s="4" t="s">
        <v>16</v>
      </c>
      <c r="B13">
        <f>L7/B4</f>
        <v>0</v>
      </c>
      <c r="C13">
        <f t="shared" ref="C13:I13" si="4">M7/C4</f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K13" s="4" t="s">
        <v>52</v>
      </c>
      <c r="L13" s="16">
        <f t="shared" ref="L13:R13" si="5">L14/L12</f>
        <v>450.26865671641792</v>
      </c>
      <c r="M13" s="16">
        <f t="shared" si="5"/>
        <v>450.58208955223881</v>
      </c>
      <c r="N13" s="16">
        <f t="shared" si="5"/>
        <v>168.21212121212122</v>
      </c>
      <c r="O13" s="16">
        <f t="shared" si="5"/>
        <v>355.36363636363637</v>
      </c>
      <c r="P13" s="16">
        <f t="shared" si="5"/>
        <v>447.28787878787881</v>
      </c>
      <c r="Q13" s="16">
        <f t="shared" si="5"/>
        <v>326.469696969697</v>
      </c>
      <c r="R13" s="16">
        <f t="shared" si="5"/>
        <v>228.79104477611941</v>
      </c>
      <c r="S13" s="16">
        <f>S14/S12</f>
        <v>331.31343283582089</v>
      </c>
    </row>
    <row r="14" spans="1:19" x14ac:dyDescent="0.25">
      <c r="A14" s="4" t="s">
        <v>14</v>
      </c>
      <c r="B14" s="9">
        <f>L8/L4</f>
        <v>5.190989226248776E-2</v>
      </c>
      <c r="C14" s="9">
        <f t="shared" ref="C14:I14" si="6">M8/M4</f>
        <v>8.7659574468085102E-2</v>
      </c>
      <c r="D14" s="9">
        <f t="shared" si="6"/>
        <v>0.52394209354120269</v>
      </c>
      <c r="E14" s="9">
        <f t="shared" si="6"/>
        <v>0.66214458279130273</v>
      </c>
      <c r="F14" s="9">
        <f t="shared" si="6"/>
        <v>0.46241229535583028</v>
      </c>
      <c r="G14" s="9">
        <f t="shared" si="6"/>
        <v>0.38154069767441862</v>
      </c>
      <c r="H14" s="9">
        <f t="shared" si="6"/>
        <v>0.20703598867771936</v>
      </c>
      <c r="I14" s="9">
        <f t="shared" si="6"/>
        <v>0.36487538940809972</v>
      </c>
      <c r="K14" s="4" t="s">
        <v>29</v>
      </c>
      <c r="L14">
        <v>30168</v>
      </c>
      <c r="M14">
        <v>30189</v>
      </c>
      <c r="N14">
        <v>11102</v>
      </c>
      <c r="O14">
        <v>23454</v>
      </c>
      <c r="P14">
        <v>29521</v>
      </c>
      <c r="Q14">
        <v>21547</v>
      </c>
      <c r="R14">
        <v>15329</v>
      </c>
      <c r="S14">
        <v>22198</v>
      </c>
    </row>
    <row r="15" spans="1:19" x14ac:dyDescent="0.25">
      <c r="A15" s="4" t="s">
        <v>40</v>
      </c>
      <c r="B15" s="8">
        <f>L5/L11</f>
        <v>0.17017913593256059</v>
      </c>
      <c r="C15" s="8">
        <f t="shared" ref="C15:I15" si="7">M5/M11</f>
        <v>0.11194671250537172</v>
      </c>
      <c r="D15" s="8">
        <f t="shared" si="7"/>
        <v>0.19542994588093807</v>
      </c>
      <c r="E15" s="8">
        <f t="shared" si="7"/>
        <v>0.1536697247706422</v>
      </c>
      <c r="F15" s="8">
        <f t="shared" si="7"/>
        <v>0.11230907457322552</v>
      </c>
      <c r="G15" s="8">
        <f t="shared" si="7"/>
        <v>9.8677304220029391E-2</v>
      </c>
      <c r="H15" s="8">
        <f t="shared" si="7"/>
        <v>7.7163061564059901E-2</v>
      </c>
      <c r="I15" s="8">
        <f t="shared" si="7"/>
        <v>7.0559210526315794E-2</v>
      </c>
    </row>
    <row r="16" spans="1:19" x14ac:dyDescent="0.25">
      <c r="A16" s="4" t="s">
        <v>15</v>
      </c>
      <c r="B16" s="8">
        <f>L9/B4</f>
        <v>3.3839779005524859E-2</v>
      </c>
      <c r="C16" s="8">
        <f t="shared" ref="C16:I16" si="8">M9/C4</f>
        <v>2.8808034534402255E-2</v>
      </c>
      <c r="D16" s="8">
        <f t="shared" si="8"/>
        <v>1.2532280115448883E-2</v>
      </c>
      <c r="E16" s="8">
        <f t="shared" si="8"/>
        <v>1.2794721171642391E-2</v>
      </c>
      <c r="F16" s="8">
        <f t="shared" si="8"/>
        <v>1.1983818029158079E-2</v>
      </c>
      <c r="G16" s="8">
        <f t="shared" si="8"/>
        <v>8.9067022934758398E-3</v>
      </c>
      <c r="H16" s="8">
        <f t="shared" si="8"/>
        <v>1.0797840431913617E-2</v>
      </c>
      <c r="I16" s="8">
        <f t="shared" si="8"/>
        <v>2.2577677117984286E-2</v>
      </c>
      <c r="K16" s="4"/>
    </row>
    <row r="17" spans="1:11" x14ac:dyDescent="0.25">
      <c r="A17" s="4" t="s">
        <v>9</v>
      </c>
      <c r="B17" s="8">
        <f>L10/L2</f>
        <v>0.16284627919608907</v>
      </c>
      <c r="C17" s="8">
        <f t="shared" ref="C17:I17" si="9">M10/M2</f>
        <v>0.13031575104946158</v>
      </c>
      <c r="D17" s="8">
        <f t="shared" si="9"/>
        <v>0.15219425956738769</v>
      </c>
      <c r="E17" s="8">
        <f t="shared" si="9"/>
        <v>0.12681728209678519</v>
      </c>
      <c r="F17" s="8">
        <f t="shared" si="9"/>
        <v>0.17311812598200257</v>
      </c>
      <c r="G17" s="8">
        <f t="shared" si="9"/>
        <v>0.22755074904707029</v>
      </c>
      <c r="H17" s="8">
        <f t="shared" si="9"/>
        <v>0.1156484808885985</v>
      </c>
      <c r="I17" s="8">
        <f t="shared" si="9"/>
        <v>9.2117480330352344E-2</v>
      </c>
    </row>
    <row r="18" spans="1:11" x14ac:dyDescent="0.25">
      <c r="A18" s="4" t="s">
        <v>44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11" x14ac:dyDescent="0.25">
      <c r="A19" s="4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11" x14ac:dyDescent="0.25">
      <c r="A20" t="s">
        <v>57</v>
      </c>
      <c r="B20">
        <v>-454</v>
      </c>
      <c r="C20">
        <v>-625</v>
      </c>
      <c r="D20">
        <v>-708</v>
      </c>
      <c r="E20">
        <v>-325</v>
      </c>
      <c r="F20">
        <v>-1696</v>
      </c>
      <c r="G20">
        <v>-1415</v>
      </c>
      <c r="H20">
        <v>-2112</v>
      </c>
      <c r="I20">
        <v>-2506</v>
      </c>
    </row>
    <row r="21" spans="1:11" x14ac:dyDescent="0.25">
      <c r="A21" s="17" t="s">
        <v>58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11" x14ac:dyDescent="0.25">
      <c r="A22" s="17"/>
    </row>
    <row r="23" spans="1:11" x14ac:dyDescent="0.25">
      <c r="A23" s="17"/>
    </row>
    <row r="24" spans="1:11" x14ac:dyDescent="0.25">
      <c r="A24" s="17"/>
    </row>
    <row r="25" spans="1:11" x14ac:dyDescent="0.25">
      <c r="A25" s="18"/>
    </row>
    <row r="26" spans="1:11" x14ac:dyDescent="0.25">
      <c r="A26" s="17"/>
    </row>
    <row r="27" spans="1:11" x14ac:dyDescent="0.25">
      <c r="A27" s="17"/>
    </row>
    <row r="28" spans="1:11" x14ac:dyDescent="0.25">
      <c r="A28" s="17"/>
    </row>
    <row r="29" spans="1:11" x14ac:dyDescent="0.25">
      <c r="A29" s="17"/>
    </row>
    <row r="30" spans="1:11" x14ac:dyDescent="0.25">
      <c r="A30" s="17"/>
      <c r="K30" s="4"/>
    </row>
    <row r="31" spans="1:11" x14ac:dyDescent="0.25">
      <c r="A31" s="17"/>
    </row>
    <row r="32" spans="1:11" x14ac:dyDescent="0.25">
      <c r="A32" s="17"/>
    </row>
    <row r="33" spans="1:19" x14ac:dyDescent="0.25">
      <c r="A33" s="17"/>
    </row>
    <row r="34" spans="1:19" x14ac:dyDescent="0.25">
      <c r="A34" s="14"/>
    </row>
    <row r="39" spans="1:19" ht="15.75" thickBot="1" x14ac:dyDescent="0.3">
      <c r="N39" s="30"/>
      <c r="O39" s="30"/>
      <c r="P39" s="30"/>
      <c r="Q39" s="30"/>
      <c r="R39" s="30"/>
    </row>
    <row r="44" spans="1:19" x14ac:dyDescent="0.25">
      <c r="K44" s="4"/>
    </row>
    <row r="45" spans="1:19" x14ac:dyDescent="0.25">
      <c r="K45" s="4"/>
    </row>
    <row r="46" spans="1:19" x14ac:dyDescent="0.25">
      <c r="K46" s="4"/>
      <c r="L46" s="16"/>
      <c r="M46" s="16"/>
      <c r="N46" s="16"/>
      <c r="O46" s="16"/>
      <c r="P46" s="16"/>
      <c r="Q46" s="16"/>
      <c r="R46" s="16"/>
      <c r="S46" s="16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3"/>
  <dimension ref="A1:S34"/>
  <sheetViews>
    <sheetView workbookViewId="0">
      <selection activeCell="B11" sqref="B11:I11"/>
    </sheetView>
  </sheetViews>
  <sheetFormatPr defaultRowHeight="15" x14ac:dyDescent="0.25"/>
  <cols>
    <col min="1" max="1" width="19.5703125" customWidth="1"/>
    <col min="11" max="11" width="12.5703125" customWidth="1"/>
  </cols>
  <sheetData>
    <row r="1" spans="1:19" ht="17.25" x14ac:dyDescent="0.25">
      <c r="A1" s="2" t="s">
        <v>12</v>
      </c>
      <c r="B1" s="36">
        <v>2006</v>
      </c>
      <c r="C1" s="36">
        <v>2007</v>
      </c>
      <c r="D1" s="36">
        <v>2008</v>
      </c>
      <c r="E1" s="36">
        <v>2009</v>
      </c>
      <c r="F1" s="36">
        <v>2010</v>
      </c>
      <c r="G1" s="36">
        <v>2011</v>
      </c>
      <c r="H1" s="36">
        <v>2012</v>
      </c>
      <c r="I1" s="36">
        <v>2013</v>
      </c>
      <c r="K1" s="5"/>
      <c r="L1" s="36">
        <v>2006</v>
      </c>
      <c r="M1" s="36">
        <v>2007</v>
      </c>
      <c r="N1" s="36">
        <v>2008</v>
      </c>
      <c r="O1" s="36">
        <v>2009</v>
      </c>
      <c r="P1" s="36">
        <v>2010</v>
      </c>
      <c r="Q1" s="36">
        <v>2011</v>
      </c>
      <c r="R1" s="36">
        <v>2012</v>
      </c>
      <c r="S1" s="36">
        <v>2013</v>
      </c>
    </row>
    <row r="2" spans="1:19" ht="15.75" x14ac:dyDescent="0.25">
      <c r="A2" s="3" t="s">
        <v>24</v>
      </c>
      <c r="K2" s="4" t="s">
        <v>33</v>
      </c>
      <c r="L2">
        <v>65901</v>
      </c>
      <c r="M2">
        <v>85435</v>
      </c>
      <c r="N2">
        <v>41899</v>
      </c>
      <c r="O2">
        <v>47716</v>
      </c>
      <c r="P2">
        <v>89999</v>
      </c>
      <c r="Q2">
        <v>98530</v>
      </c>
      <c r="R2">
        <v>104055</v>
      </c>
      <c r="S2">
        <v>93882</v>
      </c>
    </row>
    <row r="3" spans="1:19" x14ac:dyDescent="0.25">
      <c r="A3" s="4" t="s">
        <v>10</v>
      </c>
      <c r="B3" s="9">
        <f>LN(L2)</f>
        <v>11.095908894882296</v>
      </c>
      <c r="C3" s="9">
        <f t="shared" ref="C3:I3" si="0">LN(M2)</f>
        <v>11.355511131882373</v>
      </c>
      <c r="D3" s="9">
        <f t="shared" si="0"/>
        <v>10.643017239276974</v>
      </c>
      <c r="E3" s="9">
        <f t="shared" si="0"/>
        <v>10.773022050401837</v>
      </c>
      <c r="F3" s="9">
        <f t="shared" si="0"/>
        <v>11.407553838139561</v>
      </c>
      <c r="G3" s="9">
        <f t="shared" si="0"/>
        <v>11.49811634931652</v>
      </c>
      <c r="H3" s="9">
        <f t="shared" si="0"/>
        <v>11.552674884487512</v>
      </c>
      <c r="I3" s="9">
        <f t="shared" si="0"/>
        <v>11.449793953530111</v>
      </c>
      <c r="K3" s="4" t="s">
        <v>27</v>
      </c>
      <c r="L3">
        <v>69969</v>
      </c>
      <c r="M3">
        <v>84121</v>
      </c>
      <c r="N3">
        <v>87901</v>
      </c>
      <c r="O3">
        <v>68581</v>
      </c>
      <c r="P3">
        <v>78835</v>
      </c>
      <c r="Q3">
        <v>89851</v>
      </c>
      <c r="R3">
        <v>94709</v>
      </c>
      <c r="S3">
        <v>83912</v>
      </c>
    </row>
    <row r="4" spans="1:19" x14ac:dyDescent="0.25">
      <c r="A4" s="4" t="s">
        <v>13</v>
      </c>
      <c r="B4">
        <v>72289</v>
      </c>
      <c r="C4">
        <v>86338</v>
      </c>
      <c r="D4">
        <v>92654</v>
      </c>
      <c r="E4">
        <v>71937</v>
      </c>
      <c r="F4">
        <v>82654</v>
      </c>
      <c r="G4">
        <v>94084</v>
      </c>
      <c r="H4">
        <v>98529</v>
      </c>
      <c r="I4">
        <v>87328</v>
      </c>
      <c r="K4" s="4" t="s">
        <v>28</v>
      </c>
      <c r="L4">
        <v>27198</v>
      </c>
      <c r="M4">
        <v>29823</v>
      </c>
      <c r="N4">
        <v>36725</v>
      </c>
      <c r="O4">
        <v>29957</v>
      </c>
      <c r="P4">
        <v>33813</v>
      </c>
      <c r="Q4">
        <v>31264</v>
      </c>
      <c r="R4">
        <v>32536</v>
      </c>
      <c r="S4">
        <v>33610</v>
      </c>
    </row>
    <row r="5" spans="1:19" x14ac:dyDescent="0.25">
      <c r="A5" s="4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4" t="s">
        <v>53</v>
      </c>
      <c r="L5">
        <v>1745</v>
      </c>
      <c r="M5">
        <v>2006</v>
      </c>
      <c r="N5">
        <v>4998</v>
      </c>
      <c r="O5">
        <v>7506</v>
      </c>
      <c r="P5">
        <v>4783</v>
      </c>
      <c r="Q5">
        <v>5592</v>
      </c>
      <c r="R5">
        <v>13829</v>
      </c>
      <c r="S5">
        <v>5076</v>
      </c>
    </row>
    <row r="6" spans="1:19" x14ac:dyDescent="0.25">
      <c r="A6" s="4" t="s">
        <v>11</v>
      </c>
      <c r="B6" s="8">
        <f>L3/B4</f>
        <v>0.9679065971309605</v>
      </c>
      <c r="C6" s="8">
        <f t="shared" ref="C6:I6" si="1">M3/C4</f>
        <v>0.97432185132849958</v>
      </c>
      <c r="D6" s="8">
        <f t="shared" si="1"/>
        <v>0.94870162108489653</v>
      </c>
      <c r="E6" s="8">
        <f t="shared" si="1"/>
        <v>0.95334806844878162</v>
      </c>
      <c r="F6" s="8">
        <f t="shared" si="1"/>
        <v>0.95379533960848839</v>
      </c>
      <c r="G6" s="8">
        <f t="shared" si="1"/>
        <v>0.95500829046384084</v>
      </c>
      <c r="H6" s="8">
        <f t="shared" si="1"/>
        <v>0.96122968872108716</v>
      </c>
      <c r="I6" s="8">
        <f t="shared" si="1"/>
        <v>0.96088310736533533</v>
      </c>
      <c r="K6" s="21" t="s">
        <v>62</v>
      </c>
      <c r="L6">
        <v>9958</v>
      </c>
      <c r="M6">
        <v>11000</v>
      </c>
      <c r="N6">
        <v>5150</v>
      </c>
      <c r="O6">
        <v>5900</v>
      </c>
      <c r="P6">
        <v>6300</v>
      </c>
      <c r="Q6">
        <v>8456</v>
      </c>
      <c r="R6">
        <v>9500</v>
      </c>
      <c r="S6">
        <v>7310</v>
      </c>
    </row>
    <row r="7" spans="1:19" ht="15.75" x14ac:dyDescent="0.25">
      <c r="A7" s="3" t="s">
        <v>21</v>
      </c>
      <c r="K7" s="4" t="s">
        <v>30</v>
      </c>
      <c r="L7">
        <v>1583</v>
      </c>
      <c r="M7">
        <v>1818</v>
      </c>
      <c r="N7">
        <v>2014</v>
      </c>
      <c r="O7">
        <v>2007</v>
      </c>
      <c r="P7">
        <v>2106</v>
      </c>
      <c r="Q7">
        <v>2421</v>
      </c>
      <c r="R7">
        <v>1281</v>
      </c>
      <c r="S7">
        <v>1343</v>
      </c>
    </row>
    <row r="8" spans="1:19" x14ac:dyDescent="0.25">
      <c r="A8" s="4" t="s">
        <v>8</v>
      </c>
      <c r="B8" s="9">
        <f>(L2+L14-L4)/L2</f>
        <v>2.3874144550158571</v>
      </c>
      <c r="C8" s="9">
        <f t="shared" ref="C8:I8" si="2">(M2+M14-M4)/M2</f>
        <v>2.1922081114297418</v>
      </c>
      <c r="D8" s="9">
        <f t="shared" si="2"/>
        <v>1.5108403541850639</v>
      </c>
      <c r="E8" s="9">
        <f t="shared" si="2"/>
        <v>2.5102858579931255</v>
      </c>
      <c r="F8" s="9">
        <f t="shared" si="2"/>
        <v>2.3510405671174124</v>
      </c>
      <c r="G8" s="9">
        <f t="shared" si="2"/>
        <v>1.6940546026590888</v>
      </c>
      <c r="H8" s="9">
        <f t="shared" si="2"/>
        <v>1.9265739272500122</v>
      </c>
      <c r="I8" s="9">
        <f t="shared" si="2"/>
        <v>1.8538812551926889</v>
      </c>
      <c r="K8" s="4" t="s">
        <v>34</v>
      </c>
      <c r="L8">
        <v>18555</v>
      </c>
      <c r="M8">
        <v>31946</v>
      </c>
      <c r="N8">
        <v>22239</v>
      </c>
      <c r="O8">
        <v>28765</v>
      </c>
      <c r="P8">
        <v>29467</v>
      </c>
      <c r="Q8">
        <v>35530</v>
      </c>
      <c r="R8">
        <v>40998</v>
      </c>
      <c r="S8">
        <v>35424</v>
      </c>
    </row>
    <row r="9" spans="1:19" x14ac:dyDescent="0.25">
      <c r="A9" s="4" t="s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K9" s="4" t="s">
        <v>31</v>
      </c>
      <c r="L9">
        <v>4175</v>
      </c>
      <c r="M9">
        <v>4811</v>
      </c>
      <c r="N9">
        <v>6634</v>
      </c>
      <c r="O9">
        <v>4006</v>
      </c>
      <c r="P9">
        <v>3378</v>
      </c>
      <c r="Q9">
        <v>4994</v>
      </c>
      <c r="R9">
        <v>4820</v>
      </c>
      <c r="S9">
        <v>4185</v>
      </c>
    </row>
    <row r="10" spans="1:19" x14ac:dyDescent="0.25">
      <c r="A10" s="4" t="s">
        <v>5</v>
      </c>
      <c r="B10">
        <v>9958</v>
      </c>
      <c r="C10">
        <v>11000</v>
      </c>
      <c r="D10">
        <v>5150</v>
      </c>
      <c r="E10">
        <v>5900</v>
      </c>
      <c r="F10">
        <v>6300</v>
      </c>
      <c r="G10">
        <v>8456</v>
      </c>
      <c r="H10">
        <v>9500</v>
      </c>
      <c r="I10">
        <v>7310</v>
      </c>
      <c r="K10" s="4" t="s">
        <v>32</v>
      </c>
      <c r="L10">
        <v>8107</v>
      </c>
      <c r="M10">
        <v>9594</v>
      </c>
      <c r="N10">
        <v>7836</v>
      </c>
      <c r="O10">
        <v>-2596</v>
      </c>
      <c r="P10">
        <v>6943</v>
      </c>
      <c r="Q10">
        <v>5861</v>
      </c>
      <c r="R10">
        <v>8107</v>
      </c>
      <c r="S10">
        <v>5008</v>
      </c>
    </row>
    <row r="11" spans="1:19" x14ac:dyDescent="0.25">
      <c r="A11" s="4" t="s">
        <v>7</v>
      </c>
      <c r="B11" s="9">
        <f>B10/B4</f>
        <v>0.13775263179736891</v>
      </c>
      <c r="C11" s="9">
        <f t="shared" ref="C11:I11" si="3">C10/C4</f>
        <v>0.12740624058931177</v>
      </c>
      <c r="D11" s="9">
        <f t="shared" si="3"/>
        <v>5.5583137263366937E-2</v>
      </c>
      <c r="E11" s="9">
        <f t="shared" si="3"/>
        <v>8.2016208626993062E-2</v>
      </c>
      <c r="F11" s="9">
        <f t="shared" si="3"/>
        <v>7.6221356498173104E-2</v>
      </c>
      <c r="G11" s="9">
        <f t="shared" si="3"/>
        <v>8.9877131074359087E-2</v>
      </c>
      <c r="H11" s="9">
        <f t="shared" si="3"/>
        <v>9.6418313389966412E-2</v>
      </c>
      <c r="I11" s="9">
        <f t="shared" si="3"/>
        <v>8.3707401978746793E-2</v>
      </c>
      <c r="K11" s="4" t="s">
        <v>54</v>
      </c>
      <c r="L11">
        <v>24146</v>
      </c>
      <c r="M11">
        <v>28759</v>
      </c>
      <c r="N11">
        <v>14953</v>
      </c>
      <c r="O11">
        <v>13789</v>
      </c>
      <c r="P11">
        <v>24633</v>
      </c>
      <c r="Q11">
        <v>25180</v>
      </c>
      <c r="R11">
        <v>24101</v>
      </c>
      <c r="S11">
        <v>21585</v>
      </c>
    </row>
    <row r="12" spans="1:19" ht="15.75" x14ac:dyDescent="0.25">
      <c r="A12" s="3" t="s">
        <v>0</v>
      </c>
      <c r="K12" s="4" t="s">
        <v>51</v>
      </c>
      <c r="L12">
        <v>1186.3</v>
      </c>
      <c r="M12">
        <v>1186.3</v>
      </c>
      <c r="N12">
        <v>1186.3</v>
      </c>
      <c r="O12">
        <v>1186.3</v>
      </c>
      <c r="P12">
        <v>1186.3</v>
      </c>
      <c r="Q12">
        <v>1186.3</v>
      </c>
      <c r="R12">
        <v>1245.9000000000001</v>
      </c>
      <c r="S12">
        <v>1254.4000000000001</v>
      </c>
    </row>
    <row r="13" spans="1:19" x14ac:dyDescent="0.25">
      <c r="A13" s="4" t="s">
        <v>16</v>
      </c>
      <c r="B13" s="8">
        <f>L7/B4</f>
        <v>2.1898214112797243E-2</v>
      </c>
      <c r="C13" s="8">
        <f t="shared" ref="C13:I13" si="4">M7/C4</f>
        <v>2.1056776853760801E-2</v>
      </c>
      <c r="D13" s="8">
        <f t="shared" si="4"/>
        <v>2.1736784164741944E-2</v>
      </c>
      <c r="E13" s="8">
        <f t="shared" si="4"/>
        <v>2.7899411985487302E-2</v>
      </c>
      <c r="F13" s="8">
        <f t="shared" si="4"/>
        <v>2.5479710600817867E-2</v>
      </c>
      <c r="G13" s="8">
        <f t="shared" si="4"/>
        <v>2.5732324305939372E-2</v>
      </c>
      <c r="H13" s="8">
        <f t="shared" si="4"/>
        <v>1.3001248363425996E-2</v>
      </c>
      <c r="I13" s="8">
        <f t="shared" si="4"/>
        <v>1.5378801758886038E-2</v>
      </c>
      <c r="K13" s="4" t="s">
        <v>52</v>
      </c>
      <c r="L13">
        <v>100</v>
      </c>
      <c r="M13">
        <v>111</v>
      </c>
      <c r="N13">
        <v>49</v>
      </c>
      <c r="O13">
        <v>86</v>
      </c>
      <c r="P13">
        <v>131</v>
      </c>
      <c r="Q13">
        <v>84</v>
      </c>
      <c r="R13">
        <v>103.5</v>
      </c>
      <c r="S13">
        <v>90.7</v>
      </c>
    </row>
    <row r="14" spans="1:19" x14ac:dyDescent="0.25">
      <c r="A14" s="4" t="s">
        <v>14</v>
      </c>
      <c r="B14" s="9">
        <f>L8/L4</f>
        <v>0.68221928082947281</v>
      </c>
      <c r="C14" s="9">
        <f t="shared" ref="C14:I14" si="5">M8/M4</f>
        <v>1.0711866680079134</v>
      </c>
      <c r="D14" s="9">
        <f t="shared" si="5"/>
        <v>0.60555479918311772</v>
      </c>
      <c r="E14" s="9">
        <f t="shared" si="5"/>
        <v>0.96020963380845881</v>
      </c>
      <c r="F14" s="9">
        <f t="shared" si="5"/>
        <v>0.87146955313045282</v>
      </c>
      <c r="G14" s="9">
        <f t="shared" si="5"/>
        <v>1.1364508700102354</v>
      </c>
      <c r="H14" s="9">
        <f t="shared" si="5"/>
        <v>1.2600811408900909</v>
      </c>
      <c r="I14" s="9">
        <f t="shared" si="5"/>
        <v>1.0539720321332937</v>
      </c>
      <c r="K14" s="4" t="s">
        <v>29</v>
      </c>
      <c r="L14" s="16">
        <f>L12*L13</f>
        <v>118630</v>
      </c>
      <c r="M14" s="16">
        <f t="shared" ref="M14:S14" si="6">M12*M13</f>
        <v>131679.29999999999</v>
      </c>
      <c r="N14" s="16">
        <f t="shared" si="6"/>
        <v>58128.7</v>
      </c>
      <c r="O14" s="16">
        <f t="shared" si="6"/>
        <v>102021.8</v>
      </c>
      <c r="P14" s="16">
        <f t="shared" si="6"/>
        <v>155405.29999999999</v>
      </c>
      <c r="Q14" s="16">
        <f t="shared" si="6"/>
        <v>99649.2</v>
      </c>
      <c r="R14" s="16">
        <f t="shared" si="6"/>
        <v>128950.65000000001</v>
      </c>
      <c r="S14" s="16">
        <f t="shared" si="6"/>
        <v>113774.08000000002</v>
      </c>
    </row>
    <row r="15" spans="1:19" x14ac:dyDescent="0.25">
      <c r="A15" s="4" t="s">
        <v>40</v>
      </c>
      <c r="B15" s="8">
        <f>L5/L11</f>
        <v>7.2268698749275245E-2</v>
      </c>
      <c r="C15" s="8">
        <f t="shared" ref="C15:I15" si="7">M5/M11</f>
        <v>6.9752077610487156E-2</v>
      </c>
      <c r="D15" s="8">
        <f t="shared" si="7"/>
        <v>0.33424730823246174</v>
      </c>
      <c r="E15" s="8">
        <f t="shared" si="7"/>
        <v>0.54434694321560662</v>
      </c>
      <c r="F15" s="8">
        <f t="shared" si="7"/>
        <v>0.19417042179190516</v>
      </c>
      <c r="G15" s="8">
        <f t="shared" si="7"/>
        <v>0.22208101667990468</v>
      </c>
      <c r="H15" s="8">
        <f t="shared" si="7"/>
        <v>0.57379361852205302</v>
      </c>
      <c r="I15" s="8">
        <f t="shared" si="7"/>
        <v>0.23516330785267547</v>
      </c>
    </row>
    <row r="16" spans="1:19" x14ac:dyDescent="0.25">
      <c r="A16" s="4" t="s">
        <v>15</v>
      </c>
      <c r="B16" s="8">
        <f>L9/B4</f>
        <v>5.7754291800965571E-2</v>
      </c>
      <c r="C16" s="8">
        <f t="shared" ref="C16:I16" si="8">M9/C4</f>
        <v>5.5722856679561721E-2</v>
      </c>
      <c r="D16" s="8">
        <f t="shared" si="8"/>
        <v>7.1599715068966258E-2</v>
      </c>
      <c r="E16" s="8">
        <f t="shared" si="8"/>
        <v>5.5687615552497322E-2</v>
      </c>
      <c r="F16" s="8">
        <f t="shared" si="8"/>
        <v>4.0869165436639487E-2</v>
      </c>
      <c r="G16" s="8">
        <f t="shared" si="8"/>
        <v>5.3080226180859655E-2</v>
      </c>
      <c r="H16" s="8">
        <f t="shared" si="8"/>
        <v>4.891960742522506E-2</v>
      </c>
      <c r="I16" s="8">
        <f t="shared" si="8"/>
        <v>4.7922773909857087E-2</v>
      </c>
    </row>
    <row r="17" spans="1:9" x14ac:dyDescent="0.25">
      <c r="A17" s="4" t="s">
        <v>9</v>
      </c>
      <c r="B17" s="8">
        <f>L10/L2</f>
        <v>0.1230178601235186</v>
      </c>
      <c r="C17" s="8">
        <f t="shared" ref="C17:I17" si="9">M10/M2</f>
        <v>0.11229589746590976</v>
      </c>
      <c r="D17" s="8">
        <f t="shared" si="9"/>
        <v>0.18702116995632354</v>
      </c>
      <c r="E17" s="8">
        <f t="shared" si="9"/>
        <v>-5.4405230949786235E-2</v>
      </c>
      <c r="F17" s="8">
        <f t="shared" si="9"/>
        <v>7.7145301614462383E-2</v>
      </c>
      <c r="G17" s="8">
        <f t="shared" si="9"/>
        <v>5.9484420988531413E-2</v>
      </c>
      <c r="H17" s="8">
        <f t="shared" si="9"/>
        <v>7.7910720292153193E-2</v>
      </c>
      <c r="I17" s="8">
        <f t="shared" si="9"/>
        <v>5.3343558935685223E-2</v>
      </c>
    </row>
    <row r="18" spans="1:9" x14ac:dyDescent="0.25">
      <c r="A18" s="4" t="s">
        <v>44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s="4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t="s">
        <v>57</v>
      </c>
      <c r="B20">
        <v>-1024</v>
      </c>
      <c r="C20">
        <v>785</v>
      </c>
      <c r="D20">
        <v>-457</v>
      </c>
      <c r="E20">
        <v>399</v>
      </c>
      <c r="F20">
        <v>453</v>
      </c>
      <c r="G20">
        <v>-458</v>
      </c>
      <c r="H20">
        <v>140</v>
      </c>
      <c r="I20">
        <v>-205</v>
      </c>
    </row>
    <row r="21" spans="1:9" x14ac:dyDescent="0.25">
      <c r="A21" s="17" t="s">
        <v>58</v>
      </c>
      <c r="B21">
        <v>0</v>
      </c>
      <c r="C21">
        <v>1</v>
      </c>
      <c r="D21">
        <v>0</v>
      </c>
      <c r="E21">
        <v>1</v>
      </c>
      <c r="F21">
        <v>1</v>
      </c>
      <c r="G21">
        <v>0</v>
      </c>
      <c r="H21">
        <v>1</v>
      </c>
      <c r="I21">
        <v>0</v>
      </c>
    </row>
    <row r="22" spans="1:9" x14ac:dyDescent="0.25">
      <c r="A22" s="17"/>
    </row>
    <row r="23" spans="1:9" x14ac:dyDescent="0.25">
      <c r="A23" s="17"/>
    </row>
    <row r="24" spans="1:9" x14ac:dyDescent="0.25">
      <c r="A24" s="17"/>
    </row>
    <row r="25" spans="1:9" x14ac:dyDescent="0.25">
      <c r="A25" s="18"/>
    </row>
    <row r="26" spans="1:9" x14ac:dyDescent="0.25">
      <c r="A26" s="17"/>
    </row>
    <row r="27" spans="1:9" x14ac:dyDescent="0.25">
      <c r="A27" s="17"/>
    </row>
    <row r="28" spans="1:9" x14ac:dyDescent="0.25">
      <c r="A28" s="17"/>
    </row>
    <row r="29" spans="1:9" x14ac:dyDescent="0.25">
      <c r="A29" s="17"/>
    </row>
    <row r="30" spans="1:9" x14ac:dyDescent="0.25">
      <c r="A30" s="17"/>
    </row>
    <row r="31" spans="1:9" x14ac:dyDescent="0.25">
      <c r="A31" s="17"/>
    </row>
    <row r="32" spans="1:9" x14ac:dyDescent="0.25">
      <c r="A32" s="17"/>
    </row>
    <row r="33" spans="1:1" x14ac:dyDescent="0.25">
      <c r="A33" s="17"/>
    </row>
    <row r="34" spans="1:1" x14ac:dyDescent="0.25">
      <c r="A34" s="1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4"/>
  <dimension ref="A1:S34"/>
  <sheetViews>
    <sheetView workbookViewId="0">
      <selection activeCell="B11" sqref="B11:I11"/>
    </sheetView>
  </sheetViews>
  <sheetFormatPr defaultRowHeight="15" x14ac:dyDescent="0.25"/>
  <cols>
    <col min="1" max="1" width="19.5703125" customWidth="1"/>
    <col min="10" max="10" width="8.5703125" customWidth="1"/>
    <col min="11" max="11" width="12.5703125" customWidth="1"/>
    <col min="12" max="18" width="9.28515625" bestFit="1" customWidth="1"/>
    <col min="19" max="19" width="9.5703125" bestFit="1" customWidth="1"/>
  </cols>
  <sheetData>
    <row r="1" spans="1:19" ht="17.25" x14ac:dyDescent="0.25">
      <c r="A1" s="2" t="s">
        <v>12</v>
      </c>
      <c r="B1" s="36">
        <v>2006</v>
      </c>
      <c r="C1" s="36">
        <v>2007</v>
      </c>
      <c r="D1" s="36">
        <v>2008</v>
      </c>
      <c r="E1" s="36">
        <v>2009</v>
      </c>
      <c r="F1" s="36">
        <v>2010</v>
      </c>
      <c r="G1" s="36">
        <v>2011</v>
      </c>
      <c r="H1" s="36">
        <v>2012</v>
      </c>
      <c r="I1" s="36">
        <v>2013</v>
      </c>
      <c r="K1" s="5"/>
      <c r="L1" s="36">
        <v>2006</v>
      </c>
      <c r="M1" s="36">
        <v>2007</v>
      </c>
      <c r="N1" s="36">
        <v>2008</v>
      </c>
      <c r="O1" s="36">
        <v>2009</v>
      </c>
      <c r="P1" s="36">
        <v>2010</v>
      </c>
      <c r="Q1" s="36">
        <v>2011</v>
      </c>
      <c r="R1" s="36">
        <v>2012</v>
      </c>
      <c r="S1" s="36">
        <v>2013</v>
      </c>
    </row>
    <row r="2" spans="1:19" ht="15.75" x14ac:dyDescent="0.25">
      <c r="A2" s="3" t="s">
        <v>24</v>
      </c>
      <c r="K2" s="4" t="s">
        <v>33</v>
      </c>
      <c r="L2">
        <v>133544</v>
      </c>
      <c r="M2">
        <v>145050</v>
      </c>
      <c r="N2">
        <v>158968</v>
      </c>
      <c r="O2">
        <v>149859</v>
      </c>
      <c r="P2">
        <v>142978</v>
      </c>
      <c r="Q2">
        <v>139004</v>
      </c>
      <c r="R2">
        <v>131531</v>
      </c>
      <c r="S2">
        <v>142272</v>
      </c>
    </row>
    <row r="3" spans="1:19" x14ac:dyDescent="0.25">
      <c r="A3" s="4" t="s">
        <v>10</v>
      </c>
      <c r="B3" s="25">
        <f>LN(L2)</f>
        <v>11.802186290535223</v>
      </c>
      <c r="C3" s="25">
        <f t="shared" ref="C3:I3" si="0">LN(M2)</f>
        <v>11.88483378954955</v>
      </c>
      <c r="D3" s="25">
        <f t="shared" si="0"/>
        <v>11.976458203085652</v>
      </c>
      <c r="E3" s="25">
        <f t="shared" si="0"/>
        <v>11.917450131001337</v>
      </c>
      <c r="F3" s="25">
        <f t="shared" si="0"/>
        <v>11.870446051252665</v>
      </c>
      <c r="G3" s="25">
        <f t="shared" si="0"/>
        <v>11.842257988677197</v>
      </c>
      <c r="H3" s="25">
        <f t="shared" si="0"/>
        <v>11.786997844262174</v>
      </c>
      <c r="I3" s="25">
        <f t="shared" si="0"/>
        <v>11.865495997323869</v>
      </c>
      <c r="K3" s="4" t="s">
        <v>27</v>
      </c>
      <c r="L3">
        <v>94167</v>
      </c>
      <c r="M3">
        <v>98115</v>
      </c>
      <c r="N3">
        <v>103140</v>
      </c>
      <c r="O3">
        <v>103806</v>
      </c>
      <c r="P3">
        <v>74866</v>
      </c>
      <c r="Q3">
        <v>73893</v>
      </c>
      <c r="R3">
        <v>79821</v>
      </c>
      <c r="S3">
        <v>83328</v>
      </c>
    </row>
    <row r="4" spans="1:19" x14ac:dyDescent="0.25">
      <c r="A4" s="4" t="s">
        <v>13</v>
      </c>
      <c r="B4">
        <v>101439</v>
      </c>
      <c r="C4">
        <v>105913</v>
      </c>
      <c r="D4">
        <v>110449</v>
      </c>
      <c r="E4">
        <v>109358</v>
      </c>
      <c r="F4">
        <v>82731</v>
      </c>
      <c r="G4">
        <v>81337</v>
      </c>
      <c r="H4">
        <v>85408</v>
      </c>
      <c r="I4">
        <v>89019</v>
      </c>
      <c r="K4" s="4" t="s">
        <v>28</v>
      </c>
      <c r="L4">
        <v>58299</v>
      </c>
      <c r="M4">
        <v>63590</v>
      </c>
      <c r="N4">
        <v>66450</v>
      </c>
      <c r="O4">
        <v>67156</v>
      </c>
      <c r="P4">
        <v>67255</v>
      </c>
      <c r="Q4">
        <v>60752</v>
      </c>
      <c r="R4">
        <v>59706</v>
      </c>
      <c r="S4">
        <v>63271</v>
      </c>
    </row>
    <row r="5" spans="1:19" x14ac:dyDescent="0.25">
      <c r="A5" s="4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4" t="s">
        <v>53</v>
      </c>
      <c r="L5">
        <v>1599</v>
      </c>
      <c r="M5">
        <v>3023</v>
      </c>
      <c r="N5">
        <v>5738</v>
      </c>
      <c r="O5">
        <v>5148</v>
      </c>
      <c r="P5">
        <v>1866</v>
      </c>
      <c r="Q5">
        <v>2644</v>
      </c>
      <c r="R5">
        <v>2017</v>
      </c>
      <c r="S5">
        <v>3649</v>
      </c>
    </row>
    <row r="6" spans="1:19" x14ac:dyDescent="0.25">
      <c r="A6" s="4" t="s">
        <v>11</v>
      </c>
      <c r="B6" s="9">
        <f>L3/B4</f>
        <v>0.92831159613166536</v>
      </c>
      <c r="C6" s="9">
        <f t="shared" ref="C6:H6" si="1">M3/C4</f>
        <v>0.92637353299406111</v>
      </c>
      <c r="D6" s="9">
        <f t="shared" si="1"/>
        <v>0.93382466115582763</v>
      </c>
      <c r="E6" s="9">
        <f t="shared" si="1"/>
        <v>0.94923096618445835</v>
      </c>
      <c r="F6" s="9">
        <f t="shared" si="1"/>
        <v>0.90493285467358064</v>
      </c>
      <c r="G6" s="9">
        <f t="shared" si="1"/>
        <v>0.90847953575863383</v>
      </c>
      <c r="H6" s="9">
        <f t="shared" si="1"/>
        <v>0.93458458224053953</v>
      </c>
      <c r="I6" s="9">
        <f>S3/I4</f>
        <v>0.93606982778957304</v>
      </c>
      <c r="K6" s="21" t="s">
        <v>62</v>
      </c>
      <c r="L6">
        <v>24625</v>
      </c>
      <c r="M6">
        <v>21180</v>
      </c>
      <c r="N6">
        <v>22636</v>
      </c>
      <c r="O6">
        <v>26794</v>
      </c>
      <c r="P6">
        <v>25051</v>
      </c>
      <c r="Q6">
        <v>29626</v>
      </c>
      <c r="R6">
        <v>24789</v>
      </c>
      <c r="S6">
        <v>26738</v>
      </c>
    </row>
    <row r="7" spans="1:19" ht="15.75" x14ac:dyDescent="0.25">
      <c r="A7" s="3" t="s">
        <v>21</v>
      </c>
      <c r="K7" s="4" t="s">
        <v>30</v>
      </c>
      <c r="L7">
        <v>562</v>
      </c>
      <c r="M7">
        <v>595</v>
      </c>
      <c r="N7">
        <v>612</v>
      </c>
      <c r="O7">
        <v>738</v>
      </c>
      <c r="P7">
        <v>713</v>
      </c>
      <c r="Q7">
        <v>832</v>
      </c>
      <c r="R7">
        <v>845</v>
      </c>
      <c r="S7">
        <v>998</v>
      </c>
    </row>
    <row r="8" spans="1:19" x14ac:dyDescent="0.25">
      <c r="A8" s="4" t="s">
        <v>8</v>
      </c>
      <c r="B8" s="9">
        <f>(L2+L14-L4)/L2</f>
        <v>1.1926538594021445</v>
      </c>
      <c r="C8" s="9">
        <f t="shared" ref="C8:I8" si="2">(M2+M14-M4)/M2</f>
        <v>1.1181933815925544</v>
      </c>
      <c r="D8" s="9">
        <f t="shared" si="2"/>
        <v>0.87805989255699257</v>
      </c>
      <c r="E8" s="9">
        <f t="shared" si="2"/>
        <v>1.000972881174971</v>
      </c>
      <c r="F8" s="9">
        <f t="shared" si="2"/>
        <v>1.0533412133335198</v>
      </c>
      <c r="G8" s="9">
        <f t="shared" si="2"/>
        <v>1.0803444505194095</v>
      </c>
      <c r="H8" s="9">
        <f t="shared" si="2"/>
        <v>1.3019295831400963</v>
      </c>
      <c r="I8" s="9">
        <f t="shared" si="2"/>
        <v>1.5365693882141254</v>
      </c>
      <c r="K8" s="4" t="s">
        <v>34</v>
      </c>
      <c r="L8">
        <v>38601</v>
      </c>
      <c r="M8">
        <v>42323</v>
      </c>
      <c r="N8">
        <v>52886</v>
      </c>
      <c r="O8">
        <v>44766</v>
      </c>
      <c r="P8">
        <v>37297</v>
      </c>
      <c r="Q8">
        <v>37834</v>
      </c>
      <c r="R8">
        <v>34727</v>
      </c>
      <c r="S8">
        <v>38858</v>
      </c>
    </row>
    <row r="9" spans="1:19" x14ac:dyDescent="0.25">
      <c r="A9" s="4" t="s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K9" s="4" t="s">
        <v>31</v>
      </c>
      <c r="L9">
        <v>6607</v>
      </c>
      <c r="M9">
        <v>5968</v>
      </c>
      <c r="N9">
        <v>6353</v>
      </c>
      <c r="O9">
        <v>5837</v>
      </c>
      <c r="P9">
        <v>5017</v>
      </c>
      <c r="Q9">
        <v>5050</v>
      </c>
      <c r="R9">
        <v>4961</v>
      </c>
      <c r="S9">
        <v>5227</v>
      </c>
    </row>
    <row r="10" spans="1:19" x14ac:dyDescent="0.25">
      <c r="A10" s="4" t="s">
        <v>5</v>
      </c>
      <c r="B10">
        <v>24625</v>
      </c>
      <c r="C10">
        <v>21180</v>
      </c>
      <c r="D10">
        <v>22636</v>
      </c>
      <c r="E10">
        <v>26794</v>
      </c>
      <c r="F10">
        <v>25051</v>
      </c>
      <c r="G10">
        <v>29626</v>
      </c>
      <c r="H10">
        <v>24789</v>
      </c>
      <c r="I10">
        <v>26738</v>
      </c>
      <c r="K10" s="4" t="s">
        <v>32</v>
      </c>
      <c r="L10">
        <v>5467</v>
      </c>
      <c r="M10">
        <v>7161</v>
      </c>
      <c r="N10">
        <v>5598</v>
      </c>
      <c r="O10">
        <v>4830</v>
      </c>
      <c r="P10">
        <v>5592</v>
      </c>
      <c r="Q10">
        <v>607</v>
      </c>
      <c r="R10">
        <v>5000</v>
      </c>
      <c r="S10">
        <v>5564</v>
      </c>
    </row>
    <row r="11" spans="1:19" x14ac:dyDescent="0.25">
      <c r="A11" s="4" t="s">
        <v>7</v>
      </c>
      <c r="B11" s="9">
        <f>B10/B4</f>
        <v>0.242756730646004</v>
      </c>
      <c r="C11" s="9">
        <f t="shared" ref="C11:I11" si="3">C10/C4</f>
        <v>0.19997545154985696</v>
      </c>
      <c r="D11" s="9">
        <f t="shared" si="3"/>
        <v>0.20494526885711958</v>
      </c>
      <c r="E11" s="9">
        <f t="shared" si="3"/>
        <v>0.24501179611916823</v>
      </c>
      <c r="F11" s="9">
        <f t="shared" si="3"/>
        <v>0.30280064304795057</v>
      </c>
      <c r="G11" s="9">
        <f t="shared" si="3"/>
        <v>0.36423767780960692</v>
      </c>
      <c r="H11" s="9">
        <f t="shared" si="3"/>
        <v>0.29024213188460096</v>
      </c>
      <c r="I11" s="9">
        <f t="shared" si="3"/>
        <v>0.30036284388726003</v>
      </c>
      <c r="K11" s="4" t="s">
        <v>54</v>
      </c>
      <c r="L11">
        <v>43332</v>
      </c>
      <c r="M11">
        <v>46192</v>
      </c>
      <c r="N11">
        <v>38708</v>
      </c>
      <c r="O11">
        <v>37597</v>
      </c>
      <c r="P11">
        <v>36999</v>
      </c>
      <c r="Q11">
        <v>28893</v>
      </c>
      <c r="R11">
        <v>32627</v>
      </c>
      <c r="S11">
        <v>33960</v>
      </c>
    </row>
    <row r="12" spans="1:19" ht="15.75" x14ac:dyDescent="0.25">
      <c r="A12" s="3" t="s">
        <v>0</v>
      </c>
      <c r="K12" s="4" t="s">
        <v>51</v>
      </c>
      <c r="L12">
        <v>705.1</v>
      </c>
      <c r="M12">
        <v>705.1</v>
      </c>
      <c r="N12">
        <v>705.1</v>
      </c>
      <c r="O12">
        <v>705.1</v>
      </c>
      <c r="P12">
        <v>705.1</v>
      </c>
      <c r="Q12">
        <v>705.1</v>
      </c>
      <c r="R12">
        <v>705.1</v>
      </c>
      <c r="S12">
        <v>705.1</v>
      </c>
    </row>
    <row r="13" spans="1:19" x14ac:dyDescent="0.25">
      <c r="A13" s="4" t="s">
        <v>16</v>
      </c>
      <c r="B13" s="24">
        <f>L7/B4</f>
        <v>5.5402754364692079E-3</v>
      </c>
      <c r="C13" s="24">
        <f t="shared" ref="C13:I13" si="4">M7/C4</f>
        <v>5.6178183981192113E-3</v>
      </c>
      <c r="D13" s="24">
        <f t="shared" si="4"/>
        <v>5.5410189318146836E-3</v>
      </c>
      <c r="E13" s="24">
        <f t="shared" si="4"/>
        <v>6.7484774776422393E-3</v>
      </c>
      <c r="F13" s="24">
        <f t="shared" si="4"/>
        <v>8.6182930219627467E-3</v>
      </c>
      <c r="G13" s="24">
        <f t="shared" si="4"/>
        <v>1.0229047051157529E-2</v>
      </c>
      <c r="H13" s="24">
        <f t="shared" si="4"/>
        <v>9.8936867740726867E-3</v>
      </c>
      <c r="I13" s="24">
        <f t="shared" si="4"/>
        <v>1.1211089767353037E-2</v>
      </c>
      <c r="K13" s="4" t="s">
        <v>52</v>
      </c>
      <c r="L13">
        <v>119.17</v>
      </c>
      <c r="M13">
        <v>114.5</v>
      </c>
      <c r="N13">
        <v>66.75</v>
      </c>
      <c r="O13">
        <v>95.45</v>
      </c>
      <c r="P13">
        <v>106.2</v>
      </c>
      <c r="Q13">
        <v>102</v>
      </c>
      <c r="R13">
        <v>141</v>
      </c>
      <c r="S13">
        <v>198</v>
      </c>
    </row>
    <row r="14" spans="1:19" x14ac:dyDescent="0.25">
      <c r="A14" s="4" t="s">
        <v>14</v>
      </c>
      <c r="B14" s="9">
        <f>L8/L4</f>
        <v>0.66212113415324447</v>
      </c>
      <c r="C14" s="9">
        <f t="shared" ref="C14:I14" si="5">M8/M4</f>
        <v>0.6655606227394244</v>
      </c>
      <c r="D14" s="9">
        <f t="shared" si="5"/>
        <v>0.79587659894657636</v>
      </c>
      <c r="E14" s="9">
        <f t="shared" si="5"/>
        <v>0.66659717672285423</v>
      </c>
      <c r="F14" s="9">
        <f t="shared" si="5"/>
        <v>0.55456099918221691</v>
      </c>
      <c r="G14" s="9">
        <f t="shared" si="5"/>
        <v>0.62276139057150381</v>
      </c>
      <c r="H14" s="9">
        <f t="shared" si="5"/>
        <v>0.58163333668308048</v>
      </c>
      <c r="I14" s="9">
        <f t="shared" si="5"/>
        <v>0.61415182311011363</v>
      </c>
      <c r="K14" s="4" t="s">
        <v>29</v>
      </c>
      <c r="L14" s="16">
        <f>L12*L13</f>
        <v>84026.767000000007</v>
      </c>
      <c r="M14" s="16">
        <f t="shared" ref="M14:S14" si="6">M12*M13</f>
        <v>80733.95</v>
      </c>
      <c r="N14" s="16">
        <f t="shared" si="6"/>
        <v>47065.425000000003</v>
      </c>
      <c r="O14" s="16">
        <f t="shared" si="6"/>
        <v>67301.794999999998</v>
      </c>
      <c r="P14" s="16">
        <f t="shared" si="6"/>
        <v>74881.62000000001</v>
      </c>
      <c r="Q14" s="16">
        <f t="shared" si="6"/>
        <v>71920.2</v>
      </c>
      <c r="R14" s="16">
        <f t="shared" si="6"/>
        <v>99419.1</v>
      </c>
      <c r="S14" s="16">
        <f t="shared" si="6"/>
        <v>139609.80000000002</v>
      </c>
    </row>
    <row r="15" spans="1:19" x14ac:dyDescent="0.25">
      <c r="A15" s="4" t="s">
        <v>40</v>
      </c>
      <c r="B15" s="9">
        <f>L5/L11</f>
        <v>3.6901135419551367E-2</v>
      </c>
      <c r="C15" s="9">
        <f t="shared" ref="C15:I15" si="7">M5/M11</f>
        <v>6.5444232767578797E-2</v>
      </c>
      <c r="D15" s="9">
        <f t="shared" si="7"/>
        <v>0.14823809031724708</v>
      </c>
      <c r="E15" s="9">
        <f t="shared" si="7"/>
        <v>0.13692581854935235</v>
      </c>
      <c r="F15" s="9">
        <f t="shared" si="7"/>
        <v>5.0433795507986705E-2</v>
      </c>
      <c r="G15" s="9">
        <f t="shared" si="7"/>
        <v>9.1510054338421076E-2</v>
      </c>
      <c r="H15" s="9">
        <f t="shared" si="7"/>
        <v>6.1819965059613201E-2</v>
      </c>
      <c r="I15" s="9">
        <f t="shared" si="7"/>
        <v>0.10744994110718492</v>
      </c>
    </row>
    <row r="16" spans="1:19" x14ac:dyDescent="0.25">
      <c r="A16" s="4" t="s">
        <v>15</v>
      </c>
      <c r="B16" s="8">
        <f>L9/B4</f>
        <v>6.5132739873224307E-2</v>
      </c>
      <c r="C16" s="8">
        <f t="shared" ref="C16:I16" si="8">M9/C4</f>
        <v>5.6348134789874708E-2</v>
      </c>
      <c r="D16" s="8">
        <f t="shared" si="8"/>
        <v>5.7519760251337725E-2</v>
      </c>
      <c r="E16" s="8">
        <f t="shared" si="8"/>
        <v>5.3375153166663622E-2</v>
      </c>
      <c r="F16" s="8">
        <f t="shared" si="8"/>
        <v>6.0642322708537311E-2</v>
      </c>
      <c r="G16" s="8">
        <f t="shared" si="8"/>
        <v>6.2087364913876834E-2</v>
      </c>
      <c r="H16" s="8">
        <f t="shared" si="8"/>
        <v>5.8085893593106029E-2</v>
      </c>
      <c r="I16" s="8">
        <f t="shared" si="8"/>
        <v>5.8717801817589503E-2</v>
      </c>
    </row>
    <row r="17" spans="1:9" x14ac:dyDescent="0.25">
      <c r="A17" s="4" t="s">
        <v>9</v>
      </c>
      <c r="B17" s="8">
        <f>L10/L2</f>
        <v>4.0937818247169473E-2</v>
      </c>
      <c r="C17" s="8">
        <f t="shared" ref="C17:I17" si="9">M10/M2</f>
        <v>4.9369183040330923E-2</v>
      </c>
      <c r="D17" s="8">
        <f t="shared" si="9"/>
        <v>3.5214634391827287E-2</v>
      </c>
      <c r="E17" s="8">
        <f t="shared" si="9"/>
        <v>3.2230296478689968E-2</v>
      </c>
      <c r="F17" s="8">
        <f t="shared" si="9"/>
        <v>3.911091216830561E-2</v>
      </c>
      <c r="G17" s="8">
        <f t="shared" si="9"/>
        <v>4.3667808120629618E-3</v>
      </c>
      <c r="H17" s="8">
        <f t="shared" si="9"/>
        <v>3.8013852247759085E-2</v>
      </c>
      <c r="I17" s="8">
        <f t="shared" si="9"/>
        <v>3.9108187134502925E-2</v>
      </c>
    </row>
    <row r="18" spans="1:9" x14ac:dyDescent="0.25">
      <c r="A18" s="4" t="s">
        <v>44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s="4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t="s">
        <v>57</v>
      </c>
      <c r="B20">
        <v>-333</v>
      </c>
      <c r="C20">
        <v>-268</v>
      </c>
      <c r="D20">
        <v>504</v>
      </c>
      <c r="E20">
        <v>1498</v>
      </c>
      <c r="F20">
        <v>5105</v>
      </c>
      <c r="G20">
        <v>-713</v>
      </c>
      <c r="H20">
        <v>641</v>
      </c>
      <c r="I20">
        <v>-471</v>
      </c>
    </row>
    <row r="21" spans="1:9" x14ac:dyDescent="0.25">
      <c r="A21" s="17" t="s">
        <v>58</v>
      </c>
      <c r="B21">
        <v>0</v>
      </c>
      <c r="C21">
        <v>0</v>
      </c>
      <c r="D21">
        <v>1</v>
      </c>
      <c r="E21">
        <v>1</v>
      </c>
      <c r="F21">
        <v>1</v>
      </c>
      <c r="G21">
        <v>0</v>
      </c>
      <c r="H21">
        <v>1</v>
      </c>
      <c r="I21">
        <v>0</v>
      </c>
    </row>
    <row r="22" spans="1:9" x14ac:dyDescent="0.25">
      <c r="A22" s="17"/>
    </row>
    <row r="23" spans="1:9" x14ac:dyDescent="0.25">
      <c r="A23" s="17"/>
    </row>
    <row r="24" spans="1:9" x14ac:dyDescent="0.25">
      <c r="A24" s="17"/>
    </row>
    <row r="25" spans="1:9" x14ac:dyDescent="0.25">
      <c r="A25" s="18"/>
    </row>
    <row r="26" spans="1:9" x14ac:dyDescent="0.25">
      <c r="A26" s="17"/>
    </row>
    <row r="27" spans="1:9" x14ac:dyDescent="0.25">
      <c r="A27" s="17"/>
    </row>
    <row r="28" spans="1:9" x14ac:dyDescent="0.25">
      <c r="A28" s="17"/>
    </row>
    <row r="29" spans="1:9" x14ac:dyDescent="0.25">
      <c r="A29" s="17"/>
    </row>
    <row r="30" spans="1:9" x14ac:dyDescent="0.25">
      <c r="A30" s="17"/>
    </row>
    <row r="31" spans="1:9" x14ac:dyDescent="0.25">
      <c r="A31" s="17"/>
    </row>
    <row r="32" spans="1:9" x14ac:dyDescent="0.25">
      <c r="A32" s="17"/>
    </row>
    <row r="33" spans="1:1" x14ac:dyDescent="0.25">
      <c r="A33" s="17"/>
    </row>
    <row r="34" spans="1:1" x14ac:dyDescent="0.25">
      <c r="A34" s="1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5"/>
  <dimension ref="A1:S34"/>
  <sheetViews>
    <sheetView workbookViewId="0">
      <selection activeCell="B11" sqref="B11:I11"/>
    </sheetView>
  </sheetViews>
  <sheetFormatPr defaultRowHeight="15" x14ac:dyDescent="0.25"/>
  <cols>
    <col min="1" max="1" width="19.5703125" customWidth="1"/>
    <col min="11" max="11" width="12.5703125" customWidth="1"/>
  </cols>
  <sheetData>
    <row r="1" spans="1:19" ht="17.25" x14ac:dyDescent="0.25">
      <c r="A1" s="2" t="s">
        <v>12</v>
      </c>
      <c r="B1" s="36">
        <v>2006</v>
      </c>
      <c r="C1" s="36">
        <v>2007</v>
      </c>
      <c r="D1" s="36">
        <v>2008</v>
      </c>
      <c r="E1" s="36">
        <v>2009</v>
      </c>
      <c r="F1" s="36">
        <v>2010</v>
      </c>
      <c r="G1" s="36">
        <v>2011</v>
      </c>
      <c r="H1" s="36">
        <v>2012</v>
      </c>
      <c r="I1" s="36">
        <v>2013</v>
      </c>
      <c r="K1" s="5"/>
      <c r="L1" s="36">
        <v>2006</v>
      </c>
      <c r="M1" s="36">
        <v>2007</v>
      </c>
      <c r="N1" s="36">
        <v>2008</v>
      </c>
      <c r="O1" s="36">
        <v>2009</v>
      </c>
      <c r="P1" s="36">
        <v>2010</v>
      </c>
      <c r="Q1" s="36">
        <v>2011</v>
      </c>
      <c r="R1" s="36">
        <v>2012</v>
      </c>
      <c r="S1" s="36">
        <v>2013</v>
      </c>
    </row>
    <row r="2" spans="1:19" ht="15.75" x14ac:dyDescent="0.25">
      <c r="A2" s="3" t="s">
        <v>24</v>
      </c>
      <c r="K2" s="4" t="s">
        <v>33</v>
      </c>
      <c r="L2">
        <v>35720</v>
      </c>
      <c r="M2">
        <v>39185</v>
      </c>
      <c r="N2">
        <v>35718</v>
      </c>
      <c r="O2">
        <v>32796</v>
      </c>
      <c r="P2">
        <v>32884</v>
      </c>
      <c r="Q2">
        <v>36665</v>
      </c>
      <c r="R2">
        <v>38457</v>
      </c>
      <c r="S2">
        <v>37237</v>
      </c>
    </row>
    <row r="3" spans="1:19" x14ac:dyDescent="0.25">
      <c r="A3" s="4" t="s">
        <v>10</v>
      </c>
      <c r="B3" s="9">
        <f>LN(L2)</f>
        <v>10.483466034990435</v>
      </c>
      <c r="C3" s="9">
        <f t="shared" ref="C3:I3" si="0">LN(M2)</f>
        <v>10.576049299486964</v>
      </c>
      <c r="D3" s="9">
        <f t="shared" si="0"/>
        <v>10.483410042381445</v>
      </c>
      <c r="E3" s="9">
        <f t="shared" si="0"/>
        <v>10.398061835716069</v>
      </c>
      <c r="F3" s="9">
        <f t="shared" si="0"/>
        <v>10.400741496272024</v>
      </c>
      <c r="G3" s="9">
        <f t="shared" si="0"/>
        <v>10.5095779005279</v>
      </c>
      <c r="H3" s="9">
        <f t="shared" si="0"/>
        <v>10.557296012980244</v>
      </c>
      <c r="I3" s="9">
        <f t="shared" si="0"/>
        <v>10.525058169606785</v>
      </c>
      <c r="K3" s="4" t="s">
        <v>27</v>
      </c>
      <c r="L3">
        <v>55955</v>
      </c>
      <c r="M3">
        <v>57859</v>
      </c>
      <c r="N3">
        <v>52957</v>
      </c>
      <c r="O3">
        <v>58853</v>
      </c>
      <c r="P3">
        <v>57302</v>
      </c>
      <c r="Q3">
        <v>59924</v>
      </c>
      <c r="R3">
        <v>62232</v>
      </c>
      <c r="S3">
        <v>61477</v>
      </c>
    </row>
    <row r="4" spans="1:19" x14ac:dyDescent="0.25">
      <c r="A4" s="4" t="s">
        <v>13</v>
      </c>
      <c r="B4">
        <v>60523</v>
      </c>
      <c r="C4">
        <v>62907</v>
      </c>
      <c r="D4">
        <v>56571</v>
      </c>
      <c r="E4">
        <v>62666</v>
      </c>
      <c r="F4">
        <v>61339</v>
      </c>
      <c r="G4">
        <v>64057</v>
      </c>
      <c r="H4">
        <v>66458</v>
      </c>
      <c r="I4">
        <v>65700</v>
      </c>
      <c r="K4" s="4" t="s">
        <v>28</v>
      </c>
      <c r="L4">
        <v>9602</v>
      </c>
      <c r="M4">
        <v>8812</v>
      </c>
      <c r="N4">
        <v>8501</v>
      </c>
      <c r="O4">
        <v>8812</v>
      </c>
      <c r="P4">
        <v>8935</v>
      </c>
      <c r="Q4">
        <v>9204</v>
      </c>
      <c r="R4">
        <v>8588</v>
      </c>
      <c r="S4">
        <v>9365</v>
      </c>
    </row>
    <row r="5" spans="1:19" x14ac:dyDescent="0.25">
      <c r="A5" s="4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4" t="s">
        <v>53</v>
      </c>
      <c r="L5">
        <v>1668</v>
      </c>
      <c r="M5">
        <v>4351</v>
      </c>
      <c r="N5">
        <v>3952</v>
      </c>
      <c r="O5">
        <v>2497</v>
      </c>
      <c r="P5">
        <v>2587</v>
      </c>
      <c r="Q5">
        <v>2507</v>
      </c>
      <c r="R5">
        <v>4880</v>
      </c>
      <c r="S5">
        <v>4049</v>
      </c>
    </row>
    <row r="6" spans="1:19" x14ac:dyDescent="0.25">
      <c r="A6" s="4" t="s">
        <v>11</v>
      </c>
      <c r="B6" s="9">
        <f>L3/B4</f>
        <v>0.9245245609107281</v>
      </c>
      <c r="C6" s="9">
        <f t="shared" ref="C6:I6" si="1">M3/C4</f>
        <v>0.91975455831624464</v>
      </c>
      <c r="D6" s="9">
        <f t="shared" si="1"/>
        <v>0.93611567764402259</v>
      </c>
      <c r="E6" s="9">
        <f t="shared" si="1"/>
        <v>0.93915360801710657</v>
      </c>
      <c r="F6" s="9">
        <f t="shared" si="1"/>
        <v>0.93418542852019104</v>
      </c>
      <c r="G6" s="9">
        <f t="shared" si="1"/>
        <v>0.93547933871395783</v>
      </c>
      <c r="H6" s="9">
        <f t="shared" si="1"/>
        <v>0.93641096632459597</v>
      </c>
      <c r="I6" s="9">
        <f t="shared" si="1"/>
        <v>0.9357229832572298</v>
      </c>
      <c r="K6" s="21" t="s">
        <v>62</v>
      </c>
      <c r="L6">
        <v>4890</v>
      </c>
      <c r="M6">
        <v>4589</v>
      </c>
      <c r="N6">
        <v>1666</v>
      </c>
      <c r="O6">
        <v>1646</v>
      </c>
      <c r="P6">
        <v>2001</v>
      </c>
      <c r="Q6">
        <v>2105</v>
      </c>
      <c r="R6">
        <v>1386</v>
      </c>
      <c r="S6">
        <v>1754</v>
      </c>
    </row>
    <row r="7" spans="1:19" ht="15.75" x14ac:dyDescent="0.25">
      <c r="A7" s="3" t="s">
        <v>21</v>
      </c>
      <c r="K7" s="4" t="s">
        <v>30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25">
      <c r="A8" s="4" t="s">
        <v>8</v>
      </c>
      <c r="B8" s="9">
        <f>(L2+L14-L4)/L2</f>
        <v>1.6579955207166854</v>
      </c>
      <c r="C8" s="9">
        <f t="shared" ref="C8:I8" si="2">(M2+M14-M4)/M2</f>
        <v>1.4821487814214622</v>
      </c>
      <c r="D8" s="9">
        <f t="shared" si="2"/>
        <v>1.4161879164566886</v>
      </c>
      <c r="E8" s="9">
        <f t="shared" si="2"/>
        <v>1.511137181363581</v>
      </c>
      <c r="F8" s="9">
        <f t="shared" si="2"/>
        <v>1.6015118294611363</v>
      </c>
      <c r="G8" s="9">
        <f t="shared" si="2"/>
        <v>1.3404592936042548</v>
      </c>
      <c r="H8" s="9">
        <f t="shared" si="2"/>
        <v>1.3149795875913357</v>
      </c>
      <c r="I8" s="9">
        <f t="shared" si="2"/>
        <v>1.4186584579853372</v>
      </c>
      <c r="K8" s="4" t="s">
        <v>34</v>
      </c>
      <c r="L8">
        <v>11945</v>
      </c>
      <c r="M8">
        <v>9735</v>
      </c>
      <c r="N8">
        <v>9878</v>
      </c>
      <c r="O8">
        <v>9412</v>
      </c>
      <c r="P8">
        <v>8387</v>
      </c>
      <c r="Q8">
        <v>8208</v>
      </c>
      <c r="R8">
        <v>10348</v>
      </c>
      <c r="S8">
        <v>9864</v>
      </c>
    </row>
    <row r="9" spans="1:19" x14ac:dyDescent="0.25">
      <c r="A9" s="4" t="s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K9" s="4" t="s">
        <v>31</v>
      </c>
      <c r="L9">
        <v>666.7</v>
      </c>
      <c r="M9">
        <v>838.1</v>
      </c>
      <c r="N9">
        <v>977</v>
      </c>
      <c r="O9">
        <v>950.7</v>
      </c>
      <c r="P9">
        <v>901.9</v>
      </c>
      <c r="Q9">
        <v>1009.8</v>
      </c>
      <c r="R9">
        <v>1039.2</v>
      </c>
      <c r="S9">
        <v>804</v>
      </c>
    </row>
    <row r="10" spans="1:19" x14ac:dyDescent="0.25">
      <c r="A10" s="4" t="s">
        <v>5</v>
      </c>
      <c r="B10">
        <v>4890</v>
      </c>
      <c r="C10">
        <v>4589</v>
      </c>
      <c r="D10">
        <v>1666</v>
      </c>
      <c r="E10">
        <v>1646</v>
      </c>
      <c r="F10">
        <v>2001</v>
      </c>
      <c r="G10">
        <v>2105</v>
      </c>
      <c r="H10">
        <v>1386</v>
      </c>
      <c r="I10">
        <v>1754</v>
      </c>
      <c r="K10" s="4" t="s">
        <v>32</v>
      </c>
      <c r="L10">
        <v>852</v>
      </c>
      <c r="M10">
        <v>526</v>
      </c>
      <c r="N10">
        <v>2321</v>
      </c>
      <c r="O10">
        <v>2118</v>
      </c>
      <c r="P10">
        <v>2080</v>
      </c>
      <c r="Q10">
        <v>1708</v>
      </c>
      <c r="R10">
        <v>1174</v>
      </c>
      <c r="S10">
        <v>1856</v>
      </c>
    </row>
    <row r="11" spans="1:19" x14ac:dyDescent="0.25">
      <c r="A11" s="4" t="s">
        <v>7</v>
      </c>
      <c r="B11" s="9">
        <f>B10/B4</f>
        <v>8.0795730548717012E-2</v>
      </c>
      <c r="C11" s="9">
        <f t="shared" ref="C11:I11" si="3">C10/C4</f>
        <v>7.2948956395949574E-2</v>
      </c>
      <c r="D11" s="9">
        <f t="shared" si="3"/>
        <v>2.9449718053419598E-2</v>
      </c>
      <c r="E11" s="9">
        <f t="shared" si="3"/>
        <v>2.626623687486037E-2</v>
      </c>
      <c r="F11" s="9">
        <f t="shared" si="3"/>
        <v>3.2621986012161923E-2</v>
      </c>
      <c r="G11" s="9">
        <f t="shared" si="3"/>
        <v>3.2861357853162028E-2</v>
      </c>
      <c r="H11" s="9">
        <f t="shared" si="3"/>
        <v>2.0855277017063408E-2</v>
      </c>
      <c r="I11" s="9">
        <f t="shared" si="3"/>
        <v>2.6697108066971082E-2</v>
      </c>
      <c r="K11" s="4" t="s">
        <v>54</v>
      </c>
      <c r="L11">
        <v>17305</v>
      </c>
      <c r="M11">
        <v>20036</v>
      </c>
      <c r="N11">
        <v>17050</v>
      </c>
      <c r="O11">
        <v>12797</v>
      </c>
      <c r="P11">
        <v>13897</v>
      </c>
      <c r="Q11">
        <v>15229</v>
      </c>
      <c r="R11">
        <v>17459</v>
      </c>
      <c r="S11">
        <v>13395</v>
      </c>
    </row>
    <row r="12" spans="1:19" ht="15.75" x14ac:dyDescent="0.25">
      <c r="A12" s="3" t="s">
        <v>0</v>
      </c>
      <c r="K12" s="4" t="s">
        <v>51</v>
      </c>
      <c r="L12">
        <v>376.2</v>
      </c>
      <c r="M12">
        <v>369.4</v>
      </c>
      <c r="N12">
        <v>365.1</v>
      </c>
      <c r="O12">
        <v>365.1</v>
      </c>
      <c r="P12">
        <v>365.1</v>
      </c>
      <c r="Q12">
        <v>365.1</v>
      </c>
      <c r="R12">
        <v>365.1</v>
      </c>
      <c r="S12">
        <v>365.1</v>
      </c>
    </row>
    <row r="13" spans="1:19" x14ac:dyDescent="0.25">
      <c r="A13" s="4" t="s">
        <v>16</v>
      </c>
      <c r="B13">
        <f>L7/B4</f>
        <v>0</v>
      </c>
      <c r="C13">
        <f t="shared" ref="C13:I13" si="4">M7/C4</f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K13" s="4" t="s">
        <v>52</v>
      </c>
      <c r="L13">
        <v>88</v>
      </c>
      <c r="M13">
        <v>75</v>
      </c>
      <c r="N13">
        <v>64</v>
      </c>
      <c r="O13">
        <v>70.05</v>
      </c>
      <c r="P13">
        <v>78.650000000000006</v>
      </c>
      <c r="Q13">
        <v>59.4</v>
      </c>
      <c r="R13">
        <v>56.7</v>
      </c>
      <c r="S13">
        <v>68.349999999999994</v>
      </c>
    </row>
    <row r="14" spans="1:19" x14ac:dyDescent="0.25">
      <c r="A14" s="4" t="s">
        <v>14</v>
      </c>
      <c r="B14" s="9">
        <f>L8/L4</f>
        <v>1.2440116642366175</v>
      </c>
      <c r="C14" s="9">
        <f t="shared" ref="C14:I14" si="5">M8/M4</f>
        <v>1.1047435315478893</v>
      </c>
      <c r="D14" s="9">
        <f t="shared" si="5"/>
        <v>1.1619809434184214</v>
      </c>
      <c r="E14" s="9">
        <f t="shared" si="5"/>
        <v>1.0680889695869269</v>
      </c>
      <c r="F14" s="9">
        <f t="shared" si="5"/>
        <v>0.93866815892557354</v>
      </c>
      <c r="G14" s="9">
        <f t="shared" si="5"/>
        <v>0.89178617992177311</v>
      </c>
      <c r="H14" s="9">
        <f t="shared" si="5"/>
        <v>1.2049371215649745</v>
      </c>
      <c r="I14" s="9">
        <f t="shared" si="5"/>
        <v>1.0532835024025626</v>
      </c>
      <c r="K14" s="4" t="s">
        <v>29</v>
      </c>
      <c r="L14" s="16">
        <f>L12*L13</f>
        <v>33105.599999999999</v>
      </c>
      <c r="M14" s="16">
        <f t="shared" ref="M14:S14" si="6">M12*M13</f>
        <v>27705</v>
      </c>
      <c r="N14" s="16">
        <f t="shared" si="6"/>
        <v>23366.400000000001</v>
      </c>
      <c r="O14" s="16">
        <f t="shared" si="6"/>
        <v>25575.255000000001</v>
      </c>
      <c r="P14" s="16">
        <f t="shared" si="6"/>
        <v>28715.115000000005</v>
      </c>
      <c r="Q14" s="16">
        <f t="shared" si="6"/>
        <v>21686.940000000002</v>
      </c>
      <c r="R14" s="16">
        <f t="shared" si="6"/>
        <v>20701.170000000002</v>
      </c>
      <c r="S14" s="16">
        <f t="shared" si="6"/>
        <v>24954.584999999999</v>
      </c>
    </row>
    <row r="15" spans="1:19" x14ac:dyDescent="0.25">
      <c r="A15" s="4" t="s">
        <v>40</v>
      </c>
      <c r="B15" s="9">
        <f>L5/L11</f>
        <v>9.6388327073100258E-2</v>
      </c>
      <c r="C15" s="9">
        <f t="shared" ref="C15:I15" si="7">M5/M11</f>
        <v>0.21715911359552806</v>
      </c>
      <c r="D15" s="9">
        <f t="shared" si="7"/>
        <v>0.23178885630498533</v>
      </c>
      <c r="E15" s="9">
        <f t="shared" si="7"/>
        <v>0.19512385715402047</v>
      </c>
      <c r="F15" s="9">
        <f t="shared" si="7"/>
        <v>0.18615528531337699</v>
      </c>
      <c r="G15" s="9">
        <f t="shared" si="7"/>
        <v>0.1646201326416705</v>
      </c>
      <c r="H15" s="9">
        <f t="shared" si="7"/>
        <v>0.27951199954178363</v>
      </c>
      <c r="I15" s="9">
        <f t="shared" si="7"/>
        <v>0.30227696901829043</v>
      </c>
    </row>
    <row r="16" spans="1:19" x14ac:dyDescent="0.25">
      <c r="A16" s="4" t="s">
        <v>15</v>
      </c>
      <c r="B16" s="8">
        <f>L9/B4</f>
        <v>1.1015646944136941E-2</v>
      </c>
      <c r="C16" s="8">
        <f t="shared" ref="C16:I16" si="8">M9/C4</f>
        <v>1.3322841655141717E-2</v>
      </c>
      <c r="D16" s="8">
        <f t="shared" si="8"/>
        <v>1.7270332856056992E-2</v>
      </c>
      <c r="E16" s="8">
        <f t="shared" si="8"/>
        <v>1.5170906073468868E-2</v>
      </c>
      <c r="F16" s="8">
        <f t="shared" si="8"/>
        <v>1.4703532825771531E-2</v>
      </c>
      <c r="G16" s="8">
        <f t="shared" si="8"/>
        <v>1.5764085111697395E-2</v>
      </c>
      <c r="H16" s="8">
        <f t="shared" si="8"/>
        <v>1.5636943633573083E-2</v>
      </c>
      <c r="I16" s="8">
        <f t="shared" si="8"/>
        <v>1.223744292237443E-2</v>
      </c>
    </row>
    <row r="17" spans="1:9" x14ac:dyDescent="0.25">
      <c r="A17" s="4" t="s">
        <v>9</v>
      </c>
      <c r="B17" s="8">
        <f>L10/L2</f>
        <v>2.38521836506159E-2</v>
      </c>
      <c r="C17" s="8">
        <f t="shared" ref="C17:I17" si="9">M10/M2</f>
        <v>1.342350389179533E-2</v>
      </c>
      <c r="D17" s="8">
        <f t="shared" si="9"/>
        <v>6.4981241950837113E-2</v>
      </c>
      <c r="E17" s="8">
        <f t="shared" si="9"/>
        <v>6.4581046469081596E-2</v>
      </c>
      <c r="F17" s="8">
        <f t="shared" si="9"/>
        <v>6.3252645663544577E-2</v>
      </c>
      <c r="G17" s="8">
        <f t="shared" si="9"/>
        <v>4.6583935633437885E-2</v>
      </c>
      <c r="H17" s="8">
        <f t="shared" si="9"/>
        <v>3.0527602257066334E-2</v>
      </c>
      <c r="I17" s="8">
        <f t="shared" si="9"/>
        <v>4.9842898192657838E-2</v>
      </c>
    </row>
    <row r="18" spans="1:9" x14ac:dyDescent="0.25">
      <c r="A18" s="4" t="s">
        <v>44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s="4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t="s">
        <v>57</v>
      </c>
      <c r="B20">
        <v>-341</v>
      </c>
      <c r="C20">
        <v>54.3</v>
      </c>
      <c r="D20">
        <v>-263</v>
      </c>
      <c r="E20">
        <v>311.7</v>
      </c>
      <c r="F20">
        <v>414.2</v>
      </c>
      <c r="G20">
        <v>39.299999999999997</v>
      </c>
      <c r="H20">
        <v>-2.8</v>
      </c>
      <c r="I20">
        <v>-197.4</v>
      </c>
    </row>
    <row r="21" spans="1:9" x14ac:dyDescent="0.25">
      <c r="A21" s="17" t="s">
        <v>58</v>
      </c>
      <c r="B21">
        <v>0</v>
      </c>
      <c r="C21">
        <v>1</v>
      </c>
      <c r="D21">
        <v>0</v>
      </c>
      <c r="E21">
        <v>1</v>
      </c>
      <c r="F21">
        <v>1</v>
      </c>
      <c r="G21">
        <v>1</v>
      </c>
      <c r="H21">
        <v>0</v>
      </c>
      <c r="I21">
        <v>0</v>
      </c>
    </row>
    <row r="22" spans="1:9" x14ac:dyDescent="0.25">
      <c r="A22" s="17"/>
    </row>
    <row r="23" spans="1:9" x14ac:dyDescent="0.25">
      <c r="A23" s="17"/>
    </row>
    <row r="24" spans="1:9" x14ac:dyDescent="0.25">
      <c r="A24" s="17"/>
    </row>
    <row r="25" spans="1:9" x14ac:dyDescent="0.25">
      <c r="A25" s="18"/>
    </row>
    <row r="26" spans="1:9" x14ac:dyDescent="0.25">
      <c r="A26" s="17"/>
    </row>
    <row r="27" spans="1:9" x14ac:dyDescent="0.25">
      <c r="A27" s="17"/>
    </row>
    <row r="28" spans="1:9" x14ac:dyDescent="0.25">
      <c r="A28" s="17"/>
    </row>
    <row r="29" spans="1:9" x14ac:dyDescent="0.25">
      <c r="A29" s="17"/>
    </row>
    <row r="30" spans="1:9" x14ac:dyDescent="0.25">
      <c r="A30" s="17"/>
    </row>
    <row r="31" spans="1:9" x14ac:dyDescent="0.25">
      <c r="A31" s="17"/>
    </row>
    <row r="32" spans="1:9" x14ac:dyDescent="0.25">
      <c r="A32" s="17"/>
    </row>
    <row r="33" spans="1:1" x14ac:dyDescent="0.25">
      <c r="A33" s="17"/>
    </row>
    <row r="34" spans="1:1" x14ac:dyDescent="0.25">
      <c r="A34" s="1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6"/>
  <dimension ref="A1:S34"/>
  <sheetViews>
    <sheetView workbookViewId="0">
      <selection activeCell="B11" sqref="B11:I11"/>
    </sheetView>
  </sheetViews>
  <sheetFormatPr defaultRowHeight="15" x14ac:dyDescent="0.25"/>
  <cols>
    <col min="1" max="1" width="19.5703125" customWidth="1"/>
    <col min="11" max="11" width="12.5703125" customWidth="1"/>
  </cols>
  <sheetData>
    <row r="1" spans="1:19" ht="17.25" x14ac:dyDescent="0.25">
      <c r="A1" s="2" t="s">
        <v>12</v>
      </c>
      <c r="B1" s="36">
        <v>2006</v>
      </c>
      <c r="C1" s="36">
        <v>2007</v>
      </c>
      <c r="D1" s="36">
        <v>2008</v>
      </c>
      <c r="E1" s="36">
        <v>2009</v>
      </c>
      <c r="F1" s="36">
        <v>2010</v>
      </c>
      <c r="G1" s="36">
        <v>2011</v>
      </c>
      <c r="H1" s="36">
        <v>2012</v>
      </c>
      <c r="I1" s="36">
        <v>2013</v>
      </c>
      <c r="K1" s="5"/>
      <c r="L1" s="36">
        <v>2006</v>
      </c>
      <c r="M1" s="36">
        <v>2007</v>
      </c>
      <c r="N1" s="36">
        <v>2008</v>
      </c>
      <c r="O1" s="36">
        <v>2009</v>
      </c>
      <c r="P1" s="36">
        <v>2010</v>
      </c>
      <c r="Q1" s="36">
        <v>2011</v>
      </c>
      <c r="R1" s="36">
        <v>2012</v>
      </c>
      <c r="S1" s="36">
        <v>2013</v>
      </c>
    </row>
    <row r="2" spans="1:19" ht="15.75" x14ac:dyDescent="0.25">
      <c r="A2" s="3" t="s">
        <v>24</v>
      </c>
      <c r="K2" s="4" t="s">
        <v>33</v>
      </c>
      <c r="L2">
        <v>71307</v>
      </c>
      <c r="M2">
        <v>78941</v>
      </c>
      <c r="N2">
        <v>86869</v>
      </c>
      <c r="O2">
        <v>83765</v>
      </c>
      <c r="P2">
        <v>77712</v>
      </c>
      <c r="Q2">
        <v>82770</v>
      </c>
      <c r="R2">
        <v>69715</v>
      </c>
      <c r="S2">
        <v>87532</v>
      </c>
    </row>
    <row r="3" spans="1:19" x14ac:dyDescent="0.25">
      <c r="A3" s="4" t="s">
        <v>10</v>
      </c>
      <c r="B3" s="9">
        <f>LN(L2)</f>
        <v>11.174749778301461</v>
      </c>
      <c r="C3" s="9">
        <f t="shared" ref="C3:I3" si="0">LN(M2)</f>
        <v>11.2764560169856</v>
      </c>
      <c r="D3" s="9">
        <f t="shared" si="0"/>
        <v>11.372156515733812</v>
      </c>
      <c r="E3" s="9">
        <f t="shared" si="0"/>
        <v>11.335770538127633</v>
      </c>
      <c r="F3" s="9">
        <f t="shared" si="0"/>
        <v>11.260764964585526</v>
      </c>
      <c r="G3" s="9">
        <f t="shared" si="0"/>
        <v>11.323820955879441</v>
      </c>
      <c r="H3" s="9">
        <f t="shared" si="0"/>
        <v>11.152170781629122</v>
      </c>
      <c r="I3" s="9">
        <f t="shared" si="0"/>
        <v>11.379759719774251</v>
      </c>
      <c r="K3" s="4" t="s">
        <v>27</v>
      </c>
      <c r="L3">
        <v>94587</v>
      </c>
      <c r="M3">
        <v>102139</v>
      </c>
      <c r="N3">
        <v>109234</v>
      </c>
      <c r="O3">
        <v>111826</v>
      </c>
      <c r="P3">
        <v>93972</v>
      </c>
      <c r="Q3">
        <v>88219</v>
      </c>
      <c r="R3">
        <v>98290</v>
      </c>
      <c r="S3">
        <v>102921</v>
      </c>
    </row>
    <row r="4" spans="1:19" x14ac:dyDescent="0.25">
      <c r="A4" s="4" t="s">
        <v>13</v>
      </c>
      <c r="B4">
        <v>125603</v>
      </c>
      <c r="C4">
        <v>138781</v>
      </c>
      <c r="D4">
        <v>143674</v>
      </c>
      <c r="E4">
        <v>139124</v>
      </c>
      <c r="F4">
        <v>122224</v>
      </c>
      <c r="G4">
        <v>118734</v>
      </c>
      <c r="H4">
        <v>129350</v>
      </c>
      <c r="I4">
        <v>136488</v>
      </c>
      <c r="K4" s="4" t="s">
        <v>28</v>
      </c>
      <c r="L4">
        <v>19337</v>
      </c>
      <c r="M4">
        <v>20724</v>
      </c>
      <c r="N4">
        <v>18553</v>
      </c>
      <c r="O4">
        <v>20167</v>
      </c>
      <c r="P4">
        <v>20792</v>
      </c>
      <c r="Q4">
        <v>19583</v>
      </c>
      <c r="R4">
        <v>19353</v>
      </c>
      <c r="S4">
        <v>21339</v>
      </c>
    </row>
    <row r="5" spans="1:19" x14ac:dyDescent="0.25">
      <c r="A5" s="4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4" t="s">
        <v>53</v>
      </c>
      <c r="L5">
        <v>10970</v>
      </c>
      <c r="M5">
        <v>14209</v>
      </c>
      <c r="N5">
        <v>7881</v>
      </c>
      <c r="O5">
        <v>9409</v>
      </c>
      <c r="P5">
        <v>6654</v>
      </c>
      <c r="Q5">
        <v>5309</v>
      </c>
      <c r="R5">
        <v>5770</v>
      </c>
      <c r="S5">
        <v>7271</v>
      </c>
    </row>
    <row r="6" spans="1:19" x14ac:dyDescent="0.25">
      <c r="A6" s="4" t="s">
        <v>11</v>
      </c>
      <c r="B6" s="9">
        <f>L3/B4</f>
        <v>0.7530632230121892</v>
      </c>
      <c r="C6" s="9">
        <f t="shared" ref="C6:I6" si="1">M3/C4</f>
        <v>0.73597250344067267</v>
      </c>
      <c r="D6" s="9">
        <f t="shared" si="1"/>
        <v>0.76029065801745621</v>
      </c>
      <c r="E6" s="9">
        <f t="shared" si="1"/>
        <v>0.80378655012794342</v>
      </c>
      <c r="F6" s="9">
        <f t="shared" si="1"/>
        <v>0.76885063489985606</v>
      </c>
      <c r="G6" s="9">
        <f t="shared" si="1"/>
        <v>0.74299695116815745</v>
      </c>
      <c r="H6" s="9">
        <f t="shared" si="1"/>
        <v>0.75987630459992273</v>
      </c>
      <c r="I6" s="9">
        <f t="shared" si="1"/>
        <v>0.75406629154211358</v>
      </c>
      <c r="K6" s="21" t="s">
        <v>62</v>
      </c>
      <c r="L6">
        <v>4939</v>
      </c>
      <c r="M6">
        <v>5234</v>
      </c>
      <c r="N6">
        <v>6204</v>
      </c>
      <c r="O6">
        <v>11456</v>
      </c>
      <c r="P6">
        <v>12133</v>
      </c>
      <c r="Q6">
        <v>10796</v>
      </c>
      <c r="R6">
        <v>9785</v>
      </c>
      <c r="S6">
        <v>6698</v>
      </c>
    </row>
    <row r="7" spans="1:19" ht="15.75" x14ac:dyDescent="0.25">
      <c r="A7" s="3" t="s">
        <v>21</v>
      </c>
      <c r="K7" s="4" t="s">
        <v>30</v>
      </c>
      <c r="L7">
        <v>72</v>
      </c>
      <c r="M7">
        <v>75</v>
      </c>
      <c r="N7">
        <v>70</v>
      </c>
      <c r="O7">
        <v>58</v>
      </c>
      <c r="P7">
        <v>43</v>
      </c>
      <c r="Q7">
        <v>42</v>
      </c>
      <c r="R7">
        <v>114</v>
      </c>
      <c r="S7">
        <v>210</v>
      </c>
    </row>
    <row r="8" spans="1:19" x14ac:dyDescent="0.25">
      <c r="A8" s="4" t="s">
        <v>8</v>
      </c>
      <c r="B8" s="9">
        <f>(L2+L14-L4)/L2</f>
        <v>1.5211690296885299</v>
      </c>
      <c r="C8" s="9">
        <f t="shared" ref="C8:I8" si="2">(M2+M14-M4)/M2</f>
        <v>1.3847937066923399</v>
      </c>
      <c r="D8" s="9">
        <f t="shared" si="2"/>
        <v>1.1570986197607893</v>
      </c>
      <c r="E8" s="9">
        <f t="shared" si="2"/>
        <v>1.3585387691756701</v>
      </c>
      <c r="F8" s="9">
        <f t="shared" si="2"/>
        <v>1.4376158122297715</v>
      </c>
      <c r="G8" s="9">
        <f t="shared" si="2"/>
        <v>1.3300350368490998</v>
      </c>
      <c r="H8" s="9">
        <f t="shared" si="2"/>
        <v>1.3492361758588538</v>
      </c>
      <c r="I8" s="9">
        <f t="shared" si="2"/>
        <v>1.3731321116848696</v>
      </c>
      <c r="K8" s="4" t="s">
        <v>34</v>
      </c>
      <c r="L8">
        <v>15441</v>
      </c>
      <c r="M8">
        <v>19415</v>
      </c>
      <c r="N8">
        <v>13454</v>
      </c>
      <c r="O8">
        <v>15770</v>
      </c>
      <c r="P8">
        <v>14845</v>
      </c>
      <c r="Q8">
        <v>13510</v>
      </c>
      <c r="R8">
        <v>13212</v>
      </c>
      <c r="S8">
        <v>14965</v>
      </c>
    </row>
    <row r="9" spans="1:19" x14ac:dyDescent="0.25">
      <c r="A9" s="4" t="s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K9" s="4" t="s">
        <v>31</v>
      </c>
      <c r="L9">
        <v>2014</v>
      </c>
      <c r="M9">
        <v>1966</v>
      </c>
      <c r="N9">
        <v>2536</v>
      </c>
      <c r="O9">
        <v>1718</v>
      </c>
      <c r="P9">
        <v>2020</v>
      </c>
      <c r="Q9">
        <v>2206</v>
      </c>
      <c r="R9">
        <v>2568</v>
      </c>
      <c r="S9">
        <v>2190</v>
      </c>
    </row>
    <row r="10" spans="1:19" x14ac:dyDescent="0.25">
      <c r="A10" s="4" t="s">
        <v>5</v>
      </c>
      <c r="B10">
        <v>4939</v>
      </c>
      <c r="C10">
        <v>5234</v>
      </c>
      <c r="D10">
        <v>6204</v>
      </c>
      <c r="E10">
        <v>11456</v>
      </c>
      <c r="F10">
        <v>12133</v>
      </c>
      <c r="G10">
        <v>10796</v>
      </c>
      <c r="H10">
        <v>9785</v>
      </c>
      <c r="I10">
        <v>6698</v>
      </c>
      <c r="K10" s="4" t="s">
        <v>32</v>
      </c>
      <c r="L10">
        <v>3655</v>
      </c>
      <c r="M10">
        <v>4121</v>
      </c>
      <c r="N10">
        <v>3157</v>
      </c>
      <c r="O10">
        <v>4221</v>
      </c>
      <c r="P10">
        <v>4028</v>
      </c>
      <c r="Q10">
        <v>7595</v>
      </c>
      <c r="R10">
        <v>2861</v>
      </c>
      <c r="S10">
        <v>3769</v>
      </c>
    </row>
    <row r="11" spans="1:19" x14ac:dyDescent="0.25">
      <c r="A11" s="4" t="s">
        <v>7</v>
      </c>
      <c r="B11" s="9">
        <f>B10/B4</f>
        <v>3.9322309180513201E-2</v>
      </c>
      <c r="C11" s="9">
        <f t="shared" ref="C11:I11" si="3">C10/C4</f>
        <v>3.7714096310013621E-2</v>
      </c>
      <c r="D11" s="9">
        <f t="shared" si="3"/>
        <v>4.3181090524381585E-2</v>
      </c>
      <c r="E11" s="9">
        <f t="shared" si="3"/>
        <v>8.2343808401138557E-2</v>
      </c>
      <c r="F11" s="9">
        <f t="shared" si="3"/>
        <v>9.9268556093729546E-2</v>
      </c>
      <c r="G11" s="9">
        <f t="shared" si="3"/>
        <v>9.0925935283911935E-2</v>
      </c>
      <c r="H11" s="9">
        <f t="shared" si="3"/>
        <v>7.5647468109779667E-2</v>
      </c>
      <c r="I11" s="9">
        <f t="shared" si="3"/>
        <v>4.907391125959791E-2</v>
      </c>
      <c r="K11" s="4" t="s">
        <v>54</v>
      </c>
      <c r="L11">
        <v>45364</v>
      </c>
      <c r="M11">
        <v>53948</v>
      </c>
      <c r="N11">
        <v>62425</v>
      </c>
      <c r="O11">
        <v>57879</v>
      </c>
      <c r="P11">
        <v>52932</v>
      </c>
      <c r="Q11">
        <v>57151</v>
      </c>
      <c r="R11">
        <v>59385</v>
      </c>
      <c r="S11">
        <v>55273</v>
      </c>
    </row>
    <row r="12" spans="1:19" ht="15.75" x14ac:dyDescent="0.25">
      <c r="A12" s="3" t="s">
        <v>0</v>
      </c>
      <c r="K12" s="4" t="s">
        <v>51</v>
      </c>
      <c r="S12" s="9"/>
    </row>
    <row r="13" spans="1:19" x14ac:dyDescent="0.25">
      <c r="A13" s="4" t="s">
        <v>16</v>
      </c>
      <c r="B13" s="23">
        <f>L7/B4</f>
        <v>5.7323471573131216E-4</v>
      </c>
      <c r="C13" s="23">
        <f t="shared" ref="C13:I13" si="4">M7/C4</f>
        <v>5.4041979809916346E-4</v>
      </c>
      <c r="D13" s="23">
        <f t="shared" si="4"/>
        <v>4.8721410972061749E-4</v>
      </c>
      <c r="E13" s="23">
        <f t="shared" si="4"/>
        <v>4.1689428136051291E-4</v>
      </c>
      <c r="F13" s="23">
        <f t="shared" si="4"/>
        <v>3.5181306453724309E-4</v>
      </c>
      <c r="G13" s="23">
        <f t="shared" si="4"/>
        <v>3.5373187124159886E-4</v>
      </c>
      <c r="H13" s="23">
        <f t="shared" si="4"/>
        <v>8.8132972555083104E-4</v>
      </c>
      <c r="I13" s="23">
        <f t="shared" si="4"/>
        <v>1.5385967997186567E-3</v>
      </c>
      <c r="K13" s="4" t="s">
        <v>52</v>
      </c>
      <c r="S13" s="9"/>
    </row>
    <row r="14" spans="1:19" x14ac:dyDescent="0.25">
      <c r="A14" s="4" t="s">
        <v>14</v>
      </c>
      <c r="B14" s="9">
        <f>L8/L4</f>
        <v>0.79852097016083157</v>
      </c>
      <c r="C14" s="9">
        <f t="shared" ref="C14:I14" si="5">M8/M4</f>
        <v>0.93683651804670909</v>
      </c>
      <c r="D14" s="9">
        <f t="shared" si="5"/>
        <v>0.72516574138953271</v>
      </c>
      <c r="E14" s="9">
        <f t="shared" si="5"/>
        <v>0.78197054594138937</v>
      </c>
      <c r="F14" s="9">
        <f t="shared" si="5"/>
        <v>0.71397652943439782</v>
      </c>
      <c r="G14" s="9">
        <f t="shared" si="5"/>
        <v>0.68988408313332994</v>
      </c>
      <c r="H14" s="9">
        <f t="shared" si="5"/>
        <v>0.68268485506123078</v>
      </c>
      <c r="I14" s="9">
        <f t="shared" si="5"/>
        <v>0.70129809269412813</v>
      </c>
      <c r="K14" s="4" t="s">
        <v>29</v>
      </c>
      <c r="L14">
        <v>56500</v>
      </c>
      <c r="M14">
        <v>51100</v>
      </c>
      <c r="N14">
        <v>32200</v>
      </c>
      <c r="O14">
        <v>50200</v>
      </c>
      <c r="P14">
        <v>54800</v>
      </c>
      <c r="Q14">
        <v>46900</v>
      </c>
      <c r="R14">
        <v>43700</v>
      </c>
      <c r="S14">
        <v>54000</v>
      </c>
    </row>
    <row r="15" spans="1:19" x14ac:dyDescent="0.25">
      <c r="A15" s="4" t="s">
        <v>40</v>
      </c>
      <c r="B15" s="9">
        <f>L5/L11</f>
        <v>0.24182170884401727</v>
      </c>
      <c r="C15" s="9">
        <f t="shared" ref="C15:I15" si="6">M5/M11</f>
        <v>0.26338325795210205</v>
      </c>
      <c r="D15" s="9">
        <f t="shared" si="6"/>
        <v>0.12624749699639568</v>
      </c>
      <c r="E15" s="9">
        <f t="shared" si="6"/>
        <v>0.16256327856390054</v>
      </c>
      <c r="F15" s="9">
        <f t="shared" si="6"/>
        <v>0.12570845613239628</v>
      </c>
      <c r="G15" s="9">
        <f t="shared" si="6"/>
        <v>9.2894262567584124E-2</v>
      </c>
      <c r="H15" s="9">
        <f t="shared" si="6"/>
        <v>9.7162583143891548E-2</v>
      </c>
      <c r="I15" s="9">
        <f t="shared" si="6"/>
        <v>0.13154704828759067</v>
      </c>
      <c r="S15" s="9"/>
    </row>
    <row r="16" spans="1:19" x14ac:dyDescent="0.25">
      <c r="A16" s="4" t="s">
        <v>15</v>
      </c>
      <c r="B16" s="8">
        <f>L9/B4</f>
        <v>1.6034648853928649E-2</v>
      </c>
      <c r="C16" s="8">
        <f t="shared" ref="C16:I16" si="7">M9/C4</f>
        <v>1.4166204307506071E-2</v>
      </c>
      <c r="D16" s="8">
        <f t="shared" si="7"/>
        <v>1.7651071175021227E-2</v>
      </c>
      <c r="E16" s="8">
        <f t="shared" si="7"/>
        <v>1.2348696127195883E-2</v>
      </c>
      <c r="F16" s="8">
        <f t="shared" si="7"/>
        <v>1.652703233407514E-2</v>
      </c>
      <c r="G16" s="8">
        <f t="shared" si="7"/>
        <v>1.8579345427594453E-2</v>
      </c>
      <c r="H16" s="8">
        <f t="shared" si="7"/>
        <v>1.9853111712408195E-2</v>
      </c>
      <c r="I16" s="8">
        <f t="shared" si="7"/>
        <v>1.6045366625637419E-2</v>
      </c>
    </row>
    <row r="17" spans="1:9" x14ac:dyDescent="0.25">
      <c r="A17" s="4" t="s">
        <v>9</v>
      </c>
      <c r="B17" s="8">
        <f>L10/L2</f>
        <v>5.1257239822177343E-2</v>
      </c>
      <c r="C17" s="8">
        <f t="shared" ref="C17:I17" si="8">M10/M2</f>
        <v>5.220354441924982E-2</v>
      </c>
      <c r="D17" s="8">
        <f t="shared" si="8"/>
        <v>3.6342078301810771E-2</v>
      </c>
      <c r="E17" s="8">
        <f t="shared" si="8"/>
        <v>5.03909747507909E-2</v>
      </c>
      <c r="F17" s="8">
        <f t="shared" si="8"/>
        <v>5.1832406835495164E-2</v>
      </c>
      <c r="G17" s="8">
        <f t="shared" si="8"/>
        <v>9.1760299625468167E-2</v>
      </c>
      <c r="H17" s="8">
        <f t="shared" si="8"/>
        <v>4.1038513949652154E-2</v>
      </c>
      <c r="I17" s="8">
        <f t="shared" si="8"/>
        <v>4.3058538591600783E-2</v>
      </c>
    </row>
    <row r="18" spans="1:9" x14ac:dyDescent="0.25">
      <c r="A18" s="4" t="s">
        <v>44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s="4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t="s">
        <v>57</v>
      </c>
      <c r="B20">
        <v>756</v>
      </c>
      <c r="C20">
        <v>-1345</v>
      </c>
      <c r="D20">
        <v>-456</v>
      </c>
      <c r="E20">
        <v>-391</v>
      </c>
      <c r="F20">
        <v>490</v>
      </c>
      <c r="G20">
        <v>-1220</v>
      </c>
      <c r="H20">
        <v>78</v>
      </c>
      <c r="I20">
        <v>727</v>
      </c>
    </row>
    <row r="21" spans="1:9" x14ac:dyDescent="0.25">
      <c r="A21" s="17" t="s">
        <v>58</v>
      </c>
      <c r="B21">
        <v>1</v>
      </c>
      <c r="C21">
        <v>0</v>
      </c>
      <c r="D21">
        <v>0</v>
      </c>
      <c r="E21">
        <v>0</v>
      </c>
      <c r="F21">
        <v>1</v>
      </c>
      <c r="G21">
        <v>0</v>
      </c>
      <c r="H21">
        <v>1</v>
      </c>
      <c r="I21">
        <v>1</v>
      </c>
    </row>
    <row r="22" spans="1:9" x14ac:dyDescent="0.25">
      <c r="A22" s="17"/>
    </row>
    <row r="23" spans="1:9" x14ac:dyDescent="0.25">
      <c r="A23" s="17"/>
    </row>
    <row r="24" spans="1:9" x14ac:dyDescent="0.25">
      <c r="A24" s="17"/>
    </row>
    <row r="25" spans="1:9" x14ac:dyDescent="0.25">
      <c r="A25" s="18"/>
    </row>
    <row r="26" spans="1:9" x14ac:dyDescent="0.25">
      <c r="A26" s="17"/>
    </row>
    <row r="27" spans="1:9" x14ac:dyDescent="0.25">
      <c r="A27" s="17"/>
    </row>
    <row r="28" spans="1:9" x14ac:dyDescent="0.25">
      <c r="A28" s="17"/>
    </row>
    <row r="29" spans="1:9" x14ac:dyDescent="0.25">
      <c r="A29" s="17"/>
    </row>
    <row r="30" spans="1:9" x14ac:dyDescent="0.25">
      <c r="A30" s="17"/>
    </row>
    <row r="31" spans="1:9" x14ac:dyDescent="0.25">
      <c r="A31" s="17"/>
    </row>
    <row r="32" spans="1:9" x14ac:dyDescent="0.25">
      <c r="A32" s="17"/>
    </row>
    <row r="33" spans="1:1" x14ac:dyDescent="0.25">
      <c r="A33" s="17"/>
    </row>
    <row r="34" spans="1:1" x14ac:dyDescent="0.25">
      <c r="A34" s="1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7"/>
  <dimension ref="A1:S34"/>
  <sheetViews>
    <sheetView workbookViewId="0">
      <selection activeCell="B11" sqref="B11:I11"/>
    </sheetView>
  </sheetViews>
  <sheetFormatPr defaultRowHeight="15" x14ac:dyDescent="0.25"/>
  <cols>
    <col min="1" max="1" width="19.5703125" customWidth="1"/>
    <col min="11" max="11" width="12.5703125" customWidth="1"/>
  </cols>
  <sheetData>
    <row r="1" spans="1:19" ht="17.25" x14ac:dyDescent="0.25">
      <c r="A1" s="2" t="s">
        <v>12</v>
      </c>
      <c r="B1" s="36">
        <v>2006</v>
      </c>
      <c r="C1" s="36">
        <v>2007</v>
      </c>
      <c r="D1" s="36">
        <v>2008</v>
      </c>
      <c r="E1" s="36">
        <v>2009</v>
      </c>
      <c r="F1" s="36">
        <v>2010</v>
      </c>
      <c r="G1" s="36">
        <v>2011</v>
      </c>
      <c r="H1" s="36">
        <v>2012</v>
      </c>
      <c r="I1" s="36">
        <v>2013</v>
      </c>
      <c r="K1" s="5"/>
      <c r="L1" s="36">
        <v>2006</v>
      </c>
      <c r="M1" s="36">
        <v>2007</v>
      </c>
      <c r="N1" s="36">
        <v>2008</v>
      </c>
      <c r="O1" s="36">
        <v>2009</v>
      </c>
      <c r="P1" s="36">
        <v>2010</v>
      </c>
      <c r="Q1" s="36">
        <v>2011</v>
      </c>
      <c r="R1" s="36">
        <v>2012</v>
      </c>
      <c r="S1" s="36">
        <v>2013</v>
      </c>
    </row>
    <row r="2" spans="1:19" ht="15.75" x14ac:dyDescent="0.25">
      <c r="A2" s="3" t="s">
        <v>24</v>
      </c>
      <c r="K2" s="4" t="s">
        <v>33</v>
      </c>
      <c r="L2">
        <v>46638</v>
      </c>
      <c r="M2">
        <v>47102</v>
      </c>
      <c r="N2">
        <v>56100</v>
      </c>
      <c r="O2">
        <v>51015</v>
      </c>
      <c r="P2">
        <v>54401</v>
      </c>
      <c r="Q2">
        <v>59374</v>
      </c>
      <c r="R2">
        <v>60757</v>
      </c>
      <c r="S2">
        <v>70991</v>
      </c>
    </row>
    <row r="3" spans="1:19" x14ac:dyDescent="0.25">
      <c r="A3" s="4" t="s">
        <v>10</v>
      </c>
      <c r="B3" s="9">
        <f>LN(L2)</f>
        <v>10.750170938458275</v>
      </c>
      <c r="C3" s="9">
        <f t="shared" ref="C3:I3" si="0">LN(M2)</f>
        <v>10.760070741947999</v>
      </c>
      <c r="D3" s="9">
        <f t="shared" si="0"/>
        <v>10.934891091510787</v>
      </c>
      <c r="E3" s="9">
        <f t="shared" si="0"/>
        <v>10.839874986109406</v>
      </c>
      <c r="F3" s="9">
        <f t="shared" si="0"/>
        <v>10.904137815028022</v>
      </c>
      <c r="G3" s="9">
        <f t="shared" si="0"/>
        <v>10.99161169908985</v>
      </c>
      <c r="H3" s="9">
        <f t="shared" si="0"/>
        <v>11.0146375809022</v>
      </c>
      <c r="I3" s="9">
        <f t="shared" si="0"/>
        <v>11.170308387425273</v>
      </c>
      <c r="K3" s="4" t="s">
        <v>27</v>
      </c>
      <c r="L3">
        <v>51999</v>
      </c>
      <c r="M3">
        <v>55637</v>
      </c>
      <c r="N3">
        <v>61152</v>
      </c>
      <c r="O3">
        <v>54648</v>
      </c>
      <c r="P3">
        <v>59129</v>
      </c>
      <c r="Q3">
        <v>64064</v>
      </c>
      <c r="R3">
        <v>62852</v>
      </c>
      <c r="S3">
        <v>61845</v>
      </c>
    </row>
    <row r="4" spans="1:19" x14ac:dyDescent="0.25">
      <c r="A4" s="4" t="s">
        <v>13</v>
      </c>
      <c r="B4">
        <v>53101</v>
      </c>
      <c r="C4">
        <v>58559</v>
      </c>
      <c r="D4">
        <v>63361</v>
      </c>
      <c r="E4">
        <v>56227</v>
      </c>
      <c r="F4">
        <v>61029</v>
      </c>
      <c r="G4">
        <v>66216</v>
      </c>
      <c r="H4">
        <v>64575</v>
      </c>
      <c r="I4">
        <v>63597</v>
      </c>
      <c r="K4" s="4" t="s">
        <v>28</v>
      </c>
      <c r="L4">
        <v>19706</v>
      </c>
      <c r="M4">
        <v>19009</v>
      </c>
      <c r="N4">
        <v>19689</v>
      </c>
      <c r="O4">
        <v>18280</v>
      </c>
      <c r="P4">
        <v>19894</v>
      </c>
      <c r="Q4">
        <v>22455</v>
      </c>
      <c r="R4">
        <v>22468</v>
      </c>
      <c r="S4">
        <v>21152</v>
      </c>
    </row>
    <row r="5" spans="1:19" x14ac:dyDescent="0.25">
      <c r="A5" s="4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4" t="s">
        <v>53</v>
      </c>
      <c r="L5">
        <v>7242</v>
      </c>
      <c r="M5">
        <v>2946</v>
      </c>
      <c r="N5">
        <v>2793</v>
      </c>
      <c r="O5">
        <v>4430</v>
      </c>
      <c r="P5">
        <v>2395</v>
      </c>
      <c r="Q5">
        <v>4825</v>
      </c>
      <c r="R5">
        <v>8244</v>
      </c>
      <c r="S5">
        <v>5369</v>
      </c>
    </row>
    <row r="6" spans="1:19" x14ac:dyDescent="0.25">
      <c r="A6" s="4" t="s">
        <v>11</v>
      </c>
      <c r="B6" s="8">
        <f>L3/B4</f>
        <v>0.97924709515828323</v>
      </c>
      <c r="C6" s="8">
        <f t="shared" ref="C6:I6" si="1">M3/C4</f>
        <v>0.95010160692634782</v>
      </c>
      <c r="D6" s="8">
        <f t="shared" si="1"/>
        <v>0.9651362825712978</v>
      </c>
      <c r="E6" s="8">
        <f t="shared" si="1"/>
        <v>0.97191740622832445</v>
      </c>
      <c r="F6" s="8">
        <f t="shared" si="1"/>
        <v>0.96886725982729527</v>
      </c>
      <c r="G6" s="8">
        <f t="shared" si="1"/>
        <v>0.9675003020418026</v>
      </c>
      <c r="H6" s="8">
        <f t="shared" si="1"/>
        <v>0.97331784746418892</v>
      </c>
      <c r="I6" s="8">
        <f t="shared" si="1"/>
        <v>0.97245153073258173</v>
      </c>
      <c r="K6" s="21" t="s">
        <v>62</v>
      </c>
      <c r="L6">
        <v>5190</v>
      </c>
      <c r="M6">
        <v>6100</v>
      </c>
      <c r="N6">
        <v>4890</v>
      </c>
      <c r="O6">
        <v>5044</v>
      </c>
      <c r="P6">
        <v>8932</v>
      </c>
      <c r="Q6">
        <v>8744</v>
      </c>
      <c r="R6">
        <v>8015</v>
      </c>
      <c r="S6">
        <v>7821</v>
      </c>
    </row>
    <row r="7" spans="1:19" ht="15.75" x14ac:dyDescent="0.25">
      <c r="A7" s="3" t="s">
        <v>21</v>
      </c>
      <c r="K7" s="4" t="s">
        <v>30</v>
      </c>
      <c r="L7">
        <v>875</v>
      </c>
      <c r="M7">
        <v>900</v>
      </c>
      <c r="N7">
        <v>1175</v>
      </c>
      <c r="O7">
        <v>1217</v>
      </c>
      <c r="P7">
        <v>1184</v>
      </c>
      <c r="Q7">
        <v>1481</v>
      </c>
      <c r="R7">
        <v>1607</v>
      </c>
      <c r="S7">
        <v>1840</v>
      </c>
    </row>
    <row r="8" spans="1:19" x14ac:dyDescent="0.25">
      <c r="A8" s="4" t="s">
        <v>8</v>
      </c>
      <c r="B8" s="9">
        <f>(L2+L14-L4)/L2</f>
        <v>1.6827708306531153</v>
      </c>
      <c r="C8" s="9">
        <f t="shared" ref="C8:I8" si="2">(M2+M14-M4)/M2</f>
        <v>1.6093560146065986</v>
      </c>
      <c r="D8" s="9">
        <f t="shared" si="2"/>
        <v>1.2759879679144386</v>
      </c>
      <c r="E8" s="9">
        <f t="shared" si="2"/>
        <v>1.7447825149465843</v>
      </c>
      <c r="F8" s="9">
        <f t="shared" si="2"/>
        <v>2.2378720979393756</v>
      </c>
      <c r="G8" s="9">
        <f t="shared" si="2"/>
        <v>1.7383144137164415</v>
      </c>
      <c r="H8" s="9">
        <f t="shared" si="2"/>
        <v>1.8531849828003357</v>
      </c>
      <c r="I8" s="9">
        <f t="shared" si="2"/>
        <v>1.7840023383245762</v>
      </c>
      <c r="K8" s="4" t="s">
        <v>34</v>
      </c>
      <c r="L8">
        <v>12754</v>
      </c>
      <c r="M8">
        <v>13015</v>
      </c>
      <c r="N8">
        <v>18549</v>
      </c>
      <c r="O8">
        <v>14994</v>
      </c>
      <c r="P8">
        <v>16651</v>
      </c>
      <c r="Q8">
        <v>18311</v>
      </c>
      <c r="R8">
        <v>19864</v>
      </c>
      <c r="S8">
        <v>26084</v>
      </c>
    </row>
    <row r="9" spans="1:19" x14ac:dyDescent="0.25">
      <c r="A9" s="4" t="s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K9" s="4" t="s">
        <v>31</v>
      </c>
      <c r="L9">
        <v>1933</v>
      </c>
      <c r="M9">
        <v>1907</v>
      </c>
      <c r="N9">
        <v>2531</v>
      </c>
      <c r="O9">
        <v>1975</v>
      </c>
      <c r="P9">
        <v>1651</v>
      </c>
      <c r="Q9">
        <v>1839</v>
      </c>
      <c r="R9">
        <v>1968</v>
      </c>
      <c r="S9">
        <v>1746</v>
      </c>
    </row>
    <row r="10" spans="1:19" x14ac:dyDescent="0.25">
      <c r="A10" s="4" t="s">
        <v>5</v>
      </c>
      <c r="B10">
        <v>5190</v>
      </c>
      <c r="C10">
        <v>6100</v>
      </c>
      <c r="D10">
        <v>4890</v>
      </c>
      <c r="E10">
        <v>5044</v>
      </c>
      <c r="F10">
        <v>8932</v>
      </c>
      <c r="G10">
        <v>8744</v>
      </c>
      <c r="H10">
        <v>8015</v>
      </c>
      <c r="I10">
        <v>7821</v>
      </c>
      <c r="K10" s="4" t="s">
        <v>32</v>
      </c>
      <c r="L10">
        <v>4432</v>
      </c>
      <c r="M10">
        <v>4767</v>
      </c>
      <c r="N10">
        <v>4741</v>
      </c>
      <c r="O10">
        <v>1705</v>
      </c>
      <c r="P10">
        <v>5296</v>
      </c>
      <c r="Q10">
        <v>6224</v>
      </c>
      <c r="R10">
        <v>4816</v>
      </c>
      <c r="S10">
        <v>1044</v>
      </c>
    </row>
    <row r="11" spans="1:19" x14ac:dyDescent="0.25">
      <c r="A11" s="4" t="s">
        <v>7</v>
      </c>
      <c r="B11" s="9">
        <f>B10/B4</f>
        <v>9.7738272348919977E-2</v>
      </c>
      <c r="C11" s="9">
        <f t="shared" ref="C11:I11" si="3">C10/C4</f>
        <v>0.10416844549941084</v>
      </c>
      <c r="D11" s="9">
        <f t="shared" si="3"/>
        <v>7.717681223465539E-2</v>
      </c>
      <c r="E11" s="9">
        <f t="shared" si="3"/>
        <v>8.9707791630355527E-2</v>
      </c>
      <c r="F11" s="9">
        <f t="shared" si="3"/>
        <v>0.14635665011715743</v>
      </c>
      <c r="G11" s="9">
        <f t="shared" si="3"/>
        <v>0.13205267609037091</v>
      </c>
      <c r="H11" s="9">
        <f t="shared" si="3"/>
        <v>0.12411924119241192</v>
      </c>
      <c r="I11" s="9">
        <f t="shared" si="3"/>
        <v>0.12297749893862918</v>
      </c>
      <c r="K11" s="4" t="s">
        <v>54</v>
      </c>
      <c r="L11">
        <v>12045</v>
      </c>
      <c r="M11">
        <v>12832</v>
      </c>
      <c r="N11">
        <v>14298</v>
      </c>
      <c r="O11">
        <v>14375</v>
      </c>
      <c r="P11">
        <v>13633</v>
      </c>
      <c r="Q11">
        <v>13245</v>
      </c>
      <c r="R11">
        <v>13903</v>
      </c>
      <c r="S11">
        <v>16741</v>
      </c>
    </row>
    <row r="12" spans="1:19" ht="15.75" x14ac:dyDescent="0.25">
      <c r="A12" s="3" t="s">
        <v>0</v>
      </c>
      <c r="K12" s="4" t="s">
        <v>51</v>
      </c>
      <c r="L12">
        <v>455.3</v>
      </c>
      <c r="M12">
        <v>455.3</v>
      </c>
      <c r="N12">
        <v>455.3</v>
      </c>
      <c r="O12">
        <v>455.3</v>
      </c>
      <c r="P12">
        <v>455.3</v>
      </c>
      <c r="Q12">
        <v>455.3</v>
      </c>
      <c r="R12">
        <v>455.3</v>
      </c>
      <c r="S12">
        <v>455.3</v>
      </c>
    </row>
    <row r="13" spans="1:19" x14ac:dyDescent="0.25">
      <c r="A13" s="4" t="s">
        <v>16</v>
      </c>
      <c r="B13" s="8">
        <f>L7/B4</f>
        <v>1.647803242876782E-2</v>
      </c>
      <c r="C13" s="8">
        <f t="shared" ref="C13:I13" si="4">M7/C4</f>
        <v>1.5369114909749142E-2</v>
      </c>
      <c r="D13" s="8">
        <f t="shared" si="4"/>
        <v>1.8544530547182022E-2</v>
      </c>
      <c r="E13" s="8">
        <f t="shared" si="4"/>
        <v>2.1644405712558025E-2</v>
      </c>
      <c r="F13" s="8">
        <f t="shared" si="4"/>
        <v>1.9400612823411819E-2</v>
      </c>
      <c r="G13" s="8">
        <f t="shared" si="4"/>
        <v>2.2366195481454635E-2</v>
      </c>
      <c r="H13" s="8">
        <f t="shared" si="4"/>
        <v>2.4885791715060009E-2</v>
      </c>
      <c r="I13" s="8">
        <f t="shared" si="4"/>
        <v>2.8932182335644763E-2</v>
      </c>
      <c r="K13" s="4" t="s">
        <v>52</v>
      </c>
      <c r="L13">
        <v>113.22</v>
      </c>
      <c r="M13">
        <v>104.79</v>
      </c>
      <c r="N13">
        <v>77.25</v>
      </c>
      <c r="O13">
        <v>123.6</v>
      </c>
      <c r="P13">
        <v>191.6</v>
      </c>
      <c r="Q13">
        <v>145.6</v>
      </c>
      <c r="R13">
        <v>163.19999999999999</v>
      </c>
      <c r="S13">
        <v>168.7</v>
      </c>
    </row>
    <row r="14" spans="1:19" x14ac:dyDescent="0.25">
      <c r="A14" s="4" t="s">
        <v>14</v>
      </c>
      <c r="B14" s="9">
        <f>L8/L4</f>
        <v>0.64721404648330461</v>
      </c>
      <c r="C14" s="9">
        <f t="shared" ref="C14:I14" si="5">M8/M4</f>
        <v>0.68467567994108058</v>
      </c>
      <c r="D14" s="9">
        <f t="shared" si="5"/>
        <v>0.9420996495505104</v>
      </c>
      <c r="E14" s="9">
        <f t="shared" si="5"/>
        <v>0.82024070021881834</v>
      </c>
      <c r="F14" s="9">
        <f t="shared" si="5"/>
        <v>0.83698602593746863</v>
      </c>
      <c r="G14" s="9">
        <f t="shared" si="5"/>
        <v>0.81545312847918061</v>
      </c>
      <c r="H14" s="9">
        <f t="shared" si="5"/>
        <v>0.88410183371906714</v>
      </c>
      <c r="I14" s="9">
        <f t="shared" si="5"/>
        <v>1.2331694402420574</v>
      </c>
      <c r="K14" s="4" t="s">
        <v>29</v>
      </c>
      <c r="L14" s="16">
        <f>L12*L13</f>
        <v>51549.065999999999</v>
      </c>
      <c r="M14" s="16">
        <f t="shared" ref="M14:S14" si="6">M12*M13</f>
        <v>47710.887000000002</v>
      </c>
      <c r="N14" s="16">
        <f t="shared" si="6"/>
        <v>35171.925000000003</v>
      </c>
      <c r="O14" s="16">
        <f t="shared" si="6"/>
        <v>56275.08</v>
      </c>
      <c r="P14" s="16">
        <f t="shared" si="6"/>
        <v>87235.48</v>
      </c>
      <c r="Q14" s="16">
        <f t="shared" si="6"/>
        <v>66291.679999999993</v>
      </c>
      <c r="R14" s="16">
        <f t="shared" si="6"/>
        <v>74304.959999999992</v>
      </c>
      <c r="S14" s="16">
        <f t="shared" si="6"/>
        <v>76809.11</v>
      </c>
    </row>
    <row r="15" spans="1:19" x14ac:dyDescent="0.25">
      <c r="A15" s="4" t="s">
        <v>40</v>
      </c>
      <c r="B15" s="9">
        <f>L5/L11</f>
        <v>0.60124533001245328</v>
      </c>
      <c r="C15" s="9">
        <f t="shared" ref="C15:I15" si="7">M5/M11</f>
        <v>0.22958229426433915</v>
      </c>
      <c r="D15" s="9">
        <f t="shared" si="7"/>
        <v>0.19534200587494754</v>
      </c>
      <c r="E15" s="9">
        <f t="shared" si="7"/>
        <v>0.30817391304347824</v>
      </c>
      <c r="F15" s="9">
        <f t="shared" si="7"/>
        <v>0.17567666691117143</v>
      </c>
      <c r="G15" s="9">
        <f t="shared" si="7"/>
        <v>0.3642884107210268</v>
      </c>
      <c r="H15" s="9">
        <f t="shared" si="7"/>
        <v>0.59296554700424364</v>
      </c>
      <c r="I15" s="9">
        <f t="shared" si="7"/>
        <v>0.32070963502777611</v>
      </c>
    </row>
    <row r="16" spans="1:19" x14ac:dyDescent="0.25">
      <c r="A16" s="4" t="s">
        <v>15</v>
      </c>
      <c r="B16" s="8">
        <f>L9/B4</f>
        <v>3.6402327639780796E-2</v>
      </c>
      <c r="C16" s="8">
        <f t="shared" ref="C16:I16" si="8">M9/C4</f>
        <v>3.2565446814324016E-2</v>
      </c>
      <c r="D16" s="8">
        <f t="shared" si="8"/>
        <v>3.994570792758953E-2</v>
      </c>
      <c r="E16" s="8">
        <f t="shared" si="8"/>
        <v>3.5125473526953242E-2</v>
      </c>
      <c r="F16" s="8">
        <f t="shared" si="8"/>
        <v>2.7052712644808206E-2</v>
      </c>
      <c r="G16" s="8">
        <f t="shared" si="8"/>
        <v>2.7772743747734686E-2</v>
      </c>
      <c r="H16" s="8">
        <f t="shared" si="8"/>
        <v>3.0476190476190476E-2</v>
      </c>
      <c r="I16" s="8">
        <f t="shared" si="8"/>
        <v>2.745412519458465E-2</v>
      </c>
    </row>
    <row r="17" spans="1:9" x14ac:dyDescent="0.25">
      <c r="A17" s="4" t="s">
        <v>9</v>
      </c>
      <c r="B17" s="8">
        <f>L10/L2</f>
        <v>9.5029804022470951E-2</v>
      </c>
      <c r="C17" s="8">
        <f t="shared" ref="C17:I17" si="9">M10/M2</f>
        <v>0.10120589359262876</v>
      </c>
      <c r="D17" s="8">
        <f t="shared" si="9"/>
        <v>8.4509803921568621E-2</v>
      </c>
      <c r="E17" s="8">
        <f t="shared" si="9"/>
        <v>3.3421542683524451E-2</v>
      </c>
      <c r="F17" s="8">
        <f t="shared" si="9"/>
        <v>9.7351151633242039E-2</v>
      </c>
      <c r="G17" s="8">
        <f t="shared" si="9"/>
        <v>0.10482702866574595</v>
      </c>
      <c r="H17" s="8">
        <f t="shared" si="9"/>
        <v>7.9266586566156982E-2</v>
      </c>
      <c r="I17" s="8">
        <f t="shared" si="9"/>
        <v>1.4706089504303362E-2</v>
      </c>
    </row>
    <row r="18" spans="1:9" x14ac:dyDescent="0.25">
      <c r="A18" s="4" t="s">
        <v>44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s="4" t="s">
        <v>48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25">
      <c r="A20" t="s">
        <v>57</v>
      </c>
      <c r="B20">
        <v>-3765</v>
      </c>
      <c r="C20">
        <v>2456</v>
      </c>
      <c r="D20">
        <v>-2259</v>
      </c>
      <c r="E20">
        <v>-888</v>
      </c>
      <c r="F20">
        <v>-616</v>
      </c>
      <c r="G20">
        <v>-1336</v>
      </c>
      <c r="H20">
        <v>144</v>
      </c>
      <c r="I20">
        <v>-39</v>
      </c>
    </row>
    <row r="21" spans="1:9" x14ac:dyDescent="0.25">
      <c r="A21" s="17" t="s">
        <v>58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</row>
    <row r="22" spans="1:9" x14ac:dyDescent="0.25">
      <c r="A22" s="17"/>
    </row>
    <row r="23" spans="1:9" x14ac:dyDescent="0.25">
      <c r="A23" s="17"/>
    </row>
    <row r="24" spans="1:9" x14ac:dyDescent="0.25">
      <c r="A24" s="17"/>
    </row>
    <row r="25" spans="1:9" x14ac:dyDescent="0.25">
      <c r="A25" s="18"/>
    </row>
    <row r="26" spans="1:9" x14ac:dyDescent="0.25">
      <c r="A26" s="17"/>
    </row>
    <row r="27" spans="1:9" x14ac:dyDescent="0.25">
      <c r="A27" s="17"/>
    </row>
    <row r="28" spans="1:9" x14ac:dyDescent="0.25">
      <c r="A28" s="17"/>
    </row>
    <row r="29" spans="1:9" x14ac:dyDescent="0.25">
      <c r="A29" s="17"/>
    </row>
    <row r="30" spans="1:9" x14ac:dyDescent="0.25">
      <c r="A30" s="17"/>
    </row>
    <row r="31" spans="1:9" x14ac:dyDescent="0.25">
      <c r="A31" s="17"/>
    </row>
    <row r="32" spans="1:9" x14ac:dyDescent="0.25">
      <c r="A32" s="17"/>
    </row>
    <row r="33" spans="1:1" x14ac:dyDescent="0.25">
      <c r="A33" s="17"/>
    </row>
    <row r="34" spans="1:1" x14ac:dyDescent="0.25">
      <c r="A34" s="1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8"/>
  <dimension ref="A1:S34"/>
  <sheetViews>
    <sheetView workbookViewId="0">
      <selection activeCell="B11" sqref="B11:I11"/>
    </sheetView>
  </sheetViews>
  <sheetFormatPr defaultRowHeight="15" x14ac:dyDescent="0.25"/>
  <cols>
    <col min="1" max="1" width="19.5703125" customWidth="1"/>
    <col min="11" max="11" width="12.5703125" customWidth="1"/>
  </cols>
  <sheetData>
    <row r="1" spans="1:19" ht="17.25" x14ac:dyDescent="0.25">
      <c r="A1" s="2" t="s">
        <v>12</v>
      </c>
      <c r="B1" s="36">
        <v>2006</v>
      </c>
      <c r="C1" s="36">
        <v>2007</v>
      </c>
      <c r="D1" s="36">
        <v>2008</v>
      </c>
      <c r="E1" s="36">
        <v>2009</v>
      </c>
      <c r="F1" s="36">
        <v>2010</v>
      </c>
      <c r="G1" s="36">
        <v>2011</v>
      </c>
      <c r="H1" s="36">
        <v>2012</v>
      </c>
      <c r="I1" s="36">
        <v>2013</v>
      </c>
      <c r="K1" s="5"/>
      <c r="L1" s="36">
        <v>2006</v>
      </c>
      <c r="M1" s="36">
        <v>2007</v>
      </c>
      <c r="N1" s="36">
        <v>2008</v>
      </c>
      <c r="O1" s="36">
        <v>2009</v>
      </c>
      <c r="P1" s="36">
        <v>2010</v>
      </c>
      <c r="Q1" s="36">
        <v>2011</v>
      </c>
      <c r="R1" s="36">
        <v>2012</v>
      </c>
      <c r="S1" s="36">
        <v>2013</v>
      </c>
    </row>
    <row r="2" spans="1:19" ht="15.75" x14ac:dyDescent="0.25">
      <c r="A2" s="3" t="s">
        <v>24</v>
      </c>
      <c r="K2" s="4" t="s">
        <v>33</v>
      </c>
      <c r="L2">
        <v>22795</v>
      </c>
      <c r="M2">
        <v>91706</v>
      </c>
      <c r="N2">
        <v>69255</v>
      </c>
      <c r="O2">
        <v>60419</v>
      </c>
      <c r="P2">
        <v>61054</v>
      </c>
      <c r="Q2">
        <v>63439</v>
      </c>
      <c r="R2">
        <v>58619</v>
      </c>
      <c r="S2">
        <v>55936</v>
      </c>
    </row>
    <row r="3" spans="1:19" x14ac:dyDescent="0.25">
      <c r="A3" s="4" t="s">
        <v>10</v>
      </c>
      <c r="B3" s="9">
        <f>LN(L2)</f>
        <v>10.034296492647542</v>
      </c>
      <c r="C3" s="9">
        <f t="shared" ref="C3:I3" si="0">LN(M2)</f>
        <v>11.426343086856512</v>
      </c>
      <c r="D3" s="9">
        <f t="shared" si="0"/>
        <v>11.145550623609198</v>
      </c>
      <c r="E3" s="9">
        <f t="shared" si="0"/>
        <v>11.009058903992708</v>
      </c>
      <c r="F3" s="9">
        <f t="shared" si="0"/>
        <v>11.019513997458025</v>
      </c>
      <c r="G3" s="9">
        <f t="shared" si="0"/>
        <v>11.057834093258894</v>
      </c>
      <c r="H3" s="9">
        <f t="shared" si="0"/>
        <v>10.978814155095153</v>
      </c>
      <c r="I3" s="9">
        <f t="shared" si="0"/>
        <v>10.931963459015208</v>
      </c>
      <c r="K3" s="4" t="s">
        <v>27</v>
      </c>
      <c r="L3">
        <v>19765</v>
      </c>
      <c r="M3">
        <v>35166</v>
      </c>
      <c r="N3">
        <v>40811</v>
      </c>
      <c r="O3">
        <v>22739</v>
      </c>
      <c r="P3">
        <v>30966</v>
      </c>
      <c r="Q3">
        <v>35234</v>
      </c>
      <c r="R3">
        <v>31310</v>
      </c>
      <c r="S3">
        <v>28189</v>
      </c>
    </row>
    <row r="4" spans="1:19" x14ac:dyDescent="0.25">
      <c r="A4" s="4" t="s">
        <v>13</v>
      </c>
      <c r="B4">
        <v>31054</v>
      </c>
      <c r="C4">
        <v>40441</v>
      </c>
      <c r="D4">
        <v>54329</v>
      </c>
      <c r="E4">
        <v>29838</v>
      </c>
      <c r="F4">
        <v>39883</v>
      </c>
      <c r="G4">
        <v>44640</v>
      </c>
      <c r="H4">
        <v>38923</v>
      </c>
      <c r="I4">
        <v>35022</v>
      </c>
      <c r="K4" s="4" t="s">
        <v>28</v>
      </c>
      <c r="L4">
        <v>15551</v>
      </c>
      <c r="M4">
        <v>29145</v>
      </c>
      <c r="N4">
        <v>35193</v>
      </c>
      <c r="O4">
        <v>30784</v>
      </c>
      <c r="P4">
        <v>29829</v>
      </c>
      <c r="Q4">
        <v>30768</v>
      </c>
      <c r="R4">
        <v>28769</v>
      </c>
      <c r="S4">
        <v>27126</v>
      </c>
    </row>
    <row r="5" spans="1:19" x14ac:dyDescent="0.25">
      <c r="A5" s="4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4" t="s">
        <v>53</v>
      </c>
      <c r="L5">
        <v>1373</v>
      </c>
      <c r="M5">
        <v>1707</v>
      </c>
      <c r="N5">
        <v>2713</v>
      </c>
      <c r="O5">
        <v>3652</v>
      </c>
      <c r="P5">
        <v>1314</v>
      </c>
      <c r="Q5">
        <v>1648</v>
      </c>
      <c r="R5">
        <v>3004</v>
      </c>
      <c r="S5">
        <v>2124</v>
      </c>
    </row>
    <row r="6" spans="1:19" x14ac:dyDescent="0.25">
      <c r="A6" s="4" t="s">
        <v>11</v>
      </c>
      <c r="B6" s="9">
        <f>L3/B4</f>
        <v>0.63647195208346752</v>
      </c>
      <c r="C6" s="9">
        <f t="shared" ref="C6:I6" si="1">M3/C4</f>
        <v>0.86956306718429321</v>
      </c>
      <c r="D6" s="9">
        <f t="shared" si="1"/>
        <v>0.75118260965598482</v>
      </c>
      <c r="E6" s="9">
        <f t="shared" si="1"/>
        <v>0.76208190897513239</v>
      </c>
      <c r="F6" s="9">
        <f t="shared" si="1"/>
        <v>0.77642103151718778</v>
      </c>
      <c r="G6" s="9">
        <f t="shared" si="1"/>
        <v>0.78929211469534055</v>
      </c>
      <c r="H6" s="9">
        <f t="shared" si="1"/>
        <v>0.80440870436502843</v>
      </c>
      <c r="I6" s="9">
        <f t="shared" si="1"/>
        <v>0.80489406658671692</v>
      </c>
      <c r="K6" s="21" t="s">
        <v>62</v>
      </c>
      <c r="L6">
        <v>5339</v>
      </c>
      <c r="M6">
        <v>8850</v>
      </c>
      <c r="N6">
        <v>6574</v>
      </c>
      <c r="O6">
        <v>4769</v>
      </c>
      <c r="P6">
        <v>5496</v>
      </c>
      <c r="Q6">
        <v>6223</v>
      </c>
      <c r="R6">
        <v>4967</v>
      </c>
      <c r="S6">
        <v>5214</v>
      </c>
    </row>
    <row r="7" spans="1:19" ht="15.75" x14ac:dyDescent="0.25">
      <c r="A7" s="3" t="s">
        <v>21</v>
      </c>
      <c r="K7" s="4" t="s">
        <v>30</v>
      </c>
      <c r="L7">
        <v>0</v>
      </c>
      <c r="M7">
        <v>0</v>
      </c>
      <c r="N7">
        <v>0</v>
      </c>
      <c r="O7">
        <v>200</v>
      </c>
      <c r="P7">
        <v>190</v>
      </c>
      <c r="Q7">
        <v>223</v>
      </c>
      <c r="R7">
        <v>235</v>
      </c>
      <c r="S7">
        <v>203</v>
      </c>
    </row>
    <row r="8" spans="1:19" x14ac:dyDescent="0.25">
      <c r="A8" s="4" t="s">
        <v>8</v>
      </c>
      <c r="B8" s="9">
        <f>(L2+L14-L4)/L2</f>
        <v>2.0078779995613076</v>
      </c>
      <c r="C8" s="9">
        <f t="shared" ref="C8:I8" si="2">(M2+M14-M4)/M2</f>
        <v>1.3038121824090025</v>
      </c>
      <c r="D8" s="9">
        <f t="shared" si="2"/>
        <v>0.80986499169735038</v>
      </c>
      <c r="E8" s="9">
        <f t="shared" si="2"/>
        <v>1.1450568529767127</v>
      </c>
      <c r="F8" s="9">
        <f t="shared" si="2"/>
        <v>1.1109132898745373</v>
      </c>
      <c r="G8" s="9">
        <f t="shared" si="2"/>
        <v>0.82465888491306616</v>
      </c>
      <c r="H8" s="9">
        <f t="shared" si="2"/>
        <v>0.82168827513263609</v>
      </c>
      <c r="I8" s="9">
        <f t="shared" si="2"/>
        <v>0.80052685211670482</v>
      </c>
      <c r="K8" s="4" t="s">
        <v>34</v>
      </c>
      <c r="L8">
        <v>1735</v>
      </c>
      <c r="M8">
        <v>45246</v>
      </c>
      <c r="N8">
        <v>19957</v>
      </c>
      <c r="O8">
        <v>19013</v>
      </c>
      <c r="P8">
        <v>19949</v>
      </c>
      <c r="Q8">
        <v>20790</v>
      </c>
      <c r="R8">
        <v>19645</v>
      </c>
      <c r="S8">
        <v>18834</v>
      </c>
    </row>
    <row r="9" spans="1:19" x14ac:dyDescent="0.25">
      <c r="A9" s="4" t="s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K9" s="4" t="s">
        <v>31</v>
      </c>
      <c r="L9">
        <v>1407</v>
      </c>
      <c r="M9">
        <v>57592</v>
      </c>
      <c r="N9">
        <v>2606</v>
      </c>
      <c r="O9">
        <v>1902</v>
      </c>
      <c r="P9">
        <v>2011</v>
      </c>
      <c r="Q9">
        <v>3111</v>
      </c>
      <c r="R9">
        <v>1461</v>
      </c>
      <c r="S9">
        <v>828</v>
      </c>
    </row>
    <row r="10" spans="1:19" x14ac:dyDescent="0.25">
      <c r="A10" s="4" t="s">
        <v>5</v>
      </c>
      <c r="B10">
        <v>5339</v>
      </c>
      <c r="C10">
        <v>8850</v>
      </c>
      <c r="D10">
        <v>6574</v>
      </c>
      <c r="E10">
        <v>4769</v>
      </c>
      <c r="F10">
        <v>5496</v>
      </c>
      <c r="G10">
        <v>6223</v>
      </c>
      <c r="H10">
        <v>4967</v>
      </c>
      <c r="I10">
        <v>5214</v>
      </c>
      <c r="K10" s="4" t="s">
        <v>32</v>
      </c>
      <c r="L10">
        <v>4253</v>
      </c>
      <c r="M10">
        <v>4560</v>
      </c>
      <c r="N10">
        <v>6935</v>
      </c>
      <c r="O10">
        <v>-1002</v>
      </c>
      <c r="P10">
        <v>557</v>
      </c>
      <c r="Q10">
        <v>1560</v>
      </c>
      <c r="R10">
        <v>15</v>
      </c>
      <c r="S10">
        <v>-1066</v>
      </c>
    </row>
    <row r="11" spans="1:19" x14ac:dyDescent="0.25">
      <c r="A11" s="4" t="s">
        <v>7</v>
      </c>
      <c r="B11" s="9">
        <f>B10/B4</f>
        <v>0.17192632189089974</v>
      </c>
      <c r="C11" s="9">
        <f t="shared" ref="C11:I11" si="3">C10/C4</f>
        <v>0.21883731856284463</v>
      </c>
      <c r="D11" s="9">
        <f t="shared" si="3"/>
        <v>0.12100351561781</v>
      </c>
      <c r="E11" s="9">
        <f t="shared" si="3"/>
        <v>0.15982974730209801</v>
      </c>
      <c r="F11" s="9">
        <f t="shared" si="3"/>
        <v>0.13780307399142491</v>
      </c>
      <c r="G11" s="9">
        <f t="shared" si="3"/>
        <v>0.13940412186379927</v>
      </c>
      <c r="H11" s="9">
        <f t="shared" si="3"/>
        <v>0.12761092413226113</v>
      </c>
      <c r="I11" s="9">
        <f t="shared" si="3"/>
        <v>0.14887784820969677</v>
      </c>
      <c r="K11" s="4" t="s">
        <v>54</v>
      </c>
      <c r="L11">
        <v>4938</v>
      </c>
      <c r="M11">
        <v>12748</v>
      </c>
      <c r="N11">
        <v>9215</v>
      </c>
      <c r="O11">
        <v>8706</v>
      </c>
      <c r="P11">
        <v>8985</v>
      </c>
      <c r="Q11">
        <v>9971</v>
      </c>
      <c r="R11">
        <v>7001</v>
      </c>
      <c r="S11">
        <v>9095</v>
      </c>
    </row>
    <row r="12" spans="1:19" ht="15.75" x14ac:dyDescent="0.25">
      <c r="A12" s="3" t="s">
        <v>0</v>
      </c>
      <c r="K12" s="4" t="s">
        <v>51</v>
      </c>
      <c r="L12">
        <v>259.10000000000002</v>
      </c>
      <c r="M12">
        <v>323.89999999999998</v>
      </c>
      <c r="N12">
        <v>323.89999999999998</v>
      </c>
      <c r="O12">
        <v>323.89999999999998</v>
      </c>
      <c r="P12">
        <v>323.89999999999998</v>
      </c>
      <c r="Q12">
        <v>323.89999999999998</v>
      </c>
      <c r="R12">
        <v>323.89999999999998</v>
      </c>
      <c r="S12">
        <v>323.89999999999998</v>
      </c>
    </row>
    <row r="13" spans="1:19" x14ac:dyDescent="0.25">
      <c r="A13" s="4" t="s">
        <v>16</v>
      </c>
      <c r="B13">
        <f>L7/B4</f>
        <v>0</v>
      </c>
      <c r="C13">
        <f t="shared" ref="C13:I13" si="4">M7/C4</f>
        <v>0</v>
      </c>
      <c r="D13">
        <f t="shared" si="4"/>
        <v>0</v>
      </c>
      <c r="E13" s="24">
        <f t="shared" si="4"/>
        <v>6.7028621221261481E-3</v>
      </c>
      <c r="F13" s="24">
        <f t="shared" si="4"/>
        <v>4.7639345084371787E-3</v>
      </c>
      <c r="G13" s="24">
        <f t="shared" si="4"/>
        <v>4.9955197132616489E-3</v>
      </c>
      <c r="H13" s="24">
        <f t="shared" si="4"/>
        <v>6.03756133905403E-3</v>
      </c>
      <c r="I13" s="24">
        <f t="shared" si="4"/>
        <v>5.7963565758665982E-3</v>
      </c>
      <c r="K13" s="4" t="s">
        <v>52</v>
      </c>
      <c r="L13">
        <v>148.69</v>
      </c>
      <c r="M13">
        <v>176</v>
      </c>
      <c r="N13">
        <v>68</v>
      </c>
      <c r="O13">
        <v>122.1</v>
      </c>
      <c r="P13">
        <v>113</v>
      </c>
      <c r="Q13">
        <v>60.65</v>
      </c>
      <c r="R13">
        <v>56.55</v>
      </c>
      <c r="S13">
        <v>49.3</v>
      </c>
    </row>
    <row r="14" spans="1:19" x14ac:dyDescent="0.25">
      <c r="A14" s="4" t="s">
        <v>14</v>
      </c>
      <c r="B14" s="9">
        <f>L8/L4</f>
        <v>0.11156838788502348</v>
      </c>
      <c r="C14" s="9">
        <f t="shared" ref="C14:I14" si="5">M8/M4</f>
        <v>1.5524446731857953</v>
      </c>
      <c r="D14" s="9">
        <f t="shared" si="5"/>
        <v>0.56707299747108797</v>
      </c>
      <c r="E14" s="9">
        <f t="shared" si="5"/>
        <v>0.61762603950103945</v>
      </c>
      <c r="F14" s="9">
        <f t="shared" si="5"/>
        <v>0.66877870528680139</v>
      </c>
      <c r="G14" s="9">
        <f t="shared" si="5"/>
        <v>0.67570202808112323</v>
      </c>
      <c r="H14" s="9">
        <f t="shared" si="5"/>
        <v>0.68285307101393866</v>
      </c>
      <c r="I14" s="9">
        <f t="shared" si="5"/>
        <v>0.69431541694315413</v>
      </c>
      <c r="K14" s="4" t="s">
        <v>29</v>
      </c>
      <c r="L14" s="16">
        <f>L12*L13</f>
        <v>38525.579000000005</v>
      </c>
      <c r="M14" s="16">
        <f t="shared" ref="M14:S14" si="6">M12*M13</f>
        <v>57006.399999999994</v>
      </c>
      <c r="N14" s="16">
        <f t="shared" si="6"/>
        <v>22025.199999999997</v>
      </c>
      <c r="O14" s="16">
        <f t="shared" si="6"/>
        <v>39548.189999999995</v>
      </c>
      <c r="P14" s="16">
        <f t="shared" si="6"/>
        <v>36600.699999999997</v>
      </c>
      <c r="Q14" s="16">
        <f t="shared" si="6"/>
        <v>19644.535</v>
      </c>
      <c r="R14" s="16">
        <f t="shared" si="6"/>
        <v>18316.544999999998</v>
      </c>
      <c r="S14" s="16">
        <f t="shared" si="6"/>
        <v>15968.269999999999</v>
      </c>
    </row>
    <row r="15" spans="1:19" x14ac:dyDescent="0.25">
      <c r="A15" s="4" t="s">
        <v>40</v>
      </c>
      <c r="B15" s="9">
        <f>L5/L11</f>
        <v>0.27804779262859458</v>
      </c>
      <c r="C15" s="9">
        <f t="shared" ref="C15:I15" si="7">M5/M11</f>
        <v>0.13390335738939441</v>
      </c>
      <c r="D15" s="9">
        <f t="shared" si="7"/>
        <v>0.29441128594682581</v>
      </c>
      <c r="E15" s="9">
        <f t="shared" si="7"/>
        <v>0.41948081782678615</v>
      </c>
      <c r="F15" s="9">
        <f t="shared" si="7"/>
        <v>0.14624373956594325</v>
      </c>
      <c r="G15" s="9">
        <f t="shared" si="7"/>
        <v>0.16527930999899709</v>
      </c>
      <c r="H15" s="9">
        <f t="shared" si="7"/>
        <v>0.42908155977717471</v>
      </c>
      <c r="I15" s="9">
        <f t="shared" si="7"/>
        <v>0.23353490929081913</v>
      </c>
    </row>
    <row r="16" spans="1:19" x14ac:dyDescent="0.25">
      <c r="A16" s="4" t="s">
        <v>15</v>
      </c>
      <c r="B16" s="9">
        <f>L9/B4</f>
        <v>4.530817286017904E-2</v>
      </c>
      <c r="C16" s="9">
        <f t="shared" ref="C16:I16" si="8">M9/C4</f>
        <v>1.4240993051606043</v>
      </c>
      <c r="D16" s="9">
        <f t="shared" si="8"/>
        <v>4.7967015774264203E-2</v>
      </c>
      <c r="E16" s="9">
        <f t="shared" si="8"/>
        <v>6.374421878141967E-2</v>
      </c>
      <c r="F16" s="9">
        <f t="shared" si="8"/>
        <v>5.0422485770879821E-2</v>
      </c>
      <c r="G16" s="9">
        <f t="shared" si="8"/>
        <v>6.969086021505376E-2</v>
      </c>
      <c r="H16" s="9">
        <f t="shared" si="8"/>
        <v>3.7535647303650797E-2</v>
      </c>
      <c r="I16" s="9">
        <f t="shared" si="8"/>
        <v>2.3642281994175091E-2</v>
      </c>
    </row>
    <row r="17" spans="1:9" x14ac:dyDescent="0.25">
      <c r="A17" s="4" t="s">
        <v>9</v>
      </c>
      <c r="B17" s="8">
        <f>L10/L2</f>
        <v>0.18657600350954157</v>
      </c>
      <c r="C17" s="8">
        <f t="shared" ref="C17:I17" si="9">M10/M2</f>
        <v>4.9724118378295858E-2</v>
      </c>
      <c r="D17" s="8">
        <f t="shared" si="9"/>
        <v>0.10013717421124829</v>
      </c>
      <c r="E17" s="8">
        <f t="shared" si="9"/>
        <v>-1.6584187093463976E-2</v>
      </c>
      <c r="F17" s="8">
        <f t="shared" si="9"/>
        <v>9.1230713794345983E-3</v>
      </c>
      <c r="G17" s="8">
        <f t="shared" si="9"/>
        <v>2.4590551553460804E-2</v>
      </c>
      <c r="H17" s="24">
        <f t="shared" si="9"/>
        <v>2.5588972858629457E-4</v>
      </c>
      <c r="I17" s="8">
        <f t="shared" si="9"/>
        <v>-1.9057494279176201E-2</v>
      </c>
    </row>
    <row r="18" spans="1:9" x14ac:dyDescent="0.25">
      <c r="A18" s="4" t="s">
        <v>44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0</v>
      </c>
    </row>
    <row r="19" spans="1:9" x14ac:dyDescent="0.25">
      <c r="A19" s="4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t="s">
        <v>57</v>
      </c>
      <c r="B20">
        <v>-1456</v>
      </c>
      <c r="C20">
        <v>-1985</v>
      </c>
      <c r="D20">
        <v>-2762</v>
      </c>
      <c r="E20">
        <v>443</v>
      </c>
      <c r="F20">
        <v>780</v>
      </c>
      <c r="G20">
        <v>-257</v>
      </c>
      <c r="H20">
        <v>526</v>
      </c>
      <c r="I20">
        <v>8</v>
      </c>
    </row>
    <row r="21" spans="1:9" x14ac:dyDescent="0.25">
      <c r="A21" s="17" t="s">
        <v>58</v>
      </c>
      <c r="B21">
        <v>0</v>
      </c>
      <c r="C21">
        <v>0</v>
      </c>
      <c r="D21">
        <v>0</v>
      </c>
      <c r="E21">
        <v>1</v>
      </c>
      <c r="F21">
        <v>1</v>
      </c>
      <c r="G21">
        <v>0</v>
      </c>
      <c r="H21">
        <v>1</v>
      </c>
      <c r="I21">
        <v>1</v>
      </c>
    </row>
    <row r="22" spans="1:9" x14ac:dyDescent="0.25">
      <c r="A22" s="17"/>
    </row>
    <row r="23" spans="1:9" x14ac:dyDescent="0.25">
      <c r="A23" s="17"/>
    </row>
    <row r="24" spans="1:9" x14ac:dyDescent="0.25">
      <c r="A24" s="17"/>
    </row>
    <row r="25" spans="1:9" x14ac:dyDescent="0.25">
      <c r="A25" s="18"/>
    </row>
    <row r="26" spans="1:9" x14ac:dyDescent="0.25">
      <c r="A26" s="17"/>
    </row>
    <row r="27" spans="1:9" x14ac:dyDescent="0.25">
      <c r="A27" s="17"/>
    </row>
    <row r="28" spans="1:9" x14ac:dyDescent="0.25">
      <c r="A28" s="17"/>
    </row>
    <row r="29" spans="1:9" x14ac:dyDescent="0.25">
      <c r="A29" s="17"/>
    </row>
    <row r="30" spans="1:9" x14ac:dyDescent="0.25">
      <c r="A30" s="17"/>
    </row>
    <row r="31" spans="1:9" x14ac:dyDescent="0.25">
      <c r="A31" s="17"/>
    </row>
    <row r="32" spans="1:9" x14ac:dyDescent="0.25">
      <c r="A32" s="17"/>
    </row>
    <row r="33" spans="1:1" x14ac:dyDescent="0.25">
      <c r="A33" s="17"/>
    </row>
    <row r="34" spans="1:1" x14ac:dyDescent="0.25">
      <c r="A34" s="1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9"/>
  <dimension ref="A1:S47"/>
  <sheetViews>
    <sheetView topLeftCell="A5" workbookViewId="0">
      <selection activeCell="B11" sqref="B11:I11"/>
    </sheetView>
  </sheetViews>
  <sheetFormatPr defaultRowHeight="15" x14ac:dyDescent="0.25"/>
  <cols>
    <col min="1" max="1" width="13" customWidth="1"/>
    <col min="11" max="11" width="12.5703125" customWidth="1"/>
  </cols>
  <sheetData>
    <row r="1" spans="1:19" ht="17.25" x14ac:dyDescent="0.25">
      <c r="A1" s="32" t="s">
        <v>12</v>
      </c>
      <c r="B1" s="36">
        <v>2006</v>
      </c>
      <c r="C1" s="36">
        <v>2007</v>
      </c>
      <c r="D1" s="36">
        <v>2008</v>
      </c>
      <c r="E1" s="36">
        <v>2009</v>
      </c>
      <c r="F1" s="36">
        <v>2010</v>
      </c>
      <c r="G1" s="36">
        <v>2011</v>
      </c>
      <c r="H1" s="36">
        <v>2012</v>
      </c>
      <c r="I1" s="36">
        <v>2013</v>
      </c>
      <c r="K1" s="5"/>
      <c r="L1" s="36">
        <v>2006</v>
      </c>
      <c r="M1" s="36">
        <v>2007</v>
      </c>
      <c r="N1" s="36">
        <v>2008</v>
      </c>
      <c r="O1" s="36">
        <v>2009</v>
      </c>
      <c r="P1" s="36">
        <v>2010</v>
      </c>
      <c r="Q1" s="36">
        <v>2011</v>
      </c>
      <c r="R1" s="36">
        <v>2012</v>
      </c>
      <c r="S1" s="36">
        <v>2013</v>
      </c>
    </row>
    <row r="2" spans="1:19" ht="15.75" x14ac:dyDescent="0.25">
      <c r="A2" s="33" t="s">
        <v>24</v>
      </c>
      <c r="K2" s="34" t="s">
        <v>33</v>
      </c>
      <c r="L2">
        <v>15670</v>
      </c>
      <c r="M2">
        <v>16467</v>
      </c>
      <c r="N2">
        <v>18355</v>
      </c>
      <c r="O2">
        <v>16337</v>
      </c>
      <c r="P2">
        <v>14739</v>
      </c>
      <c r="Q2">
        <v>14507</v>
      </c>
      <c r="R2">
        <v>14371</v>
      </c>
      <c r="S2">
        <v>14881</v>
      </c>
    </row>
    <row r="3" spans="1:19" x14ac:dyDescent="0.25">
      <c r="A3" s="34" t="s">
        <v>10</v>
      </c>
      <c r="B3" s="9">
        <f>LN(L2)</f>
        <v>9.6595033353500668</v>
      </c>
      <c r="C3" s="9">
        <f t="shared" ref="C3:I3" si="0">LN(M2)</f>
        <v>9.7091136572179995</v>
      </c>
      <c r="D3" s="9">
        <f t="shared" si="0"/>
        <v>9.8176572959309354</v>
      </c>
      <c r="E3" s="9">
        <f t="shared" si="0"/>
        <v>9.7011877530265078</v>
      </c>
      <c r="F3" s="9">
        <f t="shared" si="0"/>
        <v>9.5982523208367585</v>
      </c>
      <c r="G3" s="9">
        <f t="shared" si="0"/>
        <v>9.5823865705389029</v>
      </c>
      <c r="H3" s="9">
        <f t="shared" si="0"/>
        <v>9.5729675660742473</v>
      </c>
      <c r="I3" s="9">
        <f t="shared" si="0"/>
        <v>9.6078405104300497</v>
      </c>
      <c r="K3" s="34" t="s">
        <v>27</v>
      </c>
      <c r="L3">
        <v>7499</v>
      </c>
      <c r="M3">
        <v>7346</v>
      </c>
      <c r="N3">
        <v>7770</v>
      </c>
      <c r="O3">
        <v>8925</v>
      </c>
      <c r="P3">
        <v>7923</v>
      </c>
      <c r="Q3">
        <v>5353</v>
      </c>
      <c r="R3">
        <v>5763</v>
      </c>
      <c r="S3">
        <v>5582</v>
      </c>
    </row>
    <row r="4" spans="1:19" x14ac:dyDescent="0.25">
      <c r="A4" s="34" t="s">
        <v>13</v>
      </c>
      <c r="B4">
        <v>12273</v>
      </c>
      <c r="C4">
        <v>11970</v>
      </c>
      <c r="D4">
        <v>12611</v>
      </c>
      <c r="E4">
        <v>14204</v>
      </c>
      <c r="F4">
        <v>13606</v>
      </c>
      <c r="G4">
        <v>11666</v>
      </c>
      <c r="H4">
        <v>12486</v>
      </c>
      <c r="I4">
        <v>12610</v>
      </c>
      <c r="K4" s="34" t="s">
        <v>28</v>
      </c>
      <c r="L4">
        <v>8253</v>
      </c>
      <c r="M4">
        <v>22182</v>
      </c>
      <c r="N4">
        <v>22148</v>
      </c>
      <c r="O4">
        <v>23229</v>
      </c>
      <c r="P4">
        <v>21578</v>
      </c>
      <c r="Q4">
        <v>19525</v>
      </c>
      <c r="R4">
        <v>21230</v>
      </c>
      <c r="S4">
        <v>22192</v>
      </c>
    </row>
    <row r="5" spans="1:19" x14ac:dyDescent="0.25">
      <c r="A5" s="34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34" t="s">
        <v>53</v>
      </c>
      <c r="L5">
        <v>3042</v>
      </c>
      <c r="M5">
        <v>3439</v>
      </c>
      <c r="N5">
        <v>3178</v>
      </c>
      <c r="O5">
        <v>2530</v>
      </c>
      <c r="P5">
        <v>3275</v>
      </c>
      <c r="Q5">
        <v>2533</v>
      </c>
      <c r="R5">
        <v>2824</v>
      </c>
      <c r="S5">
        <v>3164</v>
      </c>
    </row>
    <row r="6" spans="1:19" x14ac:dyDescent="0.25">
      <c r="A6" s="34" t="s">
        <v>11</v>
      </c>
      <c r="B6" s="9">
        <f>L3/B4</f>
        <v>0.61101605149515192</v>
      </c>
      <c r="C6" s="9">
        <f t="shared" ref="C6:I6" si="1">M3/C4</f>
        <v>0.61370091896407686</v>
      </c>
      <c r="D6" s="9">
        <f t="shared" si="1"/>
        <v>0.61612877646499087</v>
      </c>
      <c r="E6" s="9">
        <f t="shared" si="1"/>
        <v>0.62834412841453113</v>
      </c>
      <c r="F6" s="9">
        <f t="shared" si="1"/>
        <v>0.58231662501837422</v>
      </c>
      <c r="G6" s="9">
        <f t="shared" si="1"/>
        <v>0.45885479170238297</v>
      </c>
      <c r="H6" s="9">
        <f t="shared" si="1"/>
        <v>0.46155694377703027</v>
      </c>
      <c r="I6" s="9">
        <f t="shared" si="1"/>
        <v>0.44266455194290244</v>
      </c>
      <c r="K6" s="37" t="s">
        <v>62</v>
      </c>
      <c r="L6">
        <v>5201</v>
      </c>
      <c r="M6">
        <v>7336</v>
      </c>
      <c r="N6">
        <v>7336</v>
      </c>
      <c r="O6">
        <v>6936</v>
      </c>
      <c r="P6">
        <v>7081</v>
      </c>
      <c r="Q6">
        <v>6846</v>
      </c>
      <c r="R6">
        <v>6104</v>
      </c>
      <c r="S6">
        <v>5931</v>
      </c>
    </row>
    <row r="7" spans="1:19" ht="15.75" x14ac:dyDescent="0.25">
      <c r="A7" s="33" t="s">
        <v>21</v>
      </c>
      <c r="K7" s="34" t="s">
        <v>30</v>
      </c>
      <c r="L7">
        <v>95</v>
      </c>
      <c r="M7">
        <v>82</v>
      </c>
      <c r="N7">
        <v>88</v>
      </c>
      <c r="O7">
        <v>96</v>
      </c>
      <c r="P7">
        <v>96</v>
      </c>
      <c r="Q7">
        <v>80</v>
      </c>
      <c r="R7">
        <v>99</v>
      </c>
      <c r="S7">
        <v>99</v>
      </c>
    </row>
    <row r="8" spans="1:19" x14ac:dyDescent="0.25">
      <c r="A8" s="34" t="s">
        <v>8</v>
      </c>
      <c r="B8" s="9">
        <f>(L2+L14-L4)/L2</f>
        <v>2.7132737715379704</v>
      </c>
      <c r="C8" s="9">
        <f t="shared" ref="C8:I8" si="2">(M2+M14-M4)/M2</f>
        <v>2.0516791158073722</v>
      </c>
      <c r="D8" s="9">
        <f t="shared" si="2"/>
        <v>1.3079269953691093</v>
      </c>
      <c r="E8" s="9">
        <f t="shared" si="2"/>
        <v>1.8000856950480504</v>
      </c>
      <c r="F8" s="9">
        <f t="shared" si="2"/>
        <v>2.372006241943144</v>
      </c>
      <c r="G8" s="9">
        <f t="shared" si="2"/>
        <v>3.0938167781071209</v>
      </c>
      <c r="H8" s="9">
        <f t="shared" si="2"/>
        <v>2.549648597870712</v>
      </c>
      <c r="I8" s="9">
        <f t="shared" si="2"/>
        <v>2.2706135340366909</v>
      </c>
      <c r="K8" s="34" t="s">
        <v>34</v>
      </c>
      <c r="L8">
        <v>8691</v>
      </c>
      <c r="M8">
        <v>10564</v>
      </c>
      <c r="N8">
        <v>8756</v>
      </c>
      <c r="O8">
        <v>9746</v>
      </c>
      <c r="P8">
        <v>10958</v>
      </c>
      <c r="Q8">
        <v>11307</v>
      </c>
      <c r="R8">
        <v>12005</v>
      </c>
      <c r="S8">
        <v>9452</v>
      </c>
    </row>
    <row r="9" spans="1:19" x14ac:dyDescent="0.25">
      <c r="A9" s="34" t="s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K9" s="34" t="s">
        <v>31</v>
      </c>
      <c r="L9">
        <v>290</v>
      </c>
      <c r="M9">
        <v>523</v>
      </c>
      <c r="N9">
        <v>319</v>
      </c>
      <c r="O9">
        <v>471</v>
      </c>
      <c r="P9">
        <v>311</v>
      </c>
      <c r="Q9">
        <v>245</v>
      </c>
      <c r="R9">
        <v>251</v>
      </c>
      <c r="S9">
        <v>306</v>
      </c>
    </row>
    <row r="10" spans="1:19" x14ac:dyDescent="0.25">
      <c r="A10" s="34" t="s">
        <v>5</v>
      </c>
      <c r="B10">
        <v>5201</v>
      </c>
      <c r="C10">
        <v>7336</v>
      </c>
      <c r="D10">
        <v>7336</v>
      </c>
      <c r="E10">
        <v>6936</v>
      </c>
      <c r="F10">
        <v>7081</v>
      </c>
      <c r="G10">
        <v>6846</v>
      </c>
      <c r="H10">
        <v>6104</v>
      </c>
      <c r="I10">
        <v>5931</v>
      </c>
      <c r="K10" s="34" t="s">
        <v>32</v>
      </c>
      <c r="L10">
        <v>2335</v>
      </c>
      <c r="M10">
        <v>2056</v>
      </c>
      <c r="N10">
        <v>2261</v>
      </c>
      <c r="O10">
        <v>3146</v>
      </c>
      <c r="P10">
        <v>2958</v>
      </c>
      <c r="Q10">
        <v>2538</v>
      </c>
      <c r="R10">
        <v>2907</v>
      </c>
      <c r="S10">
        <v>2711</v>
      </c>
    </row>
    <row r="11" spans="1:19" x14ac:dyDescent="0.25">
      <c r="A11" s="34" t="s">
        <v>7</v>
      </c>
      <c r="B11" s="9">
        <f>B10/B4</f>
        <v>0.4237757679458975</v>
      </c>
      <c r="C11" s="9">
        <f t="shared" ref="C11:I11" si="3">C10/C4</f>
        <v>0.61286549707602345</v>
      </c>
      <c r="D11" s="9">
        <f t="shared" si="3"/>
        <v>0.58171437633811751</v>
      </c>
      <c r="E11" s="9">
        <f t="shared" si="3"/>
        <v>0.48831315122500701</v>
      </c>
      <c r="F11" s="9">
        <f t="shared" si="3"/>
        <v>0.52043216228134648</v>
      </c>
      <c r="G11" s="9">
        <f t="shared" si="3"/>
        <v>0.58683353334476251</v>
      </c>
      <c r="H11" s="9">
        <f t="shared" si="3"/>
        <v>0.48886753163543167</v>
      </c>
      <c r="I11" s="9">
        <f t="shared" si="3"/>
        <v>0.47034099920697858</v>
      </c>
      <c r="K11" s="34" t="s">
        <v>54</v>
      </c>
      <c r="L11">
        <v>3965</v>
      </c>
      <c r="M11">
        <v>5117</v>
      </c>
      <c r="N11">
        <v>4381</v>
      </c>
      <c r="O11">
        <v>4440</v>
      </c>
      <c r="P11">
        <v>3485</v>
      </c>
      <c r="Q11">
        <v>4714</v>
      </c>
      <c r="R11">
        <v>4305</v>
      </c>
      <c r="S11">
        <v>3774</v>
      </c>
    </row>
    <row r="12" spans="1:19" ht="15.75" x14ac:dyDescent="0.25">
      <c r="A12" s="33" t="s">
        <v>0</v>
      </c>
      <c r="K12" s="34" t="s">
        <v>51</v>
      </c>
    </row>
    <row r="13" spans="1:19" x14ac:dyDescent="0.25">
      <c r="A13" s="34" t="s">
        <v>16</v>
      </c>
      <c r="B13" s="24">
        <f>L7/B4</f>
        <v>7.7405687281023386E-3</v>
      </c>
      <c r="C13" s="24">
        <f t="shared" ref="C13:I13" si="4">M7/C4</f>
        <v>6.8504594820384297E-3</v>
      </c>
      <c r="D13" s="24">
        <f t="shared" si="4"/>
        <v>6.9780350487669493E-3</v>
      </c>
      <c r="E13" s="24">
        <f t="shared" si="4"/>
        <v>6.7586595325260486E-3</v>
      </c>
      <c r="F13" s="24">
        <f t="shared" si="4"/>
        <v>7.05571071586065E-3</v>
      </c>
      <c r="G13" s="24">
        <f t="shared" si="4"/>
        <v>6.8575347162695014E-3</v>
      </c>
      <c r="H13" s="24">
        <f t="shared" si="4"/>
        <v>7.9288803459875053E-3</v>
      </c>
      <c r="I13" s="24">
        <f t="shared" si="4"/>
        <v>7.8509119746233147E-3</v>
      </c>
      <c r="K13" s="34" t="s">
        <v>52</v>
      </c>
    </row>
    <row r="14" spans="1:19" x14ac:dyDescent="0.25">
      <c r="A14" s="34" t="s">
        <v>14</v>
      </c>
      <c r="B14" s="9">
        <f>L8/L4</f>
        <v>1.0530716103235187</v>
      </c>
      <c r="C14" s="9">
        <f t="shared" ref="C14:I14" si="5">M8/M4</f>
        <v>0.47624199801640971</v>
      </c>
      <c r="D14" s="9">
        <f t="shared" si="5"/>
        <v>0.39534043705977967</v>
      </c>
      <c r="E14" s="9">
        <f t="shared" si="5"/>
        <v>0.41956175470317275</v>
      </c>
      <c r="F14" s="9">
        <f t="shared" si="5"/>
        <v>0.50783205116322183</v>
      </c>
      <c r="G14" s="9">
        <f t="shared" si="5"/>
        <v>0.57910371318822018</v>
      </c>
      <c r="H14" s="9">
        <f t="shared" si="5"/>
        <v>0.56547338671691005</v>
      </c>
      <c r="I14" s="9">
        <f t="shared" si="5"/>
        <v>0.42591925018024512</v>
      </c>
      <c r="K14" s="34" t="s">
        <v>29</v>
      </c>
      <c r="L14">
        <v>35100</v>
      </c>
      <c r="M14">
        <v>39500</v>
      </c>
      <c r="N14">
        <v>27800</v>
      </c>
      <c r="O14">
        <v>36300</v>
      </c>
      <c r="P14">
        <v>41800</v>
      </c>
      <c r="Q14">
        <v>49900</v>
      </c>
      <c r="R14">
        <v>43500</v>
      </c>
      <c r="S14">
        <v>41100</v>
      </c>
    </row>
    <row r="15" spans="1:19" x14ac:dyDescent="0.25">
      <c r="A15" s="34" t="s">
        <v>40</v>
      </c>
      <c r="B15" s="9">
        <f>L5/L11</f>
        <v>0.76721311475409837</v>
      </c>
      <c r="C15" s="9">
        <f t="shared" ref="C15:I15" si="6">M5/M11</f>
        <v>0.6720734805550127</v>
      </c>
      <c r="D15" s="9">
        <f t="shared" si="6"/>
        <v>0.72540515863957999</v>
      </c>
      <c r="E15" s="9">
        <f t="shared" si="6"/>
        <v>0.56981981981981977</v>
      </c>
      <c r="F15" s="9">
        <f t="shared" si="6"/>
        <v>0.93974175035868002</v>
      </c>
      <c r="G15" s="9">
        <f t="shared" si="6"/>
        <v>0.53733559609673309</v>
      </c>
      <c r="H15" s="9">
        <f t="shared" si="6"/>
        <v>0.65598141695702672</v>
      </c>
      <c r="I15" s="9">
        <f t="shared" si="6"/>
        <v>0.83836777954425012</v>
      </c>
    </row>
    <row r="16" spans="1:19" x14ac:dyDescent="0.25">
      <c r="A16" s="34" t="s">
        <v>15</v>
      </c>
      <c r="B16" s="8">
        <f>L9/B4</f>
        <v>2.3629104538417666E-2</v>
      </c>
      <c r="C16" s="8">
        <f t="shared" ref="C16:I16" si="7">M9/C4</f>
        <v>4.3692564745196324E-2</v>
      </c>
      <c r="D16" s="8">
        <f t="shared" si="7"/>
        <v>2.5295377051780192E-2</v>
      </c>
      <c r="E16" s="8">
        <f t="shared" si="7"/>
        <v>3.3159673331455926E-2</v>
      </c>
      <c r="F16" s="8">
        <f t="shared" si="7"/>
        <v>2.2857562839923563E-2</v>
      </c>
      <c r="G16" s="8">
        <f t="shared" si="7"/>
        <v>2.1001200068575348E-2</v>
      </c>
      <c r="H16" s="8">
        <f t="shared" si="7"/>
        <v>2.0102514816594586E-2</v>
      </c>
      <c r="I16" s="8">
        <f t="shared" si="7"/>
        <v>2.4266455194290246E-2</v>
      </c>
      <c r="K16" s="34"/>
    </row>
    <row r="17" spans="1:9" x14ac:dyDescent="0.25">
      <c r="A17" s="34" t="s">
        <v>9</v>
      </c>
      <c r="B17" s="9">
        <f>L10/L2</f>
        <v>0.14901084875558393</v>
      </c>
      <c r="C17" s="9">
        <f t="shared" ref="C17:I17" si="8">M10/M2</f>
        <v>0.12485577215036132</v>
      </c>
      <c r="D17" s="9">
        <f t="shared" si="8"/>
        <v>0.12318169436120947</v>
      </c>
      <c r="E17" s="9">
        <f t="shared" si="8"/>
        <v>0.19256901511905491</v>
      </c>
      <c r="F17" s="9">
        <f t="shared" si="8"/>
        <v>0.20069204152249134</v>
      </c>
      <c r="G17" s="9">
        <f t="shared" si="8"/>
        <v>0.17495002412628385</v>
      </c>
      <c r="H17" s="9">
        <f t="shared" si="8"/>
        <v>0.20228237422587156</v>
      </c>
      <c r="I17" s="9">
        <f t="shared" si="8"/>
        <v>0.1821786170284255</v>
      </c>
    </row>
    <row r="18" spans="1:9" x14ac:dyDescent="0.25">
      <c r="A18" s="34" t="s">
        <v>44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s="34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s="34" t="s">
        <v>57</v>
      </c>
      <c r="B20">
        <v>-109</v>
      </c>
      <c r="C20">
        <v>-351</v>
      </c>
      <c r="D20">
        <v>-184</v>
      </c>
      <c r="E20">
        <v>66</v>
      </c>
      <c r="F20">
        <v>34</v>
      </c>
      <c r="G20">
        <v>-22</v>
      </c>
      <c r="H20">
        <v>-16</v>
      </c>
      <c r="I20">
        <v>-28</v>
      </c>
    </row>
    <row r="21" spans="1:9" x14ac:dyDescent="0.25">
      <c r="A21" s="35" t="s">
        <v>58</v>
      </c>
      <c r="B21">
        <v>0</v>
      </c>
      <c r="C21">
        <v>0</v>
      </c>
      <c r="D21">
        <v>0</v>
      </c>
      <c r="E21">
        <v>1</v>
      </c>
      <c r="F21">
        <v>1</v>
      </c>
      <c r="G21">
        <v>0</v>
      </c>
      <c r="H21">
        <v>0</v>
      </c>
      <c r="I21">
        <v>0</v>
      </c>
    </row>
    <row r="22" spans="1:9" x14ac:dyDescent="0.25">
      <c r="A22" s="17"/>
    </row>
    <row r="23" spans="1:9" x14ac:dyDescent="0.25">
      <c r="A23" s="17"/>
    </row>
    <row r="24" spans="1:9" x14ac:dyDescent="0.25">
      <c r="A24" s="17"/>
    </row>
    <row r="25" spans="1:9" x14ac:dyDescent="0.25">
      <c r="A25" s="18"/>
    </row>
    <row r="26" spans="1:9" x14ac:dyDescent="0.25">
      <c r="A26" s="17"/>
    </row>
    <row r="27" spans="1:9" x14ac:dyDescent="0.25">
      <c r="A27" s="17"/>
    </row>
    <row r="28" spans="1:9" x14ac:dyDescent="0.25">
      <c r="A28" s="17"/>
    </row>
    <row r="29" spans="1:9" x14ac:dyDescent="0.25">
      <c r="A29" s="17"/>
    </row>
    <row r="30" spans="1:9" x14ac:dyDescent="0.25">
      <c r="A30" s="17"/>
    </row>
    <row r="31" spans="1:9" x14ac:dyDescent="0.25">
      <c r="A31" s="17"/>
    </row>
    <row r="32" spans="1:9" x14ac:dyDescent="0.25">
      <c r="A32" s="17"/>
    </row>
    <row r="33" spans="1:19" x14ac:dyDescent="0.25">
      <c r="A33" s="17"/>
    </row>
    <row r="34" spans="1:19" x14ac:dyDescent="0.25">
      <c r="A34" s="14"/>
    </row>
    <row r="47" spans="1:19" x14ac:dyDescent="0.25">
      <c r="L47" s="16"/>
      <c r="M47" s="16"/>
      <c r="N47" s="16"/>
      <c r="O47" s="16"/>
      <c r="P47" s="16"/>
      <c r="Q47" s="16"/>
      <c r="R47" s="16"/>
      <c r="S47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S34"/>
  <sheetViews>
    <sheetView workbookViewId="0">
      <selection activeCell="D11" sqref="D11"/>
    </sheetView>
  </sheetViews>
  <sheetFormatPr defaultRowHeight="15" x14ac:dyDescent="0.25"/>
  <cols>
    <col min="1" max="1" width="19.5703125" customWidth="1"/>
    <col min="2" max="2" width="9.7109375" customWidth="1"/>
    <col min="11" max="11" width="12.5703125" customWidth="1"/>
    <col min="12" max="12" width="9.5703125" bestFit="1" customWidth="1"/>
  </cols>
  <sheetData>
    <row r="1" spans="1:19" ht="17.25" x14ac:dyDescent="0.25">
      <c r="A1" s="2" t="s">
        <v>12</v>
      </c>
      <c r="B1" s="36">
        <v>2006</v>
      </c>
      <c r="C1" s="36">
        <v>2007</v>
      </c>
      <c r="D1" s="36">
        <v>2008</v>
      </c>
      <c r="E1" s="36">
        <v>2009</v>
      </c>
      <c r="F1" s="36">
        <v>2010</v>
      </c>
      <c r="G1" s="36">
        <v>2011</v>
      </c>
      <c r="H1" s="36">
        <v>2012</v>
      </c>
      <c r="I1" s="36">
        <v>2013</v>
      </c>
      <c r="K1" s="5"/>
      <c r="L1" s="36">
        <v>2006</v>
      </c>
      <c r="M1" s="36">
        <v>2007</v>
      </c>
      <c r="N1" s="36">
        <v>2008</v>
      </c>
      <c r="O1" s="36">
        <v>2009</v>
      </c>
      <c r="P1" s="36">
        <v>2010</v>
      </c>
      <c r="Q1" s="36">
        <v>2011</v>
      </c>
      <c r="R1" s="36">
        <v>2012</v>
      </c>
      <c r="S1" s="36">
        <v>2013</v>
      </c>
    </row>
    <row r="2" spans="1:19" ht="15.75" x14ac:dyDescent="0.25">
      <c r="A2" s="3" t="s">
        <v>24</v>
      </c>
      <c r="K2" s="4" t="s">
        <v>33</v>
      </c>
      <c r="L2">
        <v>18750</v>
      </c>
      <c r="M2">
        <v>23238</v>
      </c>
      <c r="N2">
        <v>29032</v>
      </c>
      <c r="O2">
        <v>26206</v>
      </c>
      <c r="P2">
        <v>27169</v>
      </c>
      <c r="Q2">
        <v>34503</v>
      </c>
      <c r="R2">
        <v>34988</v>
      </c>
      <c r="S2">
        <v>34938</v>
      </c>
    </row>
    <row r="3" spans="1:19" x14ac:dyDescent="0.25">
      <c r="A3" s="4" t="s">
        <v>10</v>
      </c>
      <c r="B3" s="9">
        <f>LN(L2)</f>
        <v>9.8389490313985561</v>
      </c>
      <c r="C3" s="9">
        <f t="shared" ref="C3:I3" si="0">LN(M2)</f>
        <v>10.053544148742807</v>
      </c>
      <c r="D3" s="9">
        <f t="shared" si="0"/>
        <v>10.276153948892906</v>
      </c>
      <c r="E3" s="9">
        <f t="shared" si="0"/>
        <v>10.17374367116453</v>
      </c>
      <c r="F3" s="9">
        <f t="shared" si="0"/>
        <v>10.209831896443099</v>
      </c>
      <c r="G3" s="9">
        <f t="shared" si="0"/>
        <v>10.44880155576069</v>
      </c>
      <c r="H3" s="9">
        <f t="shared" si="0"/>
        <v>10.462760424539745</v>
      </c>
      <c r="I3" s="9">
        <f t="shared" si="0"/>
        <v>10.461330341065175</v>
      </c>
      <c r="K3" s="4" t="s">
        <v>27</v>
      </c>
      <c r="L3">
        <v>18947</v>
      </c>
      <c r="M3">
        <v>23862</v>
      </c>
      <c r="N3">
        <v>26889</v>
      </c>
      <c r="O3">
        <v>25199</v>
      </c>
      <c r="P3">
        <v>23871</v>
      </c>
      <c r="Q3">
        <v>27710</v>
      </c>
      <c r="R3">
        <v>28957</v>
      </c>
      <c r="S3">
        <v>29018</v>
      </c>
    </row>
    <row r="4" spans="1:19" x14ac:dyDescent="0.25">
      <c r="A4" s="4" t="s">
        <v>13</v>
      </c>
      <c r="B4">
        <v>19802</v>
      </c>
      <c r="C4">
        <v>24849</v>
      </c>
      <c r="D4">
        <v>27850</v>
      </c>
      <c r="E4">
        <v>26039</v>
      </c>
      <c r="F4">
        <v>24720</v>
      </c>
      <c r="G4">
        <v>28652</v>
      </c>
      <c r="H4">
        <v>29813</v>
      </c>
      <c r="I4">
        <v>29934</v>
      </c>
      <c r="K4" s="4" t="s">
        <v>28</v>
      </c>
      <c r="L4">
        <v>6831</v>
      </c>
      <c r="M4">
        <v>7937</v>
      </c>
      <c r="N4">
        <v>10493</v>
      </c>
      <c r="O4">
        <v>12229</v>
      </c>
      <c r="P4">
        <v>13582</v>
      </c>
      <c r="Q4">
        <v>15144</v>
      </c>
      <c r="R4">
        <v>14453</v>
      </c>
      <c r="S4">
        <v>16162</v>
      </c>
    </row>
    <row r="5" spans="1:19" x14ac:dyDescent="0.25">
      <c r="A5" s="4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4" t="s">
        <v>53</v>
      </c>
      <c r="L5">
        <v>546</v>
      </c>
      <c r="M5">
        <v>856</v>
      </c>
      <c r="N5">
        <v>1083</v>
      </c>
      <c r="O5">
        <v>1112</v>
      </c>
      <c r="P5">
        <v>1328</v>
      </c>
      <c r="Q5">
        <v>1564</v>
      </c>
      <c r="R5">
        <v>1404</v>
      </c>
      <c r="S5">
        <v>1454</v>
      </c>
    </row>
    <row r="6" spans="1:19" x14ac:dyDescent="0.25">
      <c r="A6" s="4" t="s">
        <v>11</v>
      </c>
      <c r="B6" s="9">
        <f>L3/B4</f>
        <v>0.95682254317745685</v>
      </c>
      <c r="C6" s="9">
        <f t="shared" ref="C6:I6" si="1">M3/C4</f>
        <v>0.96028009175419538</v>
      </c>
      <c r="D6" s="9">
        <f t="shared" si="1"/>
        <v>0.96549371633752246</v>
      </c>
      <c r="E6" s="9">
        <f t="shared" si="1"/>
        <v>0.96774069664733664</v>
      </c>
      <c r="F6" s="9">
        <f t="shared" si="1"/>
        <v>0.9656553398058253</v>
      </c>
      <c r="G6" s="9">
        <f t="shared" si="1"/>
        <v>0.96712271394667038</v>
      </c>
      <c r="H6" s="9">
        <f t="shared" si="1"/>
        <v>0.97128769328816289</v>
      </c>
      <c r="I6" s="9">
        <f t="shared" si="1"/>
        <v>0.96939934522616422</v>
      </c>
      <c r="K6" s="21" t="s">
        <v>62</v>
      </c>
      <c r="L6">
        <v>6379</v>
      </c>
      <c r="M6">
        <v>7179</v>
      </c>
      <c r="N6">
        <v>10001</v>
      </c>
      <c r="O6">
        <v>7711</v>
      </c>
      <c r="P6">
        <v>6660</v>
      </c>
      <c r="Q6">
        <v>6500</v>
      </c>
      <c r="R6">
        <v>6069</v>
      </c>
      <c r="S6">
        <v>9111</v>
      </c>
    </row>
    <row r="7" spans="1:19" ht="15.75" x14ac:dyDescent="0.25">
      <c r="A7" s="3" t="s">
        <v>21</v>
      </c>
      <c r="K7" s="4" t="s">
        <v>30</v>
      </c>
      <c r="L7">
        <v>526</v>
      </c>
      <c r="M7">
        <v>643</v>
      </c>
      <c r="N7">
        <v>718</v>
      </c>
      <c r="O7">
        <v>654</v>
      </c>
      <c r="P7">
        <v>625</v>
      </c>
      <c r="Q7">
        <v>648</v>
      </c>
      <c r="R7">
        <v>707</v>
      </c>
      <c r="S7">
        <v>732</v>
      </c>
    </row>
    <row r="8" spans="1:19" x14ac:dyDescent="0.25">
      <c r="A8" s="4" t="s">
        <v>8</v>
      </c>
      <c r="B8" s="9">
        <f>(L2-L4+L14)/L2</f>
        <v>1.0958840000000001</v>
      </c>
      <c r="C8" s="9">
        <f t="shared" ref="C8:I8" si="2">(M2-M4+M14)/M2</f>
        <v>1.089990532748085</v>
      </c>
      <c r="D8" s="9">
        <f t="shared" si="2"/>
        <v>1.6369351060898318</v>
      </c>
      <c r="E8" s="9">
        <f t="shared" si="2"/>
        <v>2.1275662062123177</v>
      </c>
      <c r="F8" s="9">
        <f t="shared" si="2"/>
        <v>2.7010342669954728</v>
      </c>
      <c r="G8" s="9">
        <f t="shared" si="2"/>
        <v>2.1453163493029592</v>
      </c>
      <c r="H8" s="9">
        <f t="shared" si="2"/>
        <v>2.2091388476048932</v>
      </c>
      <c r="I8" s="9">
        <f t="shared" si="2"/>
        <v>2.5185614517144654</v>
      </c>
      <c r="K8" s="4" t="s">
        <v>34</v>
      </c>
      <c r="L8">
        <v>2203</v>
      </c>
      <c r="M8">
        <v>3456</v>
      </c>
      <c r="N8">
        <v>3701</v>
      </c>
      <c r="O8">
        <v>1947</v>
      </c>
      <c r="P8">
        <v>1352</v>
      </c>
      <c r="Q8">
        <v>5311</v>
      </c>
      <c r="R8">
        <v>6101</v>
      </c>
      <c r="S8">
        <v>4662</v>
      </c>
    </row>
    <row r="9" spans="1:19" x14ac:dyDescent="0.25">
      <c r="A9" s="4" t="s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K9" s="4" t="s">
        <v>31</v>
      </c>
      <c r="L9">
        <v>373</v>
      </c>
      <c r="M9">
        <v>556</v>
      </c>
      <c r="N9">
        <v>747</v>
      </c>
      <c r="O9">
        <v>451</v>
      </c>
      <c r="P9">
        <v>429</v>
      </c>
      <c r="Q9">
        <v>555</v>
      </c>
      <c r="R9">
        <v>531</v>
      </c>
      <c r="S9">
        <v>495</v>
      </c>
    </row>
    <row r="10" spans="1:19" x14ac:dyDescent="0.25">
      <c r="A10" s="4" t="s">
        <v>5</v>
      </c>
      <c r="B10">
        <f>L6</f>
        <v>6379</v>
      </c>
      <c r="C10">
        <f t="shared" ref="C10:I10" si="3">M6</f>
        <v>7179</v>
      </c>
      <c r="D10">
        <f t="shared" si="3"/>
        <v>10001</v>
      </c>
      <c r="E10">
        <f t="shared" si="3"/>
        <v>7711</v>
      </c>
      <c r="F10">
        <f t="shared" si="3"/>
        <v>6660</v>
      </c>
      <c r="G10">
        <f t="shared" si="3"/>
        <v>6500</v>
      </c>
      <c r="H10">
        <f t="shared" si="3"/>
        <v>6069</v>
      </c>
      <c r="I10">
        <f t="shared" si="3"/>
        <v>9111</v>
      </c>
      <c r="K10" s="4" t="s">
        <v>32</v>
      </c>
      <c r="L10">
        <v>1725</v>
      </c>
      <c r="M10">
        <v>3180</v>
      </c>
      <c r="N10">
        <v>3807</v>
      </c>
      <c r="O10">
        <v>2737</v>
      </c>
      <c r="P10">
        <v>3116</v>
      </c>
      <c r="Q10">
        <v>3251</v>
      </c>
      <c r="R10">
        <v>3223</v>
      </c>
      <c r="S10">
        <v>3040</v>
      </c>
    </row>
    <row r="11" spans="1:19" x14ac:dyDescent="0.25">
      <c r="A11" s="4" t="s">
        <v>7</v>
      </c>
      <c r="B11" s="9">
        <f>B10/B4</f>
        <v>0.32213917786082213</v>
      </c>
      <c r="C11" s="9">
        <f t="shared" ref="C11:I11" si="4">C10/C4</f>
        <v>0.28890498611614152</v>
      </c>
      <c r="D11" s="9">
        <f t="shared" si="4"/>
        <v>0.35910233393177737</v>
      </c>
      <c r="E11" s="9">
        <f t="shared" si="4"/>
        <v>0.29613272399093665</v>
      </c>
      <c r="F11" s="9">
        <f t="shared" si="4"/>
        <v>0.26941747572815533</v>
      </c>
      <c r="G11" s="9">
        <f t="shared" si="4"/>
        <v>0.22686025408348456</v>
      </c>
      <c r="H11" s="9">
        <f t="shared" si="4"/>
        <v>0.20356891289034984</v>
      </c>
      <c r="I11" s="9">
        <f t="shared" si="4"/>
        <v>0.30436961314892763</v>
      </c>
      <c r="K11" s="4" t="s">
        <v>54</v>
      </c>
      <c r="L11">
        <v>6742</v>
      </c>
      <c r="M11">
        <v>8456</v>
      </c>
      <c r="N11">
        <v>10742</v>
      </c>
      <c r="O11">
        <v>7676</v>
      </c>
      <c r="P11">
        <v>7954</v>
      </c>
      <c r="Q11">
        <v>9385</v>
      </c>
      <c r="R11">
        <v>9407</v>
      </c>
      <c r="S11">
        <v>10022</v>
      </c>
    </row>
    <row r="12" spans="1:19" ht="15.75" x14ac:dyDescent="0.25">
      <c r="A12" s="3" t="s">
        <v>0</v>
      </c>
      <c r="K12" s="4" t="s">
        <v>51</v>
      </c>
      <c r="L12">
        <v>111.7</v>
      </c>
      <c r="M12">
        <v>110.2</v>
      </c>
      <c r="N12">
        <v>429.4</v>
      </c>
      <c r="O12">
        <v>422</v>
      </c>
      <c r="P12">
        <v>422</v>
      </c>
      <c r="Q12">
        <v>419.5</v>
      </c>
      <c r="R12">
        <v>419.5</v>
      </c>
      <c r="S12">
        <v>419.5</v>
      </c>
    </row>
    <row r="13" spans="1:19" x14ac:dyDescent="0.25">
      <c r="A13" s="4" t="s">
        <v>16</v>
      </c>
      <c r="B13" s="8">
        <f>L7/B4</f>
        <v>2.6562973437026564E-2</v>
      </c>
      <c r="C13" s="8">
        <f t="shared" ref="C13:I13" si="5">M7/C4</f>
        <v>2.5876292808563725E-2</v>
      </c>
      <c r="D13" s="8">
        <f t="shared" si="5"/>
        <v>2.5780969479353679E-2</v>
      </c>
      <c r="E13" s="8">
        <f t="shared" si="5"/>
        <v>2.5116171896002151E-2</v>
      </c>
      <c r="F13" s="8">
        <f t="shared" si="5"/>
        <v>2.52831715210356E-2</v>
      </c>
      <c r="G13" s="8">
        <f t="shared" si="5"/>
        <v>2.2616222253245846E-2</v>
      </c>
      <c r="H13" s="8">
        <f t="shared" si="5"/>
        <v>2.3714486968772014E-2</v>
      </c>
      <c r="I13" s="8">
        <f t="shared" si="5"/>
        <v>2.4453798356384046E-2</v>
      </c>
      <c r="K13" s="4" t="s">
        <v>52</v>
      </c>
      <c r="L13">
        <v>77.25</v>
      </c>
      <c r="M13">
        <v>91</v>
      </c>
      <c r="N13">
        <v>67.5</v>
      </c>
      <c r="O13">
        <v>99</v>
      </c>
      <c r="P13">
        <v>141.69999999999999</v>
      </c>
      <c r="Q13">
        <v>130.30000000000001</v>
      </c>
      <c r="R13">
        <v>135.30000000000001</v>
      </c>
      <c r="S13">
        <v>165</v>
      </c>
    </row>
    <row r="14" spans="1:19" x14ac:dyDescent="0.25">
      <c r="A14" s="4" t="s">
        <v>14</v>
      </c>
      <c r="B14" s="9">
        <f>L8/L4</f>
        <v>0.32250036597862686</v>
      </c>
      <c r="C14" s="9">
        <f t="shared" ref="C14:I14" si="6">M8/M4</f>
        <v>0.43542900340178908</v>
      </c>
      <c r="D14" s="9">
        <f t="shared" si="6"/>
        <v>0.35271133136376631</v>
      </c>
      <c r="E14" s="9">
        <f t="shared" si="6"/>
        <v>0.15921170986998121</v>
      </c>
      <c r="F14" s="9">
        <f t="shared" si="6"/>
        <v>9.9543513473715206E-2</v>
      </c>
      <c r="G14" s="9">
        <f t="shared" si="6"/>
        <v>0.35069994717379821</v>
      </c>
      <c r="H14" s="9">
        <f t="shared" si="6"/>
        <v>0.42212689407043519</v>
      </c>
      <c r="I14" s="9">
        <f t="shared" si="6"/>
        <v>0.2884543992080188</v>
      </c>
      <c r="K14" s="4" t="s">
        <v>29</v>
      </c>
      <c r="L14" s="25">
        <f>L13*L12</f>
        <v>8628.8250000000007</v>
      </c>
      <c r="M14" s="25">
        <f t="shared" ref="M14:S14" si="7">M13*M12</f>
        <v>10028.200000000001</v>
      </c>
      <c r="N14" s="25">
        <f t="shared" si="7"/>
        <v>28984.5</v>
      </c>
      <c r="O14" s="25">
        <f t="shared" si="7"/>
        <v>41778</v>
      </c>
      <c r="P14" s="25">
        <f t="shared" si="7"/>
        <v>59797.399999999994</v>
      </c>
      <c r="Q14" s="25">
        <f t="shared" si="7"/>
        <v>54660.850000000006</v>
      </c>
      <c r="R14" s="25">
        <f t="shared" si="7"/>
        <v>56758.350000000006</v>
      </c>
      <c r="S14" s="25">
        <f t="shared" si="7"/>
        <v>69217.5</v>
      </c>
    </row>
    <row r="15" spans="1:19" x14ac:dyDescent="0.25">
      <c r="A15" s="4" t="s">
        <v>40</v>
      </c>
      <c r="B15" s="8">
        <f>L5/L11</f>
        <v>8.0984870958172653E-2</v>
      </c>
      <c r="C15" s="8">
        <f t="shared" ref="C15:I15" si="8">M5/M11</f>
        <v>0.10122989593188268</v>
      </c>
      <c r="D15" s="8">
        <f t="shared" si="8"/>
        <v>0.10081921429901322</v>
      </c>
      <c r="E15" s="8">
        <f t="shared" si="8"/>
        <v>0.14486711829077645</v>
      </c>
      <c r="F15" s="8">
        <f t="shared" si="8"/>
        <v>0.16696002011566508</v>
      </c>
      <c r="G15" s="8">
        <f t="shared" si="8"/>
        <v>0.16664890783164624</v>
      </c>
      <c r="H15" s="8">
        <f t="shared" si="8"/>
        <v>0.14925055809503562</v>
      </c>
      <c r="I15" s="8">
        <f t="shared" si="8"/>
        <v>0.1450808221911794</v>
      </c>
    </row>
    <row r="16" spans="1:19" x14ac:dyDescent="0.25">
      <c r="A16" s="4" t="s">
        <v>15</v>
      </c>
      <c r="B16" s="8">
        <f>L9/B4</f>
        <v>1.8836481163518836E-2</v>
      </c>
      <c r="C16" s="8">
        <f t="shared" ref="C16:I16" si="9">M9/C4</f>
        <v>2.2375145881121977E-2</v>
      </c>
      <c r="D16" s="8">
        <f t="shared" si="9"/>
        <v>2.6822262118491921E-2</v>
      </c>
      <c r="E16" s="8">
        <f t="shared" si="9"/>
        <v>1.7320173585775183E-2</v>
      </c>
      <c r="F16" s="8">
        <f t="shared" si="9"/>
        <v>1.7354368932038833E-2</v>
      </c>
      <c r="G16" s="8">
        <f t="shared" si="9"/>
        <v>1.9370375540974451E-2</v>
      </c>
      <c r="H16" s="8">
        <f t="shared" si="9"/>
        <v>1.7811022037366248E-2</v>
      </c>
      <c r="I16" s="8">
        <f t="shared" si="9"/>
        <v>1.6536380036079375E-2</v>
      </c>
    </row>
    <row r="17" spans="1:9" x14ac:dyDescent="0.25">
      <c r="A17" s="4" t="s">
        <v>9</v>
      </c>
      <c r="B17" s="8">
        <f>L10/L2</f>
        <v>9.1999999999999998E-2</v>
      </c>
      <c r="C17" s="8">
        <f t="shared" ref="C17:I17" si="10">M10/M2</f>
        <v>0.13684482313452104</v>
      </c>
      <c r="D17" s="8">
        <f t="shared" si="10"/>
        <v>0.13113116561036098</v>
      </c>
      <c r="E17" s="8">
        <f t="shared" si="10"/>
        <v>0.10444173090132031</v>
      </c>
      <c r="F17" s="8">
        <f t="shared" si="10"/>
        <v>0.11468953586808495</v>
      </c>
      <c r="G17" s="8">
        <f t="shared" si="10"/>
        <v>9.4223690693562873E-2</v>
      </c>
      <c r="H17" s="8">
        <f t="shared" si="10"/>
        <v>9.2117297359094547E-2</v>
      </c>
      <c r="I17" s="8">
        <f t="shared" si="10"/>
        <v>8.701127711946878E-2</v>
      </c>
    </row>
    <row r="18" spans="1:9" x14ac:dyDescent="0.25">
      <c r="A18" s="4" t="s">
        <v>44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s="4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t="s">
        <v>57</v>
      </c>
      <c r="B20">
        <v>-448</v>
      </c>
      <c r="C20">
        <v>26</v>
      </c>
      <c r="D20">
        <v>-515</v>
      </c>
      <c r="E20">
        <v>551</v>
      </c>
      <c r="F20">
        <v>122</v>
      </c>
      <c r="G20">
        <v>-335</v>
      </c>
      <c r="H20">
        <v>168</v>
      </c>
      <c r="I20">
        <v>13</v>
      </c>
    </row>
    <row r="21" spans="1:9" x14ac:dyDescent="0.25">
      <c r="A21" s="17" t="s">
        <v>58</v>
      </c>
      <c r="B21">
        <v>0</v>
      </c>
      <c r="C21">
        <v>1</v>
      </c>
      <c r="D21">
        <v>0</v>
      </c>
      <c r="E21">
        <v>1</v>
      </c>
      <c r="F21">
        <v>1</v>
      </c>
      <c r="G21">
        <v>0</v>
      </c>
      <c r="H21">
        <v>1</v>
      </c>
      <c r="I21">
        <v>1</v>
      </c>
    </row>
    <row r="22" spans="1:9" x14ac:dyDescent="0.25">
      <c r="A22" s="17"/>
    </row>
    <row r="23" spans="1:9" x14ac:dyDescent="0.25">
      <c r="A23" s="17"/>
    </row>
    <row r="24" spans="1:9" x14ac:dyDescent="0.25">
      <c r="A24" s="17"/>
    </row>
    <row r="25" spans="1:9" x14ac:dyDescent="0.25">
      <c r="A25" s="18"/>
    </row>
    <row r="26" spans="1:9" x14ac:dyDescent="0.25">
      <c r="A26" s="17"/>
    </row>
    <row r="27" spans="1:9" x14ac:dyDescent="0.25">
      <c r="A27" s="17"/>
    </row>
    <row r="28" spans="1:9" x14ac:dyDescent="0.25">
      <c r="A28" s="17"/>
    </row>
    <row r="29" spans="1:9" x14ac:dyDescent="0.25">
      <c r="A29" s="17"/>
    </row>
    <row r="30" spans="1:9" x14ac:dyDescent="0.25">
      <c r="A30" s="17"/>
    </row>
    <row r="31" spans="1:9" x14ac:dyDescent="0.25">
      <c r="A31" s="17"/>
    </row>
    <row r="32" spans="1:9" x14ac:dyDescent="0.25">
      <c r="A32" s="17"/>
    </row>
    <row r="33" spans="1:1" x14ac:dyDescent="0.25">
      <c r="A33" s="17"/>
    </row>
    <row r="34" spans="1:1" x14ac:dyDescent="0.25">
      <c r="A34" s="14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0"/>
  <dimension ref="A1:S34"/>
  <sheetViews>
    <sheetView workbookViewId="0">
      <selection activeCell="B11" sqref="B11:I11"/>
    </sheetView>
  </sheetViews>
  <sheetFormatPr defaultRowHeight="15" x14ac:dyDescent="0.25"/>
  <cols>
    <col min="1" max="1" width="19.5703125" customWidth="1"/>
    <col min="11" max="11" width="12.5703125" customWidth="1"/>
  </cols>
  <sheetData>
    <row r="1" spans="1:19" ht="17.25" x14ac:dyDescent="0.25">
      <c r="A1" s="32" t="s">
        <v>12</v>
      </c>
      <c r="B1" s="36">
        <v>2006</v>
      </c>
      <c r="C1" s="36">
        <v>2007</v>
      </c>
      <c r="D1" s="36">
        <v>2008</v>
      </c>
      <c r="E1" s="36">
        <v>2009</v>
      </c>
      <c r="F1" s="36">
        <v>2010</v>
      </c>
      <c r="G1" s="36">
        <v>2011</v>
      </c>
      <c r="H1" s="36">
        <v>2012</v>
      </c>
      <c r="I1" s="36">
        <v>2013</v>
      </c>
      <c r="K1" s="5"/>
      <c r="L1" s="36">
        <v>2006</v>
      </c>
      <c r="M1" s="36">
        <v>2007</v>
      </c>
      <c r="N1" s="36">
        <v>2008</v>
      </c>
      <c r="O1" s="36">
        <v>2009</v>
      </c>
      <c r="P1" s="36">
        <v>2010</v>
      </c>
      <c r="Q1" s="36">
        <v>2011</v>
      </c>
      <c r="R1" s="36">
        <v>2012</v>
      </c>
      <c r="S1" s="36">
        <v>2013</v>
      </c>
    </row>
    <row r="2" spans="1:19" ht="15.75" x14ac:dyDescent="0.25">
      <c r="A2" s="33" t="s">
        <v>24</v>
      </c>
      <c r="K2" s="34" t="s">
        <v>33</v>
      </c>
      <c r="L2">
        <v>66164</v>
      </c>
      <c r="M2">
        <v>48648</v>
      </c>
      <c r="N2">
        <v>47133</v>
      </c>
      <c r="O2">
        <v>43005</v>
      </c>
      <c r="P2">
        <v>42085</v>
      </c>
      <c r="Q2">
        <v>46864</v>
      </c>
      <c r="R2">
        <v>49189</v>
      </c>
      <c r="S2">
        <v>39855</v>
      </c>
    </row>
    <row r="3" spans="1:19" x14ac:dyDescent="0.25">
      <c r="A3" s="34" t="s">
        <v>10</v>
      </c>
      <c r="B3" s="9">
        <f>LN(L2)</f>
        <v>11.099891787362111</v>
      </c>
      <c r="C3" s="9">
        <f t="shared" ref="C3:I3" si="0">LN(M2)</f>
        <v>10.792365976799946</v>
      </c>
      <c r="D3" s="9">
        <f t="shared" si="0"/>
        <v>10.760728671615707</v>
      </c>
      <c r="E3" s="9">
        <f t="shared" si="0"/>
        <v>10.66907166698558</v>
      </c>
      <c r="F3" s="9">
        <f t="shared" si="0"/>
        <v>10.647446661645677</v>
      </c>
      <c r="G3" s="9">
        <f t="shared" si="0"/>
        <v>10.755005069067515</v>
      </c>
      <c r="H3" s="9">
        <f t="shared" si="0"/>
        <v>10.803425300247511</v>
      </c>
      <c r="I3" s="9">
        <f t="shared" si="0"/>
        <v>10.593003146862024</v>
      </c>
      <c r="K3" s="34" t="s">
        <v>27</v>
      </c>
      <c r="L3">
        <v>27417</v>
      </c>
      <c r="M3">
        <v>27832</v>
      </c>
      <c r="N3">
        <v>26899</v>
      </c>
      <c r="O3">
        <v>27855</v>
      </c>
      <c r="P3">
        <v>27874</v>
      </c>
      <c r="Q3">
        <v>27837</v>
      </c>
      <c r="R3">
        <v>18039</v>
      </c>
      <c r="S3">
        <v>17411</v>
      </c>
    </row>
    <row r="4" spans="1:19" x14ac:dyDescent="0.25">
      <c r="A4" s="34" t="s">
        <v>13</v>
      </c>
      <c r="B4">
        <v>38530</v>
      </c>
      <c r="C4">
        <v>38930</v>
      </c>
      <c r="D4">
        <v>38272</v>
      </c>
      <c r="E4">
        <v>32296</v>
      </c>
      <c r="F4">
        <v>30443</v>
      </c>
      <c r="G4">
        <v>29538</v>
      </c>
      <c r="H4">
        <v>30742</v>
      </c>
      <c r="I4">
        <v>29871</v>
      </c>
      <c r="K4" s="34" t="s">
        <v>28</v>
      </c>
      <c r="L4">
        <v>29123</v>
      </c>
      <c r="M4">
        <v>26849</v>
      </c>
      <c r="N4">
        <v>28201</v>
      </c>
      <c r="O4">
        <v>28823</v>
      </c>
      <c r="P4">
        <v>28875</v>
      </c>
      <c r="Q4">
        <v>21452</v>
      </c>
      <c r="R4">
        <v>20429</v>
      </c>
      <c r="S4">
        <v>21591</v>
      </c>
    </row>
    <row r="5" spans="1:19" x14ac:dyDescent="0.25">
      <c r="A5" s="34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34" t="s">
        <v>53</v>
      </c>
      <c r="L5">
        <v>2459</v>
      </c>
      <c r="M5">
        <v>2619</v>
      </c>
      <c r="N5">
        <v>1312</v>
      </c>
      <c r="O5">
        <v>1250</v>
      </c>
      <c r="P5">
        <v>976</v>
      </c>
      <c r="Q5">
        <v>834</v>
      </c>
      <c r="R5">
        <v>1348</v>
      </c>
      <c r="S5">
        <v>1673</v>
      </c>
    </row>
    <row r="6" spans="1:19" x14ac:dyDescent="0.25">
      <c r="A6" s="34" t="s">
        <v>11</v>
      </c>
      <c r="B6" s="9">
        <f>L3/B4</f>
        <v>0.71157539579548401</v>
      </c>
      <c r="C6" s="9">
        <f t="shared" ref="C6:I6" si="1">M3/C4</f>
        <v>0.71492422296429492</v>
      </c>
      <c r="D6" s="9">
        <f t="shared" si="1"/>
        <v>0.70283758361204018</v>
      </c>
      <c r="E6" s="9">
        <f t="shared" si="1"/>
        <v>0.86249071092395346</v>
      </c>
      <c r="F6" s="9">
        <f t="shared" si="1"/>
        <v>0.91561278454817197</v>
      </c>
      <c r="G6" s="9">
        <f t="shared" si="1"/>
        <v>0.94241316270566733</v>
      </c>
      <c r="H6" s="9">
        <f t="shared" si="1"/>
        <v>0.58678680632359637</v>
      </c>
      <c r="I6" s="9">
        <f t="shared" si="1"/>
        <v>0.5828730206554853</v>
      </c>
      <c r="K6" s="37" t="s">
        <v>62</v>
      </c>
      <c r="L6">
        <v>14325</v>
      </c>
      <c r="M6">
        <v>11536</v>
      </c>
      <c r="N6">
        <v>3580</v>
      </c>
      <c r="O6">
        <v>1400</v>
      </c>
      <c r="P6">
        <v>1198</v>
      </c>
      <c r="Q6">
        <v>12295</v>
      </c>
      <c r="R6">
        <v>14898</v>
      </c>
      <c r="S6">
        <v>6837</v>
      </c>
    </row>
    <row r="7" spans="1:19" ht="15.75" x14ac:dyDescent="0.25">
      <c r="A7" s="33" t="s">
        <v>21</v>
      </c>
      <c r="K7" s="34" t="s">
        <v>30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25">
      <c r="A8" s="34" t="s">
        <v>8</v>
      </c>
      <c r="B8" s="9">
        <f>(L2+L14-L4)/L2</f>
        <v>1.2316516534671422</v>
      </c>
      <c r="C8" s="9">
        <f t="shared" ref="C8:I8" si="2">(M2+M14-M4)/M2</f>
        <v>1.6433255221180727</v>
      </c>
      <c r="D8" s="9">
        <f t="shared" si="2"/>
        <v>1.0515159230263298</v>
      </c>
      <c r="E8" s="9">
        <f t="shared" si="2"/>
        <v>1.4606036507382865</v>
      </c>
      <c r="F8" s="9">
        <f t="shared" si="2"/>
        <v>1.7833622430794818</v>
      </c>
      <c r="G8" s="9">
        <f t="shared" si="2"/>
        <v>1.8168485404574941</v>
      </c>
      <c r="H8" s="9">
        <f t="shared" si="2"/>
        <v>1.6492939478338653</v>
      </c>
      <c r="I8" s="9">
        <f t="shared" si="2"/>
        <v>1.2775152427549867</v>
      </c>
      <c r="K8" s="34" t="s">
        <v>34</v>
      </c>
      <c r="L8">
        <v>17105</v>
      </c>
      <c r="M8">
        <v>7306</v>
      </c>
      <c r="N8">
        <v>9485</v>
      </c>
      <c r="O8">
        <v>3249</v>
      </c>
      <c r="P8">
        <v>2626</v>
      </c>
      <c r="Q8">
        <v>14190</v>
      </c>
      <c r="R8">
        <v>16953</v>
      </c>
      <c r="S8">
        <v>8751</v>
      </c>
    </row>
    <row r="9" spans="1:19" x14ac:dyDescent="0.25">
      <c r="A9" s="34" t="s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K9" s="34" t="s">
        <v>31</v>
      </c>
      <c r="L9">
        <v>5365</v>
      </c>
      <c r="M9">
        <v>5198</v>
      </c>
      <c r="N9">
        <v>4623</v>
      </c>
      <c r="O9">
        <v>4846</v>
      </c>
      <c r="P9">
        <v>4094</v>
      </c>
      <c r="Q9">
        <v>6095</v>
      </c>
      <c r="R9">
        <v>5294</v>
      </c>
      <c r="S9">
        <v>5534</v>
      </c>
    </row>
    <row r="10" spans="1:19" x14ac:dyDescent="0.25">
      <c r="A10" s="34" t="s">
        <v>5</v>
      </c>
      <c r="B10">
        <v>14325</v>
      </c>
      <c r="C10">
        <v>11536</v>
      </c>
      <c r="D10">
        <v>3580</v>
      </c>
      <c r="E10">
        <v>1400</v>
      </c>
      <c r="F10">
        <v>1198</v>
      </c>
      <c r="G10">
        <v>12295</v>
      </c>
      <c r="H10">
        <v>14898</v>
      </c>
      <c r="I10">
        <v>6837</v>
      </c>
      <c r="K10" s="34" t="s">
        <v>32</v>
      </c>
      <c r="L10">
        <v>-235</v>
      </c>
      <c r="M10">
        <v>-190</v>
      </c>
      <c r="N10">
        <v>1715</v>
      </c>
      <c r="O10">
        <v>3446</v>
      </c>
      <c r="P10">
        <v>4121</v>
      </c>
      <c r="Q10">
        <v>2056</v>
      </c>
      <c r="R10">
        <v>976</v>
      </c>
      <c r="S10">
        <v>655</v>
      </c>
    </row>
    <row r="11" spans="1:19" x14ac:dyDescent="0.25">
      <c r="A11" s="34" t="s">
        <v>7</v>
      </c>
      <c r="B11" s="9">
        <f>B10/B4</f>
        <v>0.37178821697378667</v>
      </c>
      <c r="C11" s="9">
        <f t="shared" ref="C11:I11" si="3">C10/C4</f>
        <v>0.29632674030310813</v>
      </c>
      <c r="D11" s="9">
        <f t="shared" si="3"/>
        <v>9.3540969899665552E-2</v>
      </c>
      <c r="E11" s="9">
        <f t="shared" si="3"/>
        <v>4.3349021550656425E-2</v>
      </c>
      <c r="F11" s="9">
        <f t="shared" si="3"/>
        <v>3.9352232040206291E-2</v>
      </c>
      <c r="G11" s="9">
        <f t="shared" si="3"/>
        <v>0.4162434829710881</v>
      </c>
      <c r="H11" s="9">
        <f t="shared" si="3"/>
        <v>0.48461388328670874</v>
      </c>
      <c r="I11" s="9">
        <f t="shared" si="3"/>
        <v>0.22888420206889626</v>
      </c>
      <c r="K11" s="34" t="s">
        <v>54</v>
      </c>
      <c r="L11">
        <v>15202</v>
      </c>
      <c r="M11">
        <v>21131</v>
      </c>
      <c r="N11">
        <v>7995</v>
      </c>
      <c r="O11">
        <v>16013</v>
      </c>
      <c r="P11">
        <v>10975</v>
      </c>
      <c r="Q11">
        <v>8951</v>
      </c>
      <c r="R11">
        <v>11488</v>
      </c>
      <c r="S11">
        <v>14587</v>
      </c>
    </row>
    <row r="12" spans="1:19" ht="15.75" x14ac:dyDescent="0.25">
      <c r="A12" s="33" t="s">
        <v>0</v>
      </c>
      <c r="K12" s="34" t="s">
        <v>51</v>
      </c>
      <c r="L12">
        <v>444.5</v>
      </c>
      <c r="M12">
        <v>449</v>
      </c>
      <c r="N12">
        <v>443.9</v>
      </c>
      <c r="O12">
        <v>441.3</v>
      </c>
      <c r="P12">
        <v>443</v>
      </c>
      <c r="Q12">
        <v>446.1</v>
      </c>
      <c r="R12">
        <v>447.2</v>
      </c>
      <c r="S12">
        <v>448.2</v>
      </c>
    </row>
    <row r="13" spans="1:19" x14ac:dyDescent="0.25">
      <c r="A13" s="34" t="s">
        <v>16</v>
      </c>
      <c r="B13">
        <f>L7/B4</f>
        <v>0</v>
      </c>
      <c r="C13">
        <f t="shared" ref="C13:I13" si="4">M7/C4</f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K13" s="34" t="s">
        <v>52</v>
      </c>
      <c r="L13">
        <v>100</v>
      </c>
      <c r="M13">
        <v>129.5</v>
      </c>
      <c r="N13">
        <v>69</v>
      </c>
      <c r="O13">
        <v>110.2</v>
      </c>
      <c r="P13">
        <v>139.6</v>
      </c>
      <c r="Q13">
        <v>133.9</v>
      </c>
      <c r="R13">
        <v>117.1</v>
      </c>
      <c r="S13">
        <v>72.849999999999994</v>
      </c>
    </row>
    <row r="14" spans="1:19" x14ac:dyDescent="0.25">
      <c r="A14" s="34" t="s">
        <v>14</v>
      </c>
      <c r="B14" s="9">
        <f>L8/L4</f>
        <v>0.58733646945713014</v>
      </c>
      <c r="C14" s="9">
        <f t="shared" ref="C14:I14" si="5">M8/M4</f>
        <v>0.27211441766918693</v>
      </c>
      <c r="D14" s="9">
        <f t="shared" si="5"/>
        <v>0.33633559093649162</v>
      </c>
      <c r="E14" s="9">
        <f t="shared" si="5"/>
        <v>0.11272247857613711</v>
      </c>
      <c r="F14" s="9">
        <f t="shared" si="5"/>
        <v>9.0943722943722938E-2</v>
      </c>
      <c r="G14" s="9">
        <f t="shared" si="5"/>
        <v>0.66147678538131638</v>
      </c>
      <c r="H14" s="9">
        <f t="shared" si="5"/>
        <v>0.82984972343237551</v>
      </c>
      <c r="I14" s="9">
        <f t="shared" si="5"/>
        <v>0.40530776712519107</v>
      </c>
      <c r="K14" s="34" t="s">
        <v>29</v>
      </c>
      <c r="L14">
        <f>L12*L13</f>
        <v>44450</v>
      </c>
      <c r="M14" s="16">
        <f t="shared" ref="M14:S14" si="6">M12*M13</f>
        <v>58145.5</v>
      </c>
      <c r="N14" s="16">
        <f t="shared" si="6"/>
        <v>30629.1</v>
      </c>
      <c r="O14" s="16">
        <f t="shared" si="6"/>
        <v>48631.26</v>
      </c>
      <c r="P14" s="16">
        <f t="shared" si="6"/>
        <v>61842.799999999996</v>
      </c>
      <c r="Q14" s="16">
        <f t="shared" si="6"/>
        <v>59732.790000000008</v>
      </c>
      <c r="R14" s="16">
        <f t="shared" si="6"/>
        <v>52367.119999999995</v>
      </c>
      <c r="S14" s="16">
        <f t="shared" si="6"/>
        <v>32651.369999999995</v>
      </c>
    </row>
    <row r="15" spans="1:19" x14ac:dyDescent="0.25">
      <c r="A15" s="34" t="s">
        <v>40</v>
      </c>
      <c r="B15" s="9">
        <f>L5/L11</f>
        <v>0.16175503223260099</v>
      </c>
      <c r="C15" s="9">
        <f t="shared" ref="C15:I15" si="7">M5/M11</f>
        <v>0.12394112914675122</v>
      </c>
      <c r="D15" s="9">
        <f t="shared" si="7"/>
        <v>0.1641025641025641</v>
      </c>
      <c r="E15" s="9">
        <f t="shared" si="7"/>
        <v>7.8061574970336597E-2</v>
      </c>
      <c r="F15" s="9">
        <f t="shared" si="7"/>
        <v>8.8929384965831429E-2</v>
      </c>
      <c r="G15" s="9">
        <f t="shared" si="7"/>
        <v>9.3173947045022909E-2</v>
      </c>
      <c r="H15" s="9">
        <f t="shared" si="7"/>
        <v>0.11733983286908078</v>
      </c>
      <c r="I15" s="9">
        <f t="shared" si="7"/>
        <v>0.11469116336463975</v>
      </c>
    </row>
    <row r="16" spans="1:19" x14ac:dyDescent="0.25">
      <c r="A16" s="34" t="s">
        <v>15</v>
      </c>
      <c r="B16" s="9">
        <f>L9/B4</f>
        <v>0.13924214897482481</v>
      </c>
      <c r="C16" s="9">
        <f t="shared" ref="C16:I16" si="8">M9/C4</f>
        <v>0.13352170562548163</v>
      </c>
      <c r="D16" s="9">
        <f t="shared" si="8"/>
        <v>0.12079326923076923</v>
      </c>
      <c r="E16" s="9">
        <f t="shared" si="8"/>
        <v>0.15004954173891505</v>
      </c>
      <c r="F16" s="9">
        <f t="shared" si="8"/>
        <v>0.13448083303222416</v>
      </c>
      <c r="G16" s="9">
        <f t="shared" si="8"/>
        <v>0.20634436996411401</v>
      </c>
      <c r="H16" s="9">
        <f t="shared" si="8"/>
        <v>0.17220740355214365</v>
      </c>
      <c r="I16" s="9">
        <f t="shared" si="8"/>
        <v>0.1852632988517291</v>
      </c>
    </row>
    <row r="17" spans="1:9" x14ac:dyDescent="0.25">
      <c r="A17" s="34" t="s">
        <v>9</v>
      </c>
      <c r="B17" s="8">
        <f>L10/L2</f>
        <v>-3.5517804243999757E-3</v>
      </c>
      <c r="C17" s="8">
        <f t="shared" ref="C17:I17" si="9">M10/M2</f>
        <v>-3.9056076303239599E-3</v>
      </c>
      <c r="D17" s="8">
        <f t="shared" si="9"/>
        <v>3.6386395943394226E-2</v>
      </c>
      <c r="E17" s="8">
        <f t="shared" si="9"/>
        <v>8.0130217416579469E-2</v>
      </c>
      <c r="F17" s="8">
        <f t="shared" si="9"/>
        <v>9.7920874420815013E-2</v>
      </c>
      <c r="G17" s="8">
        <f t="shared" si="9"/>
        <v>4.3871628542164559E-2</v>
      </c>
      <c r="H17" s="8">
        <f t="shared" si="9"/>
        <v>1.9841834556506534E-2</v>
      </c>
      <c r="I17" s="8">
        <f t="shared" si="9"/>
        <v>1.643457533559152E-2</v>
      </c>
    </row>
    <row r="18" spans="1:9" x14ac:dyDescent="0.25">
      <c r="A18" s="34" t="s">
        <v>44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s="34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s="34" t="s">
        <v>57</v>
      </c>
      <c r="B20">
        <v>-4321</v>
      </c>
      <c r="C20">
        <v>-3146</v>
      </c>
      <c r="D20">
        <v>2813</v>
      </c>
      <c r="E20">
        <v>-2079</v>
      </c>
      <c r="F20">
        <v>-4300</v>
      </c>
      <c r="G20">
        <v>-233</v>
      </c>
      <c r="H20">
        <v>1479</v>
      </c>
      <c r="I20">
        <v>2028</v>
      </c>
    </row>
    <row r="21" spans="1:9" x14ac:dyDescent="0.25">
      <c r="A21" s="35" t="s">
        <v>58</v>
      </c>
      <c r="B21">
        <v>0</v>
      </c>
      <c r="C21">
        <v>0</v>
      </c>
      <c r="D21">
        <v>1</v>
      </c>
      <c r="E21">
        <v>0</v>
      </c>
      <c r="F21">
        <v>0</v>
      </c>
      <c r="G21">
        <v>0</v>
      </c>
      <c r="H21">
        <v>1</v>
      </c>
      <c r="I21">
        <v>1</v>
      </c>
    </row>
    <row r="22" spans="1:9" x14ac:dyDescent="0.25">
      <c r="A22" s="17"/>
    </row>
    <row r="23" spans="1:9" x14ac:dyDescent="0.25">
      <c r="A23" s="17"/>
    </row>
    <row r="24" spans="1:9" x14ac:dyDescent="0.25">
      <c r="A24" s="17"/>
    </row>
    <row r="25" spans="1:9" x14ac:dyDescent="0.25">
      <c r="A25" s="18"/>
    </row>
    <row r="26" spans="1:9" x14ac:dyDescent="0.25">
      <c r="A26" s="17"/>
    </row>
    <row r="27" spans="1:9" x14ac:dyDescent="0.25">
      <c r="A27" s="17"/>
    </row>
    <row r="28" spans="1:9" x14ac:dyDescent="0.25">
      <c r="A28" s="17"/>
    </row>
    <row r="29" spans="1:9" x14ac:dyDescent="0.25">
      <c r="A29" s="17"/>
    </row>
    <row r="30" spans="1:9" x14ac:dyDescent="0.25">
      <c r="A30" s="17"/>
    </row>
    <row r="31" spans="1:9" x14ac:dyDescent="0.25">
      <c r="A31" s="17"/>
    </row>
    <row r="32" spans="1:9" x14ac:dyDescent="0.25">
      <c r="A32" s="17"/>
    </row>
    <row r="33" spans="1:1" x14ac:dyDescent="0.25">
      <c r="A33" s="17"/>
    </row>
    <row r="34" spans="1:1" x14ac:dyDescent="0.25">
      <c r="A34" s="14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1"/>
  <dimension ref="A1:S34"/>
  <sheetViews>
    <sheetView workbookViewId="0">
      <selection activeCell="C21" sqref="C21"/>
    </sheetView>
  </sheetViews>
  <sheetFormatPr defaultRowHeight="15" x14ac:dyDescent="0.25"/>
  <cols>
    <col min="1" max="1" width="19.5703125" customWidth="1"/>
    <col min="11" max="11" width="12.5703125" customWidth="1"/>
  </cols>
  <sheetData>
    <row r="1" spans="1:19" ht="17.25" x14ac:dyDescent="0.25">
      <c r="A1" s="32" t="s">
        <v>12</v>
      </c>
      <c r="B1" s="36">
        <v>2006</v>
      </c>
      <c r="C1" s="36">
        <v>2007</v>
      </c>
      <c r="D1" s="36">
        <v>2008</v>
      </c>
      <c r="E1" s="36">
        <v>2009</v>
      </c>
      <c r="F1" s="36">
        <v>2010</v>
      </c>
      <c r="G1" s="36">
        <v>2011</v>
      </c>
      <c r="H1" s="36">
        <v>2012</v>
      </c>
      <c r="I1" s="36">
        <v>2013</v>
      </c>
      <c r="K1" s="5"/>
      <c r="L1" s="36">
        <v>2006</v>
      </c>
      <c r="M1" s="36">
        <v>2007</v>
      </c>
      <c r="N1" s="36">
        <v>2008</v>
      </c>
      <c r="O1" s="36">
        <v>2009</v>
      </c>
      <c r="P1" s="36">
        <v>2010</v>
      </c>
      <c r="Q1" s="36">
        <v>2011</v>
      </c>
      <c r="R1" s="36">
        <v>2012</v>
      </c>
      <c r="S1" s="36">
        <v>2013</v>
      </c>
    </row>
    <row r="2" spans="1:19" ht="15.75" x14ac:dyDescent="0.25">
      <c r="A2" s="33" t="s">
        <v>24</v>
      </c>
      <c r="K2" s="34" t="s">
        <v>33</v>
      </c>
      <c r="L2">
        <v>199392</v>
      </c>
      <c r="M2">
        <v>216702</v>
      </c>
      <c r="N2">
        <v>264286</v>
      </c>
      <c r="O2">
        <v>269670</v>
      </c>
      <c r="P2">
        <v>250551</v>
      </c>
      <c r="Q2">
        <v>252883</v>
      </c>
      <c r="R2">
        <v>253046</v>
      </c>
      <c r="S2">
        <v>252828</v>
      </c>
    </row>
    <row r="3" spans="1:19" x14ac:dyDescent="0.25">
      <c r="A3" s="34" t="s">
        <v>10</v>
      </c>
      <c r="B3" s="9">
        <f>LN(L2)</f>
        <v>12.203028015343948</v>
      </c>
      <c r="C3" s="9">
        <f t="shared" ref="C3:I3" si="0">LN(M2)</f>
        <v>12.286278416831191</v>
      </c>
      <c r="D3" s="9">
        <f t="shared" si="0"/>
        <v>12.484787129079692</v>
      </c>
      <c r="E3" s="9">
        <f t="shared" si="0"/>
        <v>12.504954268235554</v>
      </c>
      <c r="F3" s="9">
        <f t="shared" si="0"/>
        <v>12.431417771599223</v>
      </c>
      <c r="G3" s="9">
        <f t="shared" si="0"/>
        <v>12.440682210153518</v>
      </c>
      <c r="H3" s="9">
        <f t="shared" si="0"/>
        <v>12.441326569364554</v>
      </c>
      <c r="I3" s="9">
        <f t="shared" si="0"/>
        <v>12.44046469461513</v>
      </c>
      <c r="K3" s="34" t="s">
        <v>27</v>
      </c>
      <c r="L3">
        <v>54763</v>
      </c>
      <c r="M3">
        <v>60298</v>
      </c>
      <c r="N3">
        <v>67695</v>
      </c>
      <c r="O3">
        <v>72838</v>
      </c>
      <c r="P3">
        <v>70287</v>
      </c>
      <c r="Q3">
        <v>68295</v>
      </c>
      <c r="R3">
        <v>68183</v>
      </c>
      <c r="S3">
        <v>66115</v>
      </c>
    </row>
    <row r="4" spans="1:19" x14ac:dyDescent="0.25">
      <c r="A4" s="34" t="s">
        <v>13</v>
      </c>
      <c r="B4">
        <v>91060</v>
      </c>
      <c r="C4">
        <v>96344</v>
      </c>
      <c r="D4">
        <v>103585</v>
      </c>
      <c r="E4">
        <v>109550</v>
      </c>
      <c r="F4">
        <v>106979</v>
      </c>
      <c r="G4">
        <v>104804</v>
      </c>
      <c r="H4">
        <v>104898</v>
      </c>
      <c r="I4">
        <v>101700</v>
      </c>
      <c r="K4" s="34" t="s">
        <v>28</v>
      </c>
      <c r="L4">
        <v>127717</v>
      </c>
      <c r="M4">
        <v>127057</v>
      </c>
      <c r="N4">
        <v>141448</v>
      </c>
      <c r="O4">
        <v>142499</v>
      </c>
      <c r="P4">
        <v>132665</v>
      </c>
      <c r="Q4">
        <v>122871</v>
      </c>
      <c r="R4">
        <v>109106</v>
      </c>
      <c r="S4">
        <v>112934</v>
      </c>
    </row>
    <row r="5" spans="1:19" x14ac:dyDescent="0.25">
      <c r="A5" s="34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34" t="s">
        <v>53</v>
      </c>
      <c r="L5">
        <v>11603</v>
      </c>
      <c r="M5">
        <v>7802</v>
      </c>
      <c r="N5">
        <v>11826</v>
      </c>
      <c r="O5">
        <v>22488</v>
      </c>
      <c r="P5">
        <v>15344</v>
      </c>
      <c r="Q5">
        <v>12600</v>
      </c>
      <c r="R5">
        <v>29805</v>
      </c>
      <c r="S5">
        <v>31721</v>
      </c>
    </row>
    <row r="6" spans="1:19" x14ac:dyDescent="0.25">
      <c r="A6" s="34" t="s">
        <v>11</v>
      </c>
      <c r="B6" s="8">
        <f>L3/B4</f>
        <v>0.60139468482319347</v>
      </c>
      <c r="C6" s="8">
        <f t="shared" ref="C6:I6" si="1">M3/C4</f>
        <v>0.62586149630490739</v>
      </c>
      <c r="D6" s="8">
        <f t="shared" si="1"/>
        <v>0.65352126273109046</v>
      </c>
      <c r="E6" s="8">
        <f t="shared" si="1"/>
        <v>0.66488361478776814</v>
      </c>
      <c r="F6" s="8">
        <f t="shared" si="1"/>
        <v>0.65701679768926613</v>
      </c>
      <c r="G6" s="8">
        <f t="shared" si="1"/>
        <v>0.65164497538261901</v>
      </c>
      <c r="H6" s="8">
        <f t="shared" si="1"/>
        <v>0.64999332685084554</v>
      </c>
      <c r="I6" s="8">
        <f t="shared" si="1"/>
        <v>0.65009832841691251</v>
      </c>
      <c r="K6" s="37" t="s">
        <v>62</v>
      </c>
      <c r="L6">
        <v>19827</v>
      </c>
      <c r="M6">
        <v>20231</v>
      </c>
      <c r="N6">
        <v>6149</v>
      </c>
      <c r="O6">
        <v>7900</v>
      </c>
      <c r="P6">
        <v>10905</v>
      </c>
      <c r="Q6">
        <v>9990</v>
      </c>
      <c r="R6">
        <v>7281</v>
      </c>
      <c r="S6">
        <v>7233</v>
      </c>
    </row>
    <row r="7" spans="1:19" ht="15.75" x14ac:dyDescent="0.25">
      <c r="A7" s="33" t="s">
        <v>21</v>
      </c>
      <c r="K7" s="34" t="s">
        <v>30</v>
      </c>
      <c r="L7">
        <v>1837</v>
      </c>
      <c r="M7">
        <v>1732</v>
      </c>
      <c r="N7">
        <v>1178</v>
      </c>
      <c r="O7">
        <v>1008</v>
      </c>
      <c r="P7">
        <v>801</v>
      </c>
      <c r="Q7">
        <v>508</v>
      </c>
      <c r="R7">
        <v>382</v>
      </c>
      <c r="S7">
        <v>294</v>
      </c>
    </row>
    <row r="8" spans="1:19" x14ac:dyDescent="0.25">
      <c r="A8" s="34" t="s">
        <v>8</v>
      </c>
      <c r="B8" s="9">
        <f>(L2+L14-L4)/L2</f>
        <v>1.62627199185524</v>
      </c>
      <c r="C8" s="9">
        <f t="shared" ref="C8:I8" si="2">(M2+M14-M4)/M2</f>
        <v>1.6673600151359933</v>
      </c>
      <c r="D8" s="9">
        <f t="shared" si="2"/>
        <v>1.1257442694656545</v>
      </c>
      <c r="E8" s="9">
        <f t="shared" si="2"/>
        <v>1.3349776578781476</v>
      </c>
      <c r="F8" s="9">
        <f t="shared" si="2"/>
        <v>1.4257761892788297</v>
      </c>
      <c r="G8" s="9">
        <f t="shared" si="2"/>
        <v>1.321783552077443</v>
      </c>
      <c r="H8" s="9">
        <f t="shared" si="2"/>
        <v>1.3227800716075337</v>
      </c>
      <c r="I8" s="9">
        <f t="shared" si="2"/>
        <v>1.4704496930719697</v>
      </c>
      <c r="K8" s="34" t="s">
        <v>34</v>
      </c>
      <c r="L8">
        <v>27729</v>
      </c>
      <c r="M8">
        <v>43579</v>
      </c>
      <c r="N8">
        <v>65799</v>
      </c>
      <c r="O8">
        <v>71833</v>
      </c>
      <c r="P8">
        <v>65436</v>
      </c>
      <c r="Q8">
        <v>79842</v>
      </c>
      <c r="R8">
        <v>91587</v>
      </c>
      <c r="S8">
        <v>90723</v>
      </c>
    </row>
    <row r="9" spans="1:19" x14ac:dyDescent="0.25">
      <c r="A9" s="34" t="s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K9" s="34" t="s">
        <v>31</v>
      </c>
      <c r="L9">
        <v>11101</v>
      </c>
      <c r="M9">
        <v>13531</v>
      </c>
      <c r="N9">
        <v>15795</v>
      </c>
      <c r="O9">
        <v>14007</v>
      </c>
      <c r="P9">
        <v>14934</v>
      </c>
      <c r="Q9">
        <v>17384</v>
      </c>
      <c r="R9">
        <v>15685</v>
      </c>
      <c r="S9">
        <v>16332</v>
      </c>
    </row>
    <row r="10" spans="1:19" x14ac:dyDescent="0.25">
      <c r="A10" s="34" t="s">
        <v>5</v>
      </c>
      <c r="B10">
        <v>19827</v>
      </c>
      <c r="C10">
        <v>20231</v>
      </c>
      <c r="D10">
        <v>6149</v>
      </c>
      <c r="E10">
        <v>7900</v>
      </c>
      <c r="F10">
        <v>10905</v>
      </c>
      <c r="G10">
        <v>9990</v>
      </c>
      <c r="H10">
        <v>7281</v>
      </c>
      <c r="I10">
        <v>7233</v>
      </c>
      <c r="K10" s="34" t="s">
        <v>32</v>
      </c>
      <c r="L10">
        <v>19283</v>
      </c>
      <c r="M10">
        <v>20298</v>
      </c>
      <c r="N10">
        <v>21442</v>
      </c>
      <c r="O10">
        <v>21280</v>
      </c>
      <c r="P10">
        <v>23562</v>
      </c>
      <c r="Q10">
        <v>21119</v>
      </c>
      <c r="R10">
        <v>21168</v>
      </c>
      <c r="S10">
        <v>16767</v>
      </c>
    </row>
    <row r="11" spans="1:19" x14ac:dyDescent="0.25">
      <c r="A11" s="34" t="s">
        <v>7</v>
      </c>
      <c r="B11" s="9">
        <f>B10/B4</f>
        <v>0.21773555897210631</v>
      </c>
      <c r="C11" s="9">
        <f t="shared" ref="C11:I11" si="3">C10/C4</f>
        <v>0.20998712945279416</v>
      </c>
      <c r="D11" s="9">
        <f t="shared" si="3"/>
        <v>5.9361876719602261E-2</v>
      </c>
      <c r="E11" s="9">
        <f t="shared" si="3"/>
        <v>7.2113190324052945E-2</v>
      </c>
      <c r="F11" s="9">
        <f t="shared" si="3"/>
        <v>0.10193589396049692</v>
      </c>
      <c r="G11" s="9">
        <f t="shared" si="3"/>
        <v>9.5320789282851801E-2</v>
      </c>
      <c r="H11" s="9">
        <f t="shared" si="3"/>
        <v>6.9410284276153977E-2</v>
      </c>
      <c r="I11" s="9">
        <f t="shared" si="3"/>
        <v>7.1120943952802357E-2</v>
      </c>
      <c r="K11" s="34" t="s">
        <v>54</v>
      </c>
      <c r="L11">
        <v>30347</v>
      </c>
      <c r="M11">
        <v>29501</v>
      </c>
      <c r="N11">
        <v>41501</v>
      </c>
      <c r="O11">
        <v>36293</v>
      </c>
      <c r="P11">
        <v>32500</v>
      </c>
      <c r="Q11">
        <v>36168</v>
      </c>
      <c r="R11">
        <v>35531</v>
      </c>
      <c r="S11">
        <v>36668</v>
      </c>
    </row>
    <row r="12" spans="1:19" ht="15.75" x14ac:dyDescent="0.25">
      <c r="A12" s="33" t="s">
        <v>0</v>
      </c>
      <c r="K12" s="34" t="s">
        <v>51</v>
      </c>
      <c r="L12">
        <v>4490.5</v>
      </c>
      <c r="M12">
        <v>4490.5</v>
      </c>
      <c r="N12">
        <v>4490.5</v>
      </c>
      <c r="O12">
        <v>4490.5</v>
      </c>
      <c r="P12">
        <v>4490.5</v>
      </c>
      <c r="Q12">
        <v>4367</v>
      </c>
      <c r="R12">
        <v>4330.1000000000004</v>
      </c>
      <c r="S12">
        <v>4330.1000000000004</v>
      </c>
    </row>
    <row r="13" spans="1:19" x14ac:dyDescent="0.25">
      <c r="A13" s="34" t="s">
        <v>16</v>
      </c>
      <c r="B13" s="24">
        <f>L7/B4</f>
        <v>2.0173511970129586E-2</v>
      </c>
      <c r="C13" s="24">
        <f t="shared" ref="C13:I13" si="4">M7/C4</f>
        <v>1.79772481939716E-2</v>
      </c>
      <c r="D13" s="24">
        <f t="shared" si="4"/>
        <v>1.1372302939614809E-2</v>
      </c>
      <c r="E13" s="24">
        <f t="shared" si="4"/>
        <v>9.2012779552715657E-3</v>
      </c>
      <c r="F13" s="24">
        <f t="shared" si="4"/>
        <v>7.4874508081025247E-3</v>
      </c>
      <c r="G13" s="24">
        <f t="shared" si="4"/>
        <v>4.8471432388076793E-3</v>
      </c>
      <c r="H13" s="24">
        <f t="shared" si="4"/>
        <v>3.6416328242673836E-3</v>
      </c>
      <c r="I13" s="24">
        <f t="shared" si="4"/>
        <v>2.8908554572271384E-3</v>
      </c>
      <c r="K13" s="34" t="s">
        <v>52</v>
      </c>
      <c r="L13">
        <v>56.25</v>
      </c>
      <c r="M13">
        <v>60.5</v>
      </c>
      <c r="N13">
        <v>38.9</v>
      </c>
      <c r="O13">
        <v>51.85</v>
      </c>
      <c r="P13">
        <v>53.3</v>
      </c>
      <c r="Q13">
        <v>46.77</v>
      </c>
      <c r="R13">
        <v>44.06</v>
      </c>
      <c r="S13">
        <v>53.55</v>
      </c>
    </row>
    <row r="14" spans="1:19" x14ac:dyDescent="0.25">
      <c r="A14" s="34" t="s">
        <v>14</v>
      </c>
      <c r="B14" s="9">
        <f>L8/L4</f>
        <v>0.21711283540953827</v>
      </c>
      <c r="C14" s="9">
        <f t="shared" ref="C14:I14" si="5">M8/M4</f>
        <v>0.3429877928803608</v>
      </c>
      <c r="D14" s="9">
        <f t="shared" si="5"/>
        <v>0.46518155081726148</v>
      </c>
      <c r="E14" s="9">
        <f t="shared" si="5"/>
        <v>0.50409476557730226</v>
      </c>
      <c r="F14" s="9">
        <f t="shared" si="5"/>
        <v>0.49324237741680171</v>
      </c>
      <c r="G14" s="9">
        <f t="shared" si="5"/>
        <v>0.64980345240129889</v>
      </c>
      <c r="H14" s="9">
        <f t="shared" si="5"/>
        <v>0.83943137865928552</v>
      </c>
      <c r="I14" s="9">
        <f t="shared" si="5"/>
        <v>0.8033276072750456</v>
      </c>
      <c r="K14" s="34" t="s">
        <v>29</v>
      </c>
      <c r="L14" s="16">
        <f>L12*L13</f>
        <v>252590.625</v>
      </c>
      <c r="M14" s="16">
        <f t="shared" ref="M14:S14" si="6">M12*M13</f>
        <v>271675.25</v>
      </c>
      <c r="N14" s="16">
        <f t="shared" si="6"/>
        <v>174680.44999999998</v>
      </c>
      <c r="O14" s="16">
        <f t="shared" si="6"/>
        <v>232832.42500000002</v>
      </c>
      <c r="P14" s="16">
        <f t="shared" si="6"/>
        <v>239343.65</v>
      </c>
      <c r="Q14" s="16">
        <f t="shared" si="6"/>
        <v>204244.59000000003</v>
      </c>
      <c r="R14" s="16">
        <f t="shared" si="6"/>
        <v>190784.20600000003</v>
      </c>
      <c r="S14" s="16">
        <f t="shared" si="6"/>
        <v>231876.85500000001</v>
      </c>
    </row>
    <row r="15" spans="1:19" x14ac:dyDescent="0.25">
      <c r="A15" s="34" t="s">
        <v>40</v>
      </c>
      <c r="B15" s="9">
        <f>L5/L11</f>
        <v>0.38234421853890005</v>
      </c>
      <c r="C15" s="9">
        <f t="shared" ref="C15:I15" si="7">M5/M11</f>
        <v>0.26446561133520896</v>
      </c>
      <c r="D15" s="9">
        <f t="shared" si="7"/>
        <v>0.28495698898821714</v>
      </c>
      <c r="E15" s="9">
        <f t="shared" si="7"/>
        <v>0.61962361887967377</v>
      </c>
      <c r="F15" s="9">
        <f t="shared" si="7"/>
        <v>0.47212307692307692</v>
      </c>
      <c r="G15" s="9">
        <f t="shared" si="7"/>
        <v>0.34837425348374251</v>
      </c>
      <c r="H15" s="9">
        <f t="shared" si="7"/>
        <v>0.83884495229517886</v>
      </c>
      <c r="I15" s="9">
        <f t="shared" si="7"/>
        <v>0.86508672411912291</v>
      </c>
    </row>
    <row r="16" spans="1:19" x14ac:dyDescent="0.25">
      <c r="A16" s="34" t="s">
        <v>15</v>
      </c>
      <c r="B16" s="9">
        <f>L9/B4</f>
        <v>0.12190863167142543</v>
      </c>
      <c r="C16" s="9">
        <f t="shared" ref="C16:H16" si="8">M9/C4</f>
        <v>0.14044465664701486</v>
      </c>
      <c r="D16" s="9">
        <f t="shared" si="8"/>
        <v>0.15248346768354493</v>
      </c>
      <c r="E16" s="9">
        <f t="shared" si="8"/>
        <v>0.12785942492012781</v>
      </c>
      <c r="F16" s="9">
        <f t="shared" si="8"/>
        <v>0.13959749109638339</v>
      </c>
      <c r="G16" s="9">
        <f t="shared" si="8"/>
        <v>0.16587153162093049</v>
      </c>
      <c r="H16" s="9">
        <f t="shared" si="8"/>
        <v>0.14952620641003642</v>
      </c>
      <c r="I16" s="9">
        <f>S9/I4</f>
        <v>0.16058997050147492</v>
      </c>
    </row>
    <row r="17" spans="1:9" x14ac:dyDescent="0.25">
      <c r="A17" s="34" t="s">
        <v>9</v>
      </c>
      <c r="B17" s="8">
        <f>L10/L2</f>
        <v>9.6708995345851395E-2</v>
      </c>
      <c r="C17" s="8">
        <f t="shared" ref="C17:I17" si="9">M10/M2</f>
        <v>9.366780186615721E-2</v>
      </c>
      <c r="D17" s="8">
        <f t="shared" si="9"/>
        <v>8.1131804181833314E-2</v>
      </c>
      <c r="E17" s="8">
        <f t="shared" si="9"/>
        <v>7.8911261912708128E-2</v>
      </c>
      <c r="F17" s="8">
        <f t="shared" si="9"/>
        <v>9.404073422177521E-2</v>
      </c>
      <c r="G17" s="8">
        <f t="shared" si="9"/>
        <v>8.3512928903880457E-2</v>
      </c>
      <c r="H17" s="8">
        <f t="shared" si="9"/>
        <v>8.3652774594342533E-2</v>
      </c>
      <c r="I17" s="8">
        <f t="shared" si="9"/>
        <v>6.6317812900469883E-2</v>
      </c>
    </row>
    <row r="18" spans="1:9" x14ac:dyDescent="0.25">
      <c r="A18" s="34" t="s">
        <v>44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s="34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s="34" t="s">
        <v>57</v>
      </c>
      <c r="B20">
        <v>-561</v>
      </c>
      <c r="C20">
        <v>-379</v>
      </c>
      <c r="D20">
        <v>-331</v>
      </c>
      <c r="E20">
        <v>89</v>
      </c>
      <c r="F20">
        <v>63</v>
      </c>
      <c r="G20">
        <v>-118</v>
      </c>
      <c r="H20">
        <v>28</v>
      </c>
      <c r="I20">
        <v>334</v>
      </c>
    </row>
    <row r="21" spans="1:9" x14ac:dyDescent="0.25">
      <c r="A21" s="35" t="s">
        <v>58</v>
      </c>
      <c r="B21">
        <v>0</v>
      </c>
      <c r="C21">
        <v>0</v>
      </c>
      <c r="D21">
        <v>0</v>
      </c>
      <c r="E21">
        <v>1</v>
      </c>
      <c r="F21">
        <v>1</v>
      </c>
      <c r="G21">
        <v>0</v>
      </c>
      <c r="H21">
        <v>1</v>
      </c>
      <c r="I21">
        <v>1</v>
      </c>
    </row>
    <row r="22" spans="1:9" x14ac:dyDescent="0.25">
      <c r="A22" s="17"/>
    </row>
    <row r="23" spans="1:9" x14ac:dyDescent="0.25">
      <c r="A23" s="17"/>
    </row>
    <row r="24" spans="1:9" x14ac:dyDescent="0.25">
      <c r="A24" s="17"/>
    </row>
    <row r="25" spans="1:9" x14ac:dyDescent="0.25">
      <c r="A25" s="18"/>
    </row>
    <row r="26" spans="1:9" x14ac:dyDescent="0.25">
      <c r="A26" s="17"/>
    </row>
    <row r="27" spans="1:9" x14ac:dyDescent="0.25">
      <c r="A27" s="17"/>
    </row>
    <row r="28" spans="1:9" x14ac:dyDescent="0.25">
      <c r="A28" s="17"/>
    </row>
    <row r="29" spans="1:9" x14ac:dyDescent="0.25">
      <c r="A29" s="17"/>
    </row>
    <row r="30" spans="1:9" x14ac:dyDescent="0.25">
      <c r="A30" s="17"/>
    </row>
    <row r="31" spans="1:9" x14ac:dyDescent="0.25">
      <c r="A31" s="17"/>
    </row>
    <row r="32" spans="1:9" x14ac:dyDescent="0.25">
      <c r="A32" s="17"/>
    </row>
    <row r="33" spans="1:1" x14ac:dyDescent="0.25">
      <c r="A33" s="17"/>
    </row>
    <row r="34" spans="1:1" x14ac:dyDescent="0.25">
      <c r="A34" s="1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2"/>
  <dimension ref="A1:S34"/>
  <sheetViews>
    <sheetView workbookViewId="0">
      <selection activeCell="D21" sqref="D21"/>
    </sheetView>
  </sheetViews>
  <sheetFormatPr defaultRowHeight="15" x14ac:dyDescent="0.25"/>
  <cols>
    <col min="1" max="1" width="18" customWidth="1"/>
    <col min="2" max="3" width="9.7109375" customWidth="1"/>
    <col min="6" max="6" width="10.42578125" bestFit="1" customWidth="1"/>
    <col min="10" max="10" width="7.140625" customWidth="1"/>
    <col min="11" max="11" width="12.5703125" customWidth="1"/>
    <col min="12" max="12" width="8.5703125" customWidth="1"/>
    <col min="14" max="19" width="9.5703125" bestFit="1" customWidth="1"/>
  </cols>
  <sheetData>
    <row r="1" spans="1:19" ht="17.25" x14ac:dyDescent="0.25">
      <c r="A1" s="32" t="s">
        <v>12</v>
      </c>
      <c r="B1" s="36">
        <v>2006</v>
      </c>
      <c r="C1" s="36">
        <v>2007</v>
      </c>
      <c r="D1" s="36">
        <v>2008</v>
      </c>
      <c r="E1" s="36">
        <v>2009</v>
      </c>
      <c r="F1" s="36">
        <v>2010</v>
      </c>
      <c r="G1" s="36">
        <v>2011</v>
      </c>
      <c r="H1" s="36">
        <v>2012</v>
      </c>
      <c r="I1" s="36">
        <v>2013</v>
      </c>
      <c r="K1" s="5"/>
      <c r="L1" s="36">
        <v>2006</v>
      </c>
      <c r="M1" s="36">
        <v>2007</v>
      </c>
      <c r="N1" s="36">
        <v>2008</v>
      </c>
      <c r="O1" s="36">
        <v>2009</v>
      </c>
      <c r="P1" s="36">
        <v>2010</v>
      </c>
      <c r="Q1" s="36">
        <v>2011</v>
      </c>
      <c r="R1" s="36">
        <v>2012</v>
      </c>
      <c r="S1" s="36">
        <v>2013</v>
      </c>
    </row>
    <row r="2" spans="1:19" ht="15.75" x14ac:dyDescent="0.25">
      <c r="A2" s="33" t="s">
        <v>24</v>
      </c>
      <c r="K2" s="34" t="s">
        <v>33</v>
      </c>
      <c r="L2" s="26">
        <v>258427</v>
      </c>
      <c r="M2" s="27">
        <v>321647</v>
      </c>
      <c r="N2" s="26">
        <v>372419</v>
      </c>
      <c r="O2" s="26">
        <v>332265</v>
      </c>
      <c r="P2" s="26">
        <v>318004</v>
      </c>
      <c r="Q2" s="26">
        <v>353245</v>
      </c>
      <c r="R2" s="26">
        <v>339165</v>
      </c>
      <c r="S2" s="26">
        <v>344829</v>
      </c>
    </row>
    <row r="3" spans="1:19" x14ac:dyDescent="0.25">
      <c r="A3" s="34" t="s">
        <v>10</v>
      </c>
      <c r="B3" s="9">
        <f>LN(L2)</f>
        <v>12.462368534596058</v>
      </c>
      <c r="C3" s="9">
        <f t="shared" ref="C3:D3" si="0">LN(M2)</f>
        <v>12.681209949887521</v>
      </c>
      <c r="D3" s="9">
        <f t="shared" si="0"/>
        <v>12.827774843491715</v>
      </c>
      <c r="E3" s="9">
        <f>LN(O2)</f>
        <v>12.713688122283271</v>
      </c>
      <c r="F3" s="9">
        <f>LN(P2)</f>
        <v>12.669819240299557</v>
      </c>
      <c r="G3" s="9">
        <f t="shared" ref="G3" si="1">LN(Q2)</f>
        <v>12.774917146164931</v>
      </c>
      <c r="H3" s="9">
        <f t="shared" ref="H3" si="2">LN(R2)</f>
        <v>12.734241993613789</v>
      </c>
      <c r="I3" s="9">
        <f>LN(S2)</f>
        <v>12.75080392096344</v>
      </c>
      <c r="K3" s="34" t="s">
        <v>27</v>
      </c>
      <c r="L3" s="26">
        <v>245030</v>
      </c>
      <c r="M3" s="27">
        <v>271418</v>
      </c>
      <c r="N3" s="26">
        <v>290743</v>
      </c>
      <c r="O3" s="26">
        <v>207949</v>
      </c>
      <c r="P3" s="26">
        <v>252286</v>
      </c>
      <c r="Q3" s="26">
        <v>296259</v>
      </c>
      <c r="R3" s="26">
        <v>288277</v>
      </c>
      <c r="S3" s="26">
        <v>263746</v>
      </c>
    </row>
    <row r="4" spans="1:19" x14ac:dyDescent="0.25">
      <c r="A4" s="34" t="s">
        <v>13</v>
      </c>
      <c r="B4">
        <v>258835</v>
      </c>
      <c r="C4">
        <v>285405</v>
      </c>
      <c r="D4">
        <f>304642+471</f>
        <v>305113</v>
      </c>
      <c r="E4">
        <f>218361+108</f>
        <v>218469</v>
      </c>
      <c r="F4">
        <f>264749-34</f>
        <v>264715</v>
      </c>
      <c r="G4">
        <f>310367-19</f>
        <v>310348</v>
      </c>
      <c r="H4">
        <f>299814+596</f>
        <v>300410</v>
      </c>
      <c r="I4">
        <f>272622+144</f>
        <v>272766</v>
      </c>
      <c r="K4" s="34" t="s">
        <v>28</v>
      </c>
      <c r="L4">
        <v>87188</v>
      </c>
      <c r="M4">
        <v>75129</v>
      </c>
      <c r="N4">
        <v>75046</v>
      </c>
      <c r="O4">
        <v>58485</v>
      </c>
      <c r="P4">
        <v>66101</v>
      </c>
      <c r="Q4">
        <v>76682</v>
      </c>
      <c r="R4">
        <v>78321</v>
      </c>
      <c r="S4">
        <v>68467</v>
      </c>
    </row>
    <row r="5" spans="1:19" x14ac:dyDescent="0.25">
      <c r="A5" s="34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34" t="s">
        <v>53</v>
      </c>
      <c r="L5">
        <v>29907</v>
      </c>
      <c r="M5">
        <v>30026</v>
      </c>
      <c r="N5">
        <v>22575</v>
      </c>
      <c r="O5">
        <v>37404</v>
      </c>
      <c r="P5">
        <v>31491</v>
      </c>
      <c r="Q5">
        <v>35951</v>
      </c>
      <c r="R5">
        <v>27146</v>
      </c>
      <c r="S5">
        <v>28230</v>
      </c>
    </row>
    <row r="6" spans="1:19" x14ac:dyDescent="0.25">
      <c r="A6" s="34" t="s">
        <v>11</v>
      </c>
      <c r="B6" s="8">
        <f>L3/B4</f>
        <v>0.94666486371626712</v>
      </c>
      <c r="C6" s="8">
        <f t="shared" ref="C6:I6" si="3">M3/C4</f>
        <v>0.95099244932639582</v>
      </c>
      <c r="D6" s="8">
        <f t="shared" si="3"/>
        <v>0.95290269506707348</v>
      </c>
      <c r="E6" s="8">
        <f t="shared" si="3"/>
        <v>0.95184671509459007</v>
      </c>
      <c r="F6" s="8">
        <f t="shared" si="3"/>
        <v>0.95304761724873921</v>
      </c>
      <c r="G6" s="8">
        <f t="shared" si="3"/>
        <v>0.95460257517367597</v>
      </c>
      <c r="H6" s="8">
        <f t="shared" si="3"/>
        <v>0.95961186378615893</v>
      </c>
      <c r="I6" s="8">
        <f t="shared" si="3"/>
        <v>0.96693136241320399</v>
      </c>
      <c r="K6" s="37" t="s">
        <v>62</v>
      </c>
      <c r="L6">
        <v>123253</v>
      </c>
      <c r="M6">
        <v>40800</v>
      </c>
      <c r="N6">
        <v>53789</v>
      </c>
      <c r="O6">
        <v>18150</v>
      </c>
      <c r="P6">
        <v>15362</v>
      </c>
      <c r="Q6">
        <v>26666</v>
      </c>
      <c r="R6">
        <f>47077+719</f>
        <v>47796</v>
      </c>
      <c r="S6">
        <v>25425</v>
      </c>
    </row>
    <row r="7" spans="1:19" ht="15.75" x14ac:dyDescent="0.25">
      <c r="A7" s="33" t="s">
        <v>21</v>
      </c>
      <c r="K7" s="34" t="s">
        <v>30</v>
      </c>
      <c r="L7" s="10">
        <v>8354</v>
      </c>
      <c r="M7">
        <v>11059</v>
      </c>
      <c r="N7">
        <v>14348</v>
      </c>
      <c r="O7">
        <v>13193</v>
      </c>
      <c r="P7">
        <v>12970</v>
      </c>
      <c r="Q7">
        <v>13276</v>
      </c>
      <c r="R7">
        <v>14794</v>
      </c>
      <c r="S7">
        <v>16281</v>
      </c>
    </row>
    <row r="8" spans="1:19" x14ac:dyDescent="0.25">
      <c r="A8" s="34" t="s">
        <v>8</v>
      </c>
      <c r="B8" s="9">
        <f>(L2+L14-L4)/L2</f>
        <v>0.80465775634898817</v>
      </c>
      <c r="C8" s="9">
        <f t="shared" ref="C8:I8" si="4">(M2+M14-M4)/M2</f>
        <v>1.4495098664063399</v>
      </c>
      <c r="D8" s="9">
        <f t="shared" si="4"/>
        <v>1.0319862842658403</v>
      </c>
      <c r="E8" s="9">
        <f t="shared" si="4"/>
        <v>1.1988597956450424</v>
      </c>
      <c r="F8" s="9">
        <f t="shared" si="4"/>
        <v>1.5474726732997068</v>
      </c>
      <c r="G8" s="9">
        <f t="shared" si="4"/>
        <v>1.2150096958201815</v>
      </c>
      <c r="H8" s="9">
        <f t="shared" si="4"/>
        <v>1.3000468798372473</v>
      </c>
      <c r="I8" s="9">
        <f t="shared" si="4"/>
        <v>1.2981118177415472</v>
      </c>
      <c r="K8" s="34" t="s">
        <v>34</v>
      </c>
      <c r="L8">
        <v>75648</v>
      </c>
      <c r="M8">
        <v>118093</v>
      </c>
      <c r="N8">
        <v>157432</v>
      </c>
      <c r="O8">
        <v>164903</v>
      </c>
      <c r="P8">
        <v>131205</v>
      </c>
      <c r="Q8">
        <v>137150</v>
      </c>
      <c r="R8">
        <v>150368</v>
      </c>
      <c r="S8">
        <v>147323</v>
      </c>
    </row>
    <row r="9" spans="1:19" x14ac:dyDescent="0.25">
      <c r="A9" s="34" t="s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K9" s="34" t="s">
        <v>31</v>
      </c>
      <c r="L9">
        <v>14034</v>
      </c>
      <c r="M9">
        <v>14938</v>
      </c>
      <c r="N9">
        <v>18292</v>
      </c>
      <c r="O9">
        <v>14573</v>
      </c>
      <c r="P9">
        <v>15186</v>
      </c>
      <c r="Q9">
        <v>20099</v>
      </c>
      <c r="R9">
        <v>24685</v>
      </c>
      <c r="S9">
        <v>20672</v>
      </c>
    </row>
    <row r="10" spans="1:19" x14ac:dyDescent="0.25">
      <c r="A10" s="34" t="s">
        <v>5</v>
      </c>
      <c r="B10">
        <f>L6</f>
        <v>123253</v>
      </c>
      <c r="C10">
        <f t="shared" ref="C10:I10" si="5">M6</f>
        <v>40800</v>
      </c>
      <c r="D10">
        <f t="shared" si="5"/>
        <v>53789</v>
      </c>
      <c r="E10">
        <f t="shared" si="5"/>
        <v>18150</v>
      </c>
      <c r="F10">
        <f t="shared" si="5"/>
        <v>15362</v>
      </c>
      <c r="G10">
        <f t="shared" si="5"/>
        <v>26666</v>
      </c>
      <c r="H10">
        <f t="shared" si="5"/>
        <v>47796</v>
      </c>
      <c r="I10">
        <f t="shared" si="5"/>
        <v>25425</v>
      </c>
      <c r="K10" s="34" t="s">
        <v>32</v>
      </c>
      <c r="L10">
        <v>16318</v>
      </c>
      <c r="M10">
        <v>15028</v>
      </c>
      <c r="N10">
        <v>10016</v>
      </c>
      <c r="O10">
        <v>-14685</v>
      </c>
      <c r="P10">
        <v>11212</v>
      </c>
      <c r="Q10">
        <v>18115</v>
      </c>
      <c r="R10">
        <v>11258</v>
      </c>
      <c r="S10">
        <v>3802</v>
      </c>
    </row>
    <row r="11" spans="1:19" x14ac:dyDescent="0.25">
      <c r="A11" s="34" t="s">
        <v>7</v>
      </c>
      <c r="B11" s="9">
        <f>B10/B4</f>
        <v>0.47618366913284527</v>
      </c>
      <c r="C11" s="9">
        <f t="shared" ref="C11:I11" si="6">C10/C4</f>
        <v>0.14295474851526777</v>
      </c>
      <c r="D11" s="9">
        <f t="shared" si="6"/>
        <v>0.17629206228512059</v>
      </c>
      <c r="E11" s="9">
        <f t="shared" si="6"/>
        <v>8.3078148387185372E-2</v>
      </c>
      <c r="F11" s="9">
        <f t="shared" si="6"/>
        <v>5.8032223334529585E-2</v>
      </c>
      <c r="G11" s="9">
        <f t="shared" si="6"/>
        <v>8.5922899454805579E-2</v>
      </c>
      <c r="H11" s="9">
        <f t="shared" si="6"/>
        <v>0.15910255983489233</v>
      </c>
      <c r="I11" s="9">
        <f t="shared" si="6"/>
        <v>9.3211763929522004E-2</v>
      </c>
      <c r="K11" s="34" t="s">
        <v>54</v>
      </c>
      <c r="L11">
        <v>96119</v>
      </c>
      <c r="M11">
        <v>130279</v>
      </c>
      <c r="N11">
        <v>155257</v>
      </c>
      <c r="O11">
        <v>122581</v>
      </c>
      <c r="P11">
        <v>124059</v>
      </c>
      <c r="Q11">
        <v>143679</v>
      </c>
      <c r="R11">
        <v>129480</v>
      </c>
      <c r="S11">
        <v>140316</v>
      </c>
    </row>
    <row r="12" spans="1:19" ht="15.75" x14ac:dyDescent="0.25">
      <c r="A12" s="33" t="s">
        <v>0</v>
      </c>
      <c r="K12" s="34" t="s">
        <v>51</v>
      </c>
      <c r="L12">
        <v>404.7</v>
      </c>
      <c r="M12">
        <v>2025</v>
      </c>
      <c r="N12">
        <v>2027</v>
      </c>
      <c r="O12">
        <v>2027</v>
      </c>
      <c r="P12">
        <v>2027</v>
      </c>
      <c r="Q12">
        <v>2027</v>
      </c>
      <c r="R12">
        <v>2028</v>
      </c>
      <c r="S12">
        <v>2028</v>
      </c>
    </row>
    <row r="13" spans="1:19" x14ac:dyDescent="0.25">
      <c r="A13" s="34" t="s">
        <v>16</v>
      </c>
      <c r="B13" s="24">
        <f>L7/B4</f>
        <v>3.2275387795313616E-2</v>
      </c>
      <c r="C13" s="24">
        <f t="shared" ref="C13:I13" si="7">M7/C4</f>
        <v>3.8748445191920257E-2</v>
      </c>
      <c r="D13" s="24">
        <f t="shared" si="7"/>
        <v>4.7025200499487073E-2</v>
      </c>
      <c r="E13" s="24">
        <f t="shared" si="7"/>
        <v>6.0388430395159037E-2</v>
      </c>
      <c r="F13" s="24">
        <f t="shared" si="7"/>
        <v>4.899609013467314E-2</v>
      </c>
      <c r="G13" s="24">
        <f t="shared" si="7"/>
        <v>4.2777784938198407E-2</v>
      </c>
      <c r="H13" s="24">
        <f t="shared" si="7"/>
        <v>4.9246030425085713E-2</v>
      </c>
      <c r="I13" s="24">
        <f t="shared" si="7"/>
        <v>5.9688524229559406E-2</v>
      </c>
      <c r="K13" s="34" t="s">
        <v>52</v>
      </c>
      <c r="L13" s="15">
        <v>90.7</v>
      </c>
      <c r="M13">
        <v>108.5</v>
      </c>
      <c r="N13">
        <v>42.9</v>
      </c>
      <c r="O13">
        <v>61.45</v>
      </c>
      <c r="P13">
        <v>118.5</v>
      </c>
      <c r="Q13">
        <v>75.3</v>
      </c>
      <c r="R13">
        <v>88.8</v>
      </c>
      <c r="S13">
        <v>84.45</v>
      </c>
    </row>
    <row r="14" spans="1:19" x14ac:dyDescent="0.25">
      <c r="A14" s="34" t="s">
        <v>14</v>
      </c>
      <c r="B14" s="9">
        <f>L8/L4</f>
        <v>0.86764233610129837</v>
      </c>
      <c r="C14" s="9">
        <f t="shared" ref="C14:I14" si="8">M8/M4</f>
        <v>1.5718697174193721</v>
      </c>
      <c r="D14" s="9">
        <f t="shared" si="8"/>
        <v>2.097806678570477</v>
      </c>
      <c r="E14" s="9">
        <f t="shared" si="8"/>
        <v>2.8195776694879027</v>
      </c>
      <c r="F14" s="9">
        <f t="shared" si="8"/>
        <v>1.9849170209225278</v>
      </c>
      <c r="G14" s="9">
        <f t="shared" si="8"/>
        <v>1.7885553324117784</v>
      </c>
      <c r="H14" s="9">
        <f t="shared" si="8"/>
        <v>1.9198937705085481</v>
      </c>
      <c r="I14" s="9">
        <f t="shared" si="8"/>
        <v>2.1517373333138594</v>
      </c>
      <c r="K14" s="34" t="s">
        <v>29</v>
      </c>
      <c r="L14" s="16">
        <f>L12*L13</f>
        <v>36706.29</v>
      </c>
      <c r="M14" s="16">
        <f t="shared" ref="M14:S14" si="9">M12*M13</f>
        <v>219712.5</v>
      </c>
      <c r="N14" s="16">
        <f t="shared" si="9"/>
        <v>86958.3</v>
      </c>
      <c r="O14" s="16">
        <f t="shared" si="9"/>
        <v>124559.15000000001</v>
      </c>
      <c r="P14" s="16">
        <f t="shared" si="9"/>
        <v>240199.5</v>
      </c>
      <c r="Q14" s="16">
        <f t="shared" si="9"/>
        <v>152633.1</v>
      </c>
      <c r="R14" s="16">
        <f t="shared" si="9"/>
        <v>180086.39999999999</v>
      </c>
      <c r="S14" s="16">
        <f t="shared" si="9"/>
        <v>171264.6</v>
      </c>
    </row>
    <row r="15" spans="1:19" x14ac:dyDescent="0.25">
      <c r="A15" s="34" t="s">
        <v>40</v>
      </c>
      <c r="B15" s="9">
        <f>(L5+L15)/L11</f>
        <v>0.31114555915063619</v>
      </c>
      <c r="C15" s="9">
        <f t="shared" ref="C15:I15" si="10">(M5+M15)/M11</f>
        <v>0.23047459682681015</v>
      </c>
      <c r="D15" s="9">
        <f t="shared" si="10"/>
        <v>0.14540407195810817</v>
      </c>
      <c r="E15" s="9">
        <f t="shared" si="10"/>
        <v>0.30513701144549321</v>
      </c>
      <c r="F15" s="9">
        <f t="shared" si="10"/>
        <v>0.25383889923342928</v>
      </c>
      <c r="G15" s="9">
        <f t="shared" si="10"/>
        <v>0.25021749872980742</v>
      </c>
      <c r="H15" s="9">
        <f t="shared" si="10"/>
        <v>0.20965400061785605</v>
      </c>
      <c r="I15" s="9">
        <f t="shared" si="10"/>
        <v>0.2011887454032327</v>
      </c>
      <c r="K15" s="22"/>
    </row>
    <row r="16" spans="1:19" x14ac:dyDescent="0.25">
      <c r="A16" s="34" t="s">
        <v>15</v>
      </c>
      <c r="B16" s="9">
        <f>L9/B4</f>
        <v>5.4219869801224715E-2</v>
      </c>
      <c r="C16" s="9">
        <f t="shared" ref="C16:I16" si="11">M9/C4</f>
        <v>5.233965767943799E-2</v>
      </c>
      <c r="D16" s="9">
        <f t="shared" si="11"/>
        <v>5.9951558930625704E-2</v>
      </c>
      <c r="E16" s="9">
        <f t="shared" si="11"/>
        <v>6.6705116057655778E-2</v>
      </c>
      <c r="F16" s="9">
        <f t="shared" si="11"/>
        <v>5.7367357346580286E-2</v>
      </c>
      <c r="G16" s="9">
        <f t="shared" si="11"/>
        <v>6.4762782424890766E-2</v>
      </c>
      <c r="H16" s="9">
        <f t="shared" si="11"/>
        <v>8.2171032921673715E-2</v>
      </c>
      <c r="I16" s="9">
        <f t="shared" si="11"/>
        <v>7.5786571640160436E-2</v>
      </c>
    </row>
    <row r="17" spans="1:9" x14ac:dyDescent="0.25">
      <c r="A17" s="34" t="s">
        <v>9</v>
      </c>
      <c r="B17" s="8">
        <f t="shared" ref="B17" si="12">L10/L2</f>
        <v>6.3143556981275176E-2</v>
      </c>
      <c r="C17" s="8">
        <f t="shared" ref="C17" si="13">M10/M2</f>
        <v>4.6722027564379584E-2</v>
      </c>
      <c r="D17" s="8">
        <f t="shared" ref="D17" si="14">N10/N2</f>
        <v>2.6894438790716908E-2</v>
      </c>
      <c r="E17" s="8">
        <f t="shared" ref="E17" si="15">O10/O2</f>
        <v>-4.4196650264096429E-2</v>
      </c>
      <c r="F17" s="8">
        <f t="shared" ref="F17" si="16">P10/P2</f>
        <v>3.52574181456837E-2</v>
      </c>
      <c r="G17" s="8">
        <f t="shared" ref="G17" si="17">Q10/Q2</f>
        <v>5.1281688346614958E-2</v>
      </c>
      <c r="H17" s="8">
        <f t="shared" ref="H17" si="18">R10/R2</f>
        <v>3.319328350507865E-2</v>
      </c>
      <c r="I17" s="8">
        <f t="shared" ref="I17" si="19">S10/S2</f>
        <v>1.1025754794405342E-2</v>
      </c>
    </row>
    <row r="18" spans="1:9" x14ac:dyDescent="0.25">
      <c r="A18" s="34" t="s">
        <v>44</v>
      </c>
      <c r="B18">
        <v>1</v>
      </c>
      <c r="C18">
        <v>1</v>
      </c>
      <c r="D18">
        <v>1</v>
      </c>
      <c r="E18">
        <v>0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s="34" t="s">
        <v>48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25">
      <c r="A20" s="34" t="s">
        <v>57</v>
      </c>
      <c r="B20">
        <v>1364</v>
      </c>
      <c r="C20">
        <v>202</v>
      </c>
      <c r="D20">
        <v>-1077</v>
      </c>
      <c r="E20">
        <v>-392</v>
      </c>
      <c r="F20">
        <v>-351</v>
      </c>
      <c r="G20">
        <v>25</v>
      </c>
      <c r="H20">
        <v>223</v>
      </c>
      <c r="I20">
        <v>274</v>
      </c>
    </row>
    <row r="21" spans="1:9" x14ac:dyDescent="0.25">
      <c r="A21" s="35" t="s">
        <v>58</v>
      </c>
      <c r="B21">
        <v>1</v>
      </c>
      <c r="C21">
        <v>1</v>
      </c>
      <c r="D21">
        <v>0</v>
      </c>
      <c r="E21">
        <v>0</v>
      </c>
      <c r="F21">
        <v>0</v>
      </c>
      <c r="G21">
        <v>1</v>
      </c>
      <c r="H21">
        <v>1</v>
      </c>
      <c r="I21">
        <v>1</v>
      </c>
    </row>
    <row r="22" spans="1:9" x14ac:dyDescent="0.25">
      <c r="A22" s="17"/>
    </row>
    <row r="23" spans="1:9" x14ac:dyDescent="0.25">
      <c r="A23" s="17"/>
    </row>
    <row r="24" spans="1:9" x14ac:dyDescent="0.25">
      <c r="A24" s="17"/>
    </row>
    <row r="25" spans="1:9" x14ac:dyDescent="0.25">
      <c r="A25" s="18"/>
    </row>
    <row r="26" spans="1:9" x14ac:dyDescent="0.25">
      <c r="A26" s="17"/>
    </row>
    <row r="27" spans="1:9" x14ac:dyDescent="0.25">
      <c r="A27" s="17"/>
    </row>
    <row r="28" spans="1:9" x14ac:dyDescent="0.25">
      <c r="A28" s="17"/>
    </row>
    <row r="29" spans="1:9" x14ac:dyDescent="0.25">
      <c r="A29" s="17"/>
    </row>
    <row r="30" spans="1:9" x14ac:dyDescent="0.25">
      <c r="A30" s="17"/>
    </row>
    <row r="31" spans="1:9" x14ac:dyDescent="0.25">
      <c r="A31" s="17"/>
    </row>
    <row r="32" spans="1:9" x14ac:dyDescent="0.25">
      <c r="A32" s="17"/>
    </row>
    <row r="33" spans="1:1" x14ac:dyDescent="0.25">
      <c r="A33" s="17"/>
    </row>
    <row r="34" spans="1:1" x14ac:dyDescent="0.25">
      <c r="A34" s="14"/>
    </row>
  </sheetData>
  <pageMargins left="0.7" right="0.7" top="0.75" bottom="0.75" header="0.3" footer="0.3"/>
  <pageSetup paperSize="9" orientation="portrait" horizontalDpi="4294967293" verticalDpi="0" r:id="rId1"/>
  <ignoredErrors>
    <ignoredError sqref="D4:I4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3"/>
  <dimension ref="A1:S43"/>
  <sheetViews>
    <sheetView workbookViewId="0">
      <selection activeCell="B11" sqref="B11:I11"/>
    </sheetView>
  </sheetViews>
  <sheetFormatPr defaultRowHeight="15" x14ac:dyDescent="0.25"/>
  <cols>
    <col min="1" max="1" width="19.5703125" customWidth="1"/>
    <col min="2" max="2" width="9.5703125" customWidth="1"/>
    <col min="11" max="11" width="12.5703125" customWidth="1"/>
  </cols>
  <sheetData>
    <row r="1" spans="1:19" ht="17.25" x14ac:dyDescent="0.25">
      <c r="A1" s="32" t="s">
        <v>12</v>
      </c>
      <c r="B1" s="36">
        <v>2006</v>
      </c>
      <c r="C1" s="36">
        <v>2007</v>
      </c>
      <c r="D1" s="36">
        <v>2008</v>
      </c>
      <c r="E1" s="36">
        <v>2009</v>
      </c>
      <c r="F1" s="36">
        <v>2010</v>
      </c>
      <c r="G1" s="36">
        <v>2011</v>
      </c>
      <c r="H1" s="36">
        <v>2012</v>
      </c>
      <c r="I1" s="36">
        <v>2013</v>
      </c>
      <c r="K1" s="5"/>
      <c r="L1" s="36">
        <v>2006</v>
      </c>
      <c r="M1" s="36">
        <v>2007</v>
      </c>
      <c r="N1" s="36">
        <v>2008</v>
      </c>
      <c r="O1" s="36">
        <v>2009</v>
      </c>
      <c r="P1" s="36">
        <v>2010</v>
      </c>
      <c r="Q1" s="36">
        <v>2011</v>
      </c>
      <c r="R1" s="36">
        <v>2012</v>
      </c>
      <c r="S1" s="36">
        <v>2013</v>
      </c>
    </row>
    <row r="2" spans="1:19" ht="15.75" x14ac:dyDescent="0.25">
      <c r="A2" s="33" t="s">
        <v>24</v>
      </c>
      <c r="K2" s="34" t="s">
        <v>33</v>
      </c>
      <c r="L2">
        <v>6933</v>
      </c>
      <c r="M2">
        <v>8857</v>
      </c>
      <c r="N2">
        <v>11078</v>
      </c>
      <c r="O2">
        <v>8513</v>
      </c>
      <c r="P2">
        <v>9252</v>
      </c>
      <c r="Q2">
        <v>9974</v>
      </c>
      <c r="R2">
        <v>9760</v>
      </c>
      <c r="S2">
        <v>10045</v>
      </c>
    </row>
    <row r="3" spans="1:19" x14ac:dyDescent="0.25">
      <c r="A3" s="34" t="s">
        <v>10</v>
      </c>
      <c r="B3" s="9">
        <f>LN(L2)</f>
        <v>8.84404789894249</v>
      </c>
      <c r="C3" s="9">
        <f t="shared" ref="C3:I3" si="0">LN(M2)</f>
        <v>9.0889633858095831</v>
      </c>
      <c r="D3" s="9">
        <f t="shared" si="0"/>
        <v>9.3127164385930499</v>
      </c>
      <c r="E3" s="9">
        <f t="shared" si="0"/>
        <v>9.0493496858840565</v>
      </c>
      <c r="F3" s="9">
        <f t="shared" si="0"/>
        <v>9.13259502335133</v>
      </c>
      <c r="G3" s="9">
        <f t="shared" si="0"/>
        <v>9.2077369861060685</v>
      </c>
      <c r="H3" s="9">
        <f t="shared" si="0"/>
        <v>9.1860476794071388</v>
      </c>
      <c r="I3" s="9">
        <f t="shared" si="0"/>
        <v>9.2148302772490354</v>
      </c>
      <c r="K3" s="34" t="s">
        <v>27</v>
      </c>
      <c r="L3">
        <v>9546</v>
      </c>
      <c r="M3">
        <v>11342</v>
      </c>
      <c r="N3">
        <v>15107</v>
      </c>
      <c r="O3">
        <v>13911</v>
      </c>
      <c r="P3">
        <v>12852</v>
      </c>
      <c r="Q3">
        <v>14547</v>
      </c>
      <c r="R3">
        <v>14800</v>
      </c>
      <c r="S3">
        <v>14457</v>
      </c>
    </row>
    <row r="4" spans="1:19" x14ac:dyDescent="0.25">
      <c r="A4" s="34" t="s">
        <v>13</v>
      </c>
      <c r="B4">
        <v>10929</v>
      </c>
      <c r="C4">
        <v>13005</v>
      </c>
      <c r="D4">
        <v>17207</v>
      </c>
      <c r="E4">
        <v>15884</v>
      </c>
      <c r="F4">
        <v>14808</v>
      </c>
      <c r="G4">
        <v>16695</v>
      </c>
      <c r="H4">
        <v>16911</v>
      </c>
      <c r="I4">
        <v>16537</v>
      </c>
      <c r="K4" s="34" t="s">
        <v>28</v>
      </c>
      <c r="L4">
        <v>2319</v>
      </c>
      <c r="M4">
        <v>2443</v>
      </c>
      <c r="N4">
        <v>2383</v>
      </c>
      <c r="O4">
        <v>2949</v>
      </c>
      <c r="P4">
        <v>3188</v>
      </c>
      <c r="Q4">
        <v>3565</v>
      </c>
      <c r="R4">
        <v>3923</v>
      </c>
      <c r="S4">
        <v>4364</v>
      </c>
    </row>
    <row r="5" spans="1:19" x14ac:dyDescent="0.25">
      <c r="A5" s="34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34" t="s">
        <v>53</v>
      </c>
      <c r="L5">
        <v>129</v>
      </c>
      <c r="M5">
        <v>167</v>
      </c>
      <c r="N5">
        <v>105</v>
      </c>
      <c r="O5">
        <v>322</v>
      </c>
      <c r="P5">
        <v>540</v>
      </c>
      <c r="Q5">
        <v>331</v>
      </c>
      <c r="R5">
        <v>330</v>
      </c>
      <c r="S5">
        <v>213</v>
      </c>
    </row>
    <row r="6" spans="1:19" x14ac:dyDescent="0.25">
      <c r="A6" s="34" t="s">
        <v>11</v>
      </c>
      <c r="B6" s="9">
        <f>L3/B4</f>
        <v>0.87345594290419981</v>
      </c>
      <c r="C6" s="9">
        <f t="shared" ref="C6:I6" si="1">M3/C4</f>
        <v>0.8721261053440984</v>
      </c>
      <c r="D6" s="9">
        <f t="shared" si="1"/>
        <v>0.8779566455512291</v>
      </c>
      <c r="E6" s="9">
        <f t="shared" si="1"/>
        <v>0.87578695542684459</v>
      </c>
      <c r="F6" s="9">
        <f t="shared" si="1"/>
        <v>0.86790923824959476</v>
      </c>
      <c r="G6" s="9">
        <f t="shared" si="1"/>
        <v>0.87133872416891289</v>
      </c>
      <c r="H6" s="9">
        <f t="shared" si="1"/>
        <v>0.87517000768730413</v>
      </c>
      <c r="I6" s="9">
        <f t="shared" si="1"/>
        <v>0.87422144282517988</v>
      </c>
      <c r="K6" s="37" t="s">
        <v>62</v>
      </c>
      <c r="L6">
        <v>1384</v>
      </c>
      <c r="M6">
        <v>2655</v>
      </c>
      <c r="N6">
        <v>3587</v>
      </c>
      <c r="O6">
        <v>1190</v>
      </c>
      <c r="P6">
        <v>1217</v>
      </c>
      <c r="Q6">
        <v>1491</v>
      </c>
      <c r="R6">
        <v>3041</v>
      </c>
      <c r="S6">
        <v>4461</v>
      </c>
    </row>
    <row r="7" spans="1:19" ht="15.75" x14ac:dyDescent="0.25">
      <c r="A7" s="33" t="s">
        <v>21</v>
      </c>
      <c r="K7" s="34" t="s">
        <v>30</v>
      </c>
      <c r="L7">
        <v>111</v>
      </c>
      <c r="M7">
        <v>190</v>
      </c>
      <c r="N7">
        <v>121</v>
      </c>
      <c r="O7">
        <v>307</v>
      </c>
      <c r="P7">
        <v>409</v>
      </c>
      <c r="Q7">
        <v>146</v>
      </c>
      <c r="R7">
        <v>376</v>
      </c>
      <c r="S7">
        <v>119</v>
      </c>
    </row>
    <row r="8" spans="1:19" x14ac:dyDescent="0.25">
      <c r="A8" s="34" t="s">
        <v>8</v>
      </c>
      <c r="B8" s="9">
        <f>(L2+L14-L4)/L2</f>
        <v>1.85417568152315</v>
      </c>
      <c r="C8" s="9">
        <f t="shared" ref="C8:I8" si="2">(M2+M14-M4)/M2</f>
        <v>1.2657784802980694</v>
      </c>
      <c r="D8" s="9">
        <f t="shared" si="2"/>
        <v>1.1771980501895649</v>
      </c>
      <c r="E8" s="9">
        <f t="shared" si="2"/>
        <v>1.409726300951486</v>
      </c>
      <c r="F8" s="9">
        <f t="shared" si="2"/>
        <v>1.4907587548638133</v>
      </c>
      <c r="G8" s="9">
        <f t="shared" si="2"/>
        <v>1.4626528975335873</v>
      </c>
      <c r="H8" s="9">
        <f t="shared" si="2"/>
        <v>1.7574795081967214</v>
      </c>
      <c r="I8" s="9">
        <f t="shared" si="2"/>
        <v>2.2471876555500248</v>
      </c>
      <c r="K8" s="34" t="s">
        <v>34</v>
      </c>
      <c r="L8">
        <v>3156</v>
      </c>
      <c r="M8">
        <v>4457</v>
      </c>
      <c r="N8">
        <v>5220</v>
      </c>
      <c r="O8">
        <v>3502</v>
      </c>
      <c r="P8">
        <v>3182</v>
      </c>
      <c r="Q8">
        <v>3484</v>
      </c>
      <c r="R8">
        <v>2857</v>
      </c>
      <c r="S8">
        <v>2497</v>
      </c>
    </row>
    <row r="9" spans="1:19" x14ac:dyDescent="0.25">
      <c r="A9" s="34" t="s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K9" s="34" t="s">
        <v>31</v>
      </c>
      <c r="L9">
        <v>501</v>
      </c>
      <c r="M9">
        <v>685</v>
      </c>
      <c r="N9">
        <v>396</v>
      </c>
      <c r="O9">
        <v>316</v>
      </c>
      <c r="P9">
        <v>335</v>
      </c>
      <c r="Q9">
        <v>350</v>
      </c>
      <c r="R9">
        <v>374</v>
      </c>
      <c r="S9">
        <v>555</v>
      </c>
    </row>
    <row r="10" spans="1:19" x14ac:dyDescent="0.25">
      <c r="A10" s="34" t="s">
        <v>5</v>
      </c>
      <c r="B10">
        <v>1384</v>
      </c>
      <c r="C10">
        <v>2655</v>
      </c>
      <c r="D10">
        <v>3587</v>
      </c>
      <c r="E10">
        <v>1190</v>
      </c>
      <c r="F10">
        <v>1217</v>
      </c>
      <c r="G10">
        <v>1491</v>
      </c>
      <c r="H10">
        <v>3041</v>
      </c>
      <c r="I10">
        <v>4461</v>
      </c>
      <c r="K10" s="34" t="s">
        <v>32</v>
      </c>
      <c r="L10">
        <v>177</v>
      </c>
      <c r="M10">
        <v>319</v>
      </c>
      <c r="N10">
        <v>-4</v>
      </c>
      <c r="O10">
        <v>843</v>
      </c>
      <c r="P10">
        <v>626</v>
      </c>
      <c r="Q10">
        <v>604</v>
      </c>
      <c r="R10">
        <v>647</v>
      </c>
      <c r="S10">
        <v>741</v>
      </c>
    </row>
    <row r="11" spans="1:19" x14ac:dyDescent="0.25">
      <c r="A11" s="34" t="s">
        <v>7</v>
      </c>
      <c r="B11" s="9">
        <f>B10/B4</f>
        <v>0.12663555677555127</v>
      </c>
      <c r="C11" s="9">
        <f t="shared" ref="C11:I11" si="3">C10/C4</f>
        <v>0.20415224913494809</v>
      </c>
      <c r="D11" s="9">
        <f t="shared" si="3"/>
        <v>0.20846167257511478</v>
      </c>
      <c r="E11" s="9">
        <f t="shared" si="3"/>
        <v>7.4918156635608163E-2</v>
      </c>
      <c r="F11" s="9">
        <f t="shared" si="3"/>
        <v>8.2185305240410594E-2</v>
      </c>
      <c r="G11" s="9">
        <f t="shared" si="3"/>
        <v>8.9308176100628925E-2</v>
      </c>
      <c r="H11" s="9">
        <f t="shared" si="3"/>
        <v>0.17982378333628998</v>
      </c>
      <c r="I11" s="9">
        <f t="shared" si="3"/>
        <v>0.26975872286388097</v>
      </c>
      <c r="K11" s="34" t="s">
        <v>54</v>
      </c>
      <c r="L11">
        <v>1898</v>
      </c>
      <c r="M11">
        <v>1925</v>
      </c>
      <c r="N11">
        <v>3368</v>
      </c>
      <c r="O11">
        <v>1727</v>
      </c>
      <c r="P11">
        <v>2578</v>
      </c>
      <c r="Q11">
        <v>2610</v>
      </c>
      <c r="R11">
        <v>2667</v>
      </c>
      <c r="S11">
        <v>2884</v>
      </c>
    </row>
    <row r="12" spans="1:19" ht="15.75" x14ac:dyDescent="0.25">
      <c r="A12" s="33" t="s">
        <v>0</v>
      </c>
      <c r="K12" s="34" t="s">
        <v>51</v>
      </c>
      <c r="L12">
        <v>41</v>
      </c>
      <c r="M12">
        <v>41</v>
      </c>
      <c r="N12">
        <v>41</v>
      </c>
      <c r="O12">
        <v>41</v>
      </c>
      <c r="P12">
        <v>41</v>
      </c>
      <c r="Q12">
        <v>41</v>
      </c>
      <c r="R12">
        <v>41</v>
      </c>
      <c r="S12">
        <v>41</v>
      </c>
    </row>
    <row r="13" spans="1:19" x14ac:dyDescent="0.25">
      <c r="A13" s="34" t="s">
        <v>16</v>
      </c>
      <c r="B13" s="8">
        <f>L7/B4</f>
        <v>1.0156464452374416E-2</v>
      </c>
      <c r="C13" s="8">
        <f t="shared" ref="C13:I13" si="4">M7/C4</f>
        <v>1.4609765474817378E-2</v>
      </c>
      <c r="D13" s="8">
        <f t="shared" si="4"/>
        <v>7.0320218515720345E-3</v>
      </c>
      <c r="E13" s="8">
        <f t="shared" si="4"/>
        <v>1.9327625283303954E-2</v>
      </c>
      <c r="F13" s="8">
        <f t="shared" si="4"/>
        <v>2.762020529443544E-2</v>
      </c>
      <c r="G13" s="8">
        <f t="shared" si="4"/>
        <v>8.7451332734351604E-3</v>
      </c>
      <c r="H13" s="8">
        <f t="shared" si="4"/>
        <v>2.2234048843947727E-2</v>
      </c>
      <c r="I13" s="8">
        <f t="shared" si="4"/>
        <v>7.1959847614440344E-3</v>
      </c>
      <c r="K13" s="34" t="s">
        <v>52</v>
      </c>
      <c r="L13">
        <v>201</v>
      </c>
      <c r="M13">
        <v>117</v>
      </c>
      <c r="N13">
        <v>106</v>
      </c>
      <c r="O13">
        <v>157</v>
      </c>
      <c r="P13">
        <v>188.5</v>
      </c>
      <c r="Q13">
        <v>199.5</v>
      </c>
      <c r="R13">
        <v>276</v>
      </c>
      <c r="S13">
        <v>412</v>
      </c>
    </row>
    <row r="14" spans="1:19" x14ac:dyDescent="0.25">
      <c r="A14" s="34" t="s">
        <v>14</v>
      </c>
      <c r="B14" s="9">
        <f>L8/L4</f>
        <v>1.3609314359637774</v>
      </c>
      <c r="C14" s="9">
        <f t="shared" ref="C14:I14" si="5">M8/M4</f>
        <v>1.8243962341383544</v>
      </c>
      <c r="D14" s="9">
        <f t="shared" si="5"/>
        <v>2.1905161561057489</v>
      </c>
      <c r="E14" s="9">
        <f t="shared" si="5"/>
        <v>1.1875211936249577</v>
      </c>
      <c r="F14" s="9">
        <f t="shared" si="5"/>
        <v>0.99811794228356332</v>
      </c>
      <c r="G14" s="9">
        <f t="shared" si="5"/>
        <v>0.97727910238429172</v>
      </c>
      <c r="H14" s="9">
        <f t="shared" si="5"/>
        <v>0.72826918174866173</v>
      </c>
      <c r="I14" s="9">
        <f t="shared" si="5"/>
        <v>0.5721814848762603</v>
      </c>
      <c r="K14" s="34" t="s">
        <v>29</v>
      </c>
      <c r="L14">
        <f t="shared" ref="L14:R14" si="6">L13*L12</f>
        <v>8241</v>
      </c>
      <c r="M14">
        <f t="shared" si="6"/>
        <v>4797</v>
      </c>
      <c r="N14">
        <f t="shared" si="6"/>
        <v>4346</v>
      </c>
      <c r="O14">
        <f t="shared" si="6"/>
        <v>6437</v>
      </c>
      <c r="P14">
        <f t="shared" si="6"/>
        <v>7728.5</v>
      </c>
      <c r="Q14">
        <f t="shared" si="6"/>
        <v>8179.5</v>
      </c>
      <c r="R14">
        <f t="shared" si="6"/>
        <v>11316</v>
      </c>
      <c r="S14">
        <f>S13*S12</f>
        <v>16892</v>
      </c>
    </row>
    <row r="15" spans="1:19" x14ac:dyDescent="0.25">
      <c r="A15" s="34" t="s">
        <v>40</v>
      </c>
      <c r="B15" s="8">
        <f>L5/L11</f>
        <v>6.7966280295047421E-2</v>
      </c>
      <c r="C15" s="8">
        <f t="shared" ref="C15:I15" si="7">M5/M11</f>
        <v>8.6753246753246749E-2</v>
      </c>
      <c r="D15" s="8">
        <f t="shared" si="7"/>
        <v>3.1175771971496437E-2</v>
      </c>
      <c r="E15" s="8">
        <f t="shared" si="7"/>
        <v>0.18645049218297627</v>
      </c>
      <c r="F15" s="8">
        <f t="shared" si="7"/>
        <v>0.20946470131885184</v>
      </c>
      <c r="G15" s="8">
        <f t="shared" si="7"/>
        <v>0.12681992337164752</v>
      </c>
      <c r="H15" s="8">
        <f t="shared" si="7"/>
        <v>0.12373453318335208</v>
      </c>
      <c r="I15" s="8">
        <f t="shared" si="7"/>
        <v>7.3855755894590841E-2</v>
      </c>
      <c r="K15" s="19"/>
    </row>
    <row r="16" spans="1:19" x14ac:dyDescent="0.25">
      <c r="A16" s="34" t="s">
        <v>15</v>
      </c>
      <c r="B16" s="8">
        <f>L9/B4</f>
        <v>4.5841339555311555E-2</v>
      </c>
      <c r="C16" s="8">
        <f t="shared" ref="C16:I16" si="8">M9/C4</f>
        <v>5.2672049211841598E-2</v>
      </c>
      <c r="D16" s="8">
        <f t="shared" si="8"/>
        <v>2.3013889696053932E-2</v>
      </c>
      <c r="E16" s="8">
        <f t="shared" si="8"/>
        <v>1.9894233190632084E-2</v>
      </c>
      <c r="F16" s="8">
        <f t="shared" si="8"/>
        <v>2.2622906537007024E-2</v>
      </c>
      <c r="G16" s="8">
        <f t="shared" si="8"/>
        <v>2.0964360587002098E-2</v>
      </c>
      <c r="H16" s="8">
        <f t="shared" si="8"/>
        <v>2.2115782626692684E-2</v>
      </c>
      <c r="I16" s="8">
        <f t="shared" si="8"/>
        <v>3.3561105400012094E-2</v>
      </c>
      <c r="K16" s="34"/>
      <c r="L16" s="9"/>
    </row>
    <row r="17" spans="1:9" x14ac:dyDescent="0.25">
      <c r="A17" s="34" t="s">
        <v>9</v>
      </c>
      <c r="B17" s="8">
        <f>L10/L2</f>
        <v>2.5530073561228904E-2</v>
      </c>
      <c r="C17" s="8">
        <f t="shared" ref="C17:I17" si="9">M10/M2</f>
        <v>3.6016709946934629E-2</v>
      </c>
      <c r="D17" s="24">
        <f t="shared" si="9"/>
        <v>-3.610760064993681E-4</v>
      </c>
      <c r="E17" s="8">
        <f t="shared" si="9"/>
        <v>9.902502055679549E-2</v>
      </c>
      <c r="F17" s="8">
        <f t="shared" si="9"/>
        <v>6.7661046260268046E-2</v>
      </c>
      <c r="G17" s="8">
        <f t="shared" si="9"/>
        <v>6.0557449368357733E-2</v>
      </c>
      <c r="H17" s="8">
        <f t="shared" si="9"/>
        <v>6.6290983606557372E-2</v>
      </c>
      <c r="I17" s="8">
        <f t="shared" si="9"/>
        <v>7.3768043802887012E-2</v>
      </c>
    </row>
    <row r="18" spans="1:9" x14ac:dyDescent="0.25">
      <c r="A18" s="34" t="s">
        <v>44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s="34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s="34" t="s">
        <v>57</v>
      </c>
      <c r="B20">
        <v>-203</v>
      </c>
      <c r="C20">
        <v>-104</v>
      </c>
      <c r="D20">
        <v>-131</v>
      </c>
      <c r="E20">
        <v>-47</v>
      </c>
      <c r="F20">
        <v>0</v>
      </c>
      <c r="G20">
        <v>-19</v>
      </c>
      <c r="H20">
        <v>-13</v>
      </c>
      <c r="I20">
        <v>21</v>
      </c>
    </row>
    <row r="21" spans="1:9" x14ac:dyDescent="0.25">
      <c r="A21" s="35" t="s">
        <v>58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</row>
    <row r="22" spans="1:9" x14ac:dyDescent="0.25">
      <c r="A22" s="17"/>
    </row>
    <row r="23" spans="1:9" x14ac:dyDescent="0.25">
      <c r="A23" s="17"/>
    </row>
    <row r="24" spans="1:9" x14ac:dyDescent="0.25">
      <c r="A24" s="17"/>
    </row>
    <row r="25" spans="1:9" x14ac:dyDescent="0.25">
      <c r="A25" s="18"/>
    </row>
    <row r="26" spans="1:9" x14ac:dyDescent="0.25">
      <c r="A26" s="17"/>
    </row>
    <row r="27" spans="1:9" x14ac:dyDescent="0.25">
      <c r="A27" s="17"/>
    </row>
    <row r="28" spans="1:9" x14ac:dyDescent="0.25">
      <c r="A28" s="17"/>
    </row>
    <row r="29" spans="1:9" x14ac:dyDescent="0.25">
      <c r="A29" s="17"/>
    </row>
    <row r="30" spans="1:9" x14ac:dyDescent="0.25">
      <c r="A30" s="17"/>
    </row>
    <row r="31" spans="1:9" x14ac:dyDescent="0.25">
      <c r="A31" s="17"/>
    </row>
    <row r="32" spans="1:9" x14ac:dyDescent="0.25">
      <c r="A32" s="17"/>
    </row>
    <row r="33" spans="1:19" x14ac:dyDescent="0.25">
      <c r="A33" s="17"/>
    </row>
    <row r="34" spans="1:19" x14ac:dyDescent="0.25">
      <c r="A34" s="14"/>
    </row>
    <row r="43" spans="1:19" x14ac:dyDescent="0.25">
      <c r="L43" s="16"/>
      <c r="M43" s="16"/>
      <c r="N43" s="16"/>
      <c r="O43" s="16"/>
      <c r="P43" s="16"/>
      <c r="Q43" s="16"/>
      <c r="R43" s="16"/>
      <c r="S43" s="16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4"/>
  <dimension ref="A1:S21"/>
  <sheetViews>
    <sheetView workbookViewId="0">
      <selection activeCell="B11" sqref="B11:I11"/>
    </sheetView>
  </sheetViews>
  <sheetFormatPr defaultRowHeight="15" x14ac:dyDescent="0.25"/>
  <sheetData>
    <row r="1" spans="1:19" ht="17.25" x14ac:dyDescent="0.25">
      <c r="A1" s="32" t="s">
        <v>12</v>
      </c>
      <c r="B1" s="36">
        <v>2006</v>
      </c>
      <c r="C1" s="36">
        <v>2007</v>
      </c>
      <c r="D1" s="36">
        <v>2008</v>
      </c>
      <c r="E1" s="36">
        <v>2009</v>
      </c>
      <c r="F1" s="36">
        <v>2010</v>
      </c>
      <c r="G1" s="36">
        <v>2011</v>
      </c>
      <c r="H1" s="36">
        <v>2012</v>
      </c>
      <c r="I1" s="36">
        <v>2013</v>
      </c>
      <c r="L1" s="36">
        <v>2006</v>
      </c>
      <c r="M1" s="36">
        <v>2007</v>
      </c>
      <c r="N1" s="36">
        <v>2008</v>
      </c>
      <c r="O1" s="36">
        <v>2009</v>
      </c>
      <c r="P1" s="36">
        <v>2010</v>
      </c>
      <c r="Q1" s="36">
        <v>2011</v>
      </c>
      <c r="R1" s="36">
        <v>2012</v>
      </c>
      <c r="S1" s="36">
        <v>2013</v>
      </c>
    </row>
    <row r="2" spans="1:19" ht="15.75" x14ac:dyDescent="0.25">
      <c r="A2" s="33" t="s">
        <v>24</v>
      </c>
      <c r="K2" s="34" t="s">
        <v>33</v>
      </c>
      <c r="L2" s="16">
        <v>8508.510485774279</v>
      </c>
      <c r="M2" s="16">
        <v>8618.5077573207054</v>
      </c>
      <c r="N2" s="16">
        <v>9926.3116221422915</v>
      </c>
      <c r="O2" s="16">
        <v>9142.4899667551217</v>
      </c>
      <c r="P2" s="16">
        <v>9882.5845143457409</v>
      </c>
      <c r="Q2" s="16">
        <v>8863.3623751740197</v>
      </c>
      <c r="R2" s="16">
        <v>8610.3020459253039</v>
      </c>
      <c r="S2" s="16">
        <v>8670.3795362350593</v>
      </c>
    </row>
    <row r="3" spans="1:19" x14ac:dyDescent="0.25">
      <c r="A3" s="34" t="s">
        <v>10</v>
      </c>
      <c r="B3" s="25">
        <f>LN(L2)</f>
        <v>9.0488221751988469</v>
      </c>
      <c r="C3" s="25">
        <f t="shared" ref="C3:I3" si="0">LN(M2)</f>
        <v>9.0616672346718623</v>
      </c>
      <c r="D3" s="25">
        <f t="shared" si="0"/>
        <v>9.2029442501883665</v>
      </c>
      <c r="E3" s="25">
        <f t="shared" si="0"/>
        <v>9.1206880525939074</v>
      </c>
      <c r="F3" s="25">
        <f t="shared" si="0"/>
        <v>9.1985293470539027</v>
      </c>
      <c r="G3" s="25">
        <f t="shared" si="0"/>
        <v>9.0896814721909678</v>
      </c>
      <c r="H3" s="25">
        <f t="shared" si="0"/>
        <v>9.0607146776340208</v>
      </c>
      <c r="I3" s="25">
        <f t="shared" si="0"/>
        <v>9.0676678446221128</v>
      </c>
      <c r="K3" s="34" t="s">
        <v>27</v>
      </c>
      <c r="L3" s="16">
        <v>14083.763824810634</v>
      </c>
      <c r="M3" s="16">
        <v>11743.013028039899</v>
      </c>
      <c r="N3" s="16">
        <v>13768.744207288802</v>
      </c>
      <c r="O3" s="16">
        <v>12320.249954995508</v>
      </c>
      <c r="P3" s="16">
        <v>13232.538358591099</v>
      </c>
      <c r="Q3" s="16">
        <v>14298.83037660152</v>
      </c>
      <c r="R3" s="16">
        <v>14378.373105216258</v>
      </c>
      <c r="S3" s="16">
        <v>13647.881065435999</v>
      </c>
    </row>
    <row r="4" spans="1:19" x14ac:dyDescent="0.25">
      <c r="A4" s="34" t="s">
        <v>13</v>
      </c>
      <c r="B4" s="16">
        <v>17751.625965233652</v>
      </c>
      <c r="C4" s="16">
        <v>15437.07363949416</v>
      </c>
      <c r="D4" s="16">
        <v>15549.542609109318</v>
      </c>
      <c r="E4" s="16">
        <v>15780.712365695656</v>
      </c>
      <c r="F4" s="16">
        <v>16332.315964796999</v>
      </c>
      <c r="G4" s="16">
        <v>14455.18734610928</v>
      </c>
      <c r="H4" s="16">
        <v>14622.82878261099</v>
      </c>
      <c r="I4" s="16">
        <v>15572.961818596603</v>
      </c>
      <c r="K4" s="34" t="s">
        <v>28</v>
      </c>
      <c r="L4" s="16">
        <v>3780.0651647778905</v>
      </c>
      <c r="M4" s="16">
        <v>3739.6570020164427</v>
      </c>
      <c r="N4" s="16">
        <v>2895.2083719404109</v>
      </c>
      <c r="O4" s="16">
        <v>2698.9529851083753</v>
      </c>
      <c r="P4" s="16">
        <v>2440.043740336745</v>
      </c>
      <c r="Q4" s="16">
        <v>2714.1833978473564</v>
      </c>
      <c r="R4" s="16">
        <v>3698.7416319289159</v>
      </c>
      <c r="S4" s="16">
        <v>3597.5227465752446</v>
      </c>
    </row>
    <row r="5" spans="1:19" x14ac:dyDescent="0.25">
      <c r="A5" s="34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34" t="s">
        <v>53</v>
      </c>
      <c r="L5" s="16">
        <v>239.26959332998578</v>
      </c>
      <c r="M5" s="16">
        <v>371.73209379970154</v>
      </c>
      <c r="N5" s="16">
        <v>142.78751852322307</v>
      </c>
      <c r="O5" s="16">
        <v>233.23764440166676</v>
      </c>
      <c r="P5" s="16">
        <v>392.08957800339749</v>
      </c>
      <c r="Q5" s="16">
        <v>379.60536502499139</v>
      </c>
      <c r="R5" s="16">
        <v>221.73491791266133</v>
      </c>
      <c r="S5" s="16">
        <v>215.06351029941928</v>
      </c>
    </row>
    <row r="6" spans="1:19" x14ac:dyDescent="0.25">
      <c r="A6" s="34" t="s">
        <v>11</v>
      </c>
      <c r="B6" s="9">
        <f>L3/B4</f>
        <v>0.79337880667345728</v>
      </c>
      <c r="C6" s="9">
        <f t="shared" ref="C6:I6" si="1">M3/C4</f>
        <v>0.76070201530921067</v>
      </c>
      <c r="D6" s="9">
        <f t="shared" si="1"/>
        <v>0.88547583381794925</v>
      </c>
      <c r="E6" s="9">
        <f t="shared" si="1"/>
        <v>0.78071570341637098</v>
      </c>
      <c r="F6" s="9">
        <f t="shared" si="1"/>
        <v>0.81020587570757119</v>
      </c>
      <c r="G6" s="9">
        <f t="shared" si="1"/>
        <v>0.98918333150833604</v>
      </c>
      <c r="H6" s="9">
        <f t="shared" si="1"/>
        <v>0.98328260003389834</v>
      </c>
      <c r="I6" s="9">
        <f t="shared" si="1"/>
        <v>0.87638313279226365</v>
      </c>
      <c r="K6" s="37" t="s">
        <v>62</v>
      </c>
      <c r="L6" s="16">
        <v>1976.4578446107644</v>
      </c>
      <c r="M6" s="16">
        <v>1865.7674365838286</v>
      </c>
      <c r="N6" s="16">
        <v>1472.8208925299155</v>
      </c>
      <c r="O6" s="16">
        <v>3174.0145399576968</v>
      </c>
      <c r="P6" s="16">
        <v>2166.1689237563469</v>
      </c>
      <c r="Q6" s="16">
        <v>1539.3815656032925</v>
      </c>
      <c r="R6" s="16">
        <v>3259.7641934891758</v>
      </c>
      <c r="S6" s="16">
        <v>2712.9427003684723</v>
      </c>
    </row>
    <row r="7" spans="1:19" ht="15.75" x14ac:dyDescent="0.25">
      <c r="A7" s="33" t="s">
        <v>21</v>
      </c>
      <c r="K7" s="34" t="s">
        <v>30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</row>
    <row r="8" spans="1:19" x14ac:dyDescent="0.25">
      <c r="A8" s="34" t="s">
        <v>8</v>
      </c>
      <c r="B8" s="9">
        <f>(L2+L14-L4)/L2</f>
        <v>1.5809228029297184</v>
      </c>
      <c r="C8" s="9">
        <f t="shared" ref="C8:I8" si="2">(M2+M14-M4)/M2</f>
        <v>1.1320124519461778</v>
      </c>
      <c r="D8" s="9">
        <f t="shared" si="2"/>
        <v>1.2773586196095956</v>
      </c>
      <c r="E8" s="9">
        <f t="shared" si="2"/>
        <v>1.9883737072885856</v>
      </c>
      <c r="F8" s="9">
        <f t="shared" si="2"/>
        <v>1.8465205440371653</v>
      </c>
      <c r="G8" s="9">
        <f t="shared" si="2"/>
        <v>1.6934458501868672</v>
      </c>
      <c r="H8" s="9">
        <f t="shared" si="2"/>
        <v>1.1752797296445701</v>
      </c>
      <c r="I8" s="9">
        <f t="shared" si="2"/>
        <v>1.7842866503387482</v>
      </c>
      <c r="K8" s="34" t="s">
        <v>34</v>
      </c>
      <c r="L8" s="16">
        <v>3946.3088508829087</v>
      </c>
      <c r="M8" s="16">
        <v>3088.2639321104607</v>
      </c>
      <c r="N8" s="16">
        <v>3856.0206144775161</v>
      </c>
      <c r="O8" s="16">
        <v>3929.2838937927386</v>
      </c>
      <c r="P8" s="16">
        <v>3495.1023380215756</v>
      </c>
      <c r="Q8" s="16">
        <v>3446.9108228258806</v>
      </c>
      <c r="R8" s="16">
        <v>3956.1157031180655</v>
      </c>
      <c r="S8" s="16">
        <v>3908.4617393548801</v>
      </c>
    </row>
    <row r="9" spans="1:19" x14ac:dyDescent="0.25">
      <c r="A9" s="34" t="s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K9" s="34" t="s">
        <v>31</v>
      </c>
      <c r="L9" s="16">
        <v>548.22392195448037</v>
      </c>
      <c r="M9" s="16">
        <v>544.73490014898857</v>
      </c>
      <c r="N9" s="16">
        <v>382.74213873169396</v>
      </c>
      <c r="O9" s="16">
        <v>336.15106211813725</v>
      </c>
      <c r="P9" s="16">
        <v>320.60281387374107</v>
      </c>
      <c r="Q9" s="16">
        <v>481.16164992644786</v>
      </c>
      <c r="R9" s="16">
        <v>496.81594711971974</v>
      </c>
      <c r="S9" s="16">
        <v>400.34677390220776</v>
      </c>
    </row>
    <row r="10" spans="1:19" x14ac:dyDescent="0.25">
      <c r="A10" s="34" t="s">
        <v>5</v>
      </c>
      <c r="B10" s="16">
        <v>1976.4578446107644</v>
      </c>
      <c r="C10" s="16">
        <v>1865.7674365838286</v>
      </c>
      <c r="D10" s="16">
        <v>1472.8208925299155</v>
      </c>
      <c r="E10" s="16">
        <v>3174.0145399576968</v>
      </c>
      <c r="F10" s="16">
        <v>2166.1689237563469</v>
      </c>
      <c r="G10" s="16">
        <v>1539.3815656032925</v>
      </c>
      <c r="H10" s="16">
        <v>3259.7641934891758</v>
      </c>
      <c r="I10" s="16">
        <v>2712.9427003684723</v>
      </c>
      <c r="K10" s="34" t="s">
        <v>32</v>
      </c>
      <c r="L10" s="16">
        <v>649.57344650443122</v>
      </c>
      <c r="M10" s="16">
        <v>660.73087139161601</v>
      </c>
      <c r="N10" s="16">
        <v>725.26990376564743</v>
      </c>
      <c r="O10" s="16">
        <v>627.35115254857192</v>
      </c>
      <c r="P10" s="16">
        <v>310.62336470621415</v>
      </c>
      <c r="Q10" s="16">
        <v>473.21610206416221</v>
      </c>
      <c r="R10" s="16">
        <v>470.86641417179032</v>
      </c>
      <c r="S10" s="16">
        <v>258.61731833620246</v>
      </c>
    </row>
    <row r="11" spans="1:19" x14ac:dyDescent="0.25">
      <c r="A11" s="34" t="s">
        <v>7</v>
      </c>
      <c r="B11" s="9">
        <f>B10/B4</f>
        <v>0.11133953861362522</v>
      </c>
      <c r="C11" s="9">
        <f t="shared" ref="C11:I11" si="3">C10/C4</f>
        <v>0.12086276713809638</v>
      </c>
      <c r="D11" s="9">
        <f t="shared" si="3"/>
        <v>9.4717955991007699E-2</v>
      </c>
      <c r="E11" s="9">
        <f t="shared" si="3"/>
        <v>0.20113252598516504</v>
      </c>
      <c r="F11" s="9">
        <f t="shared" si="3"/>
        <v>0.13263084846174608</v>
      </c>
      <c r="G11" s="9">
        <f t="shared" si="3"/>
        <v>0.10649336661953596</v>
      </c>
      <c r="H11" s="9">
        <f t="shared" si="3"/>
        <v>0.22292295437156354</v>
      </c>
      <c r="I11" s="9">
        <f t="shared" si="3"/>
        <v>0.17420852449074817</v>
      </c>
      <c r="K11" s="34" t="s">
        <v>54</v>
      </c>
      <c r="L11" s="16">
        <v>2226.573021890933</v>
      </c>
      <c r="M11" s="16">
        <v>2636.1076205733279</v>
      </c>
      <c r="N11" s="16">
        <v>2579.6131339956405</v>
      </c>
      <c r="O11" s="16">
        <v>2877.8711827006787</v>
      </c>
      <c r="P11" s="16">
        <v>2280.3826497634618</v>
      </c>
      <c r="Q11" s="16">
        <v>2218.2594333938996</v>
      </c>
      <c r="R11" s="16">
        <v>2813.0840296020174</v>
      </c>
      <c r="S11" s="16">
        <v>2286.0785949970559</v>
      </c>
    </row>
    <row r="12" spans="1:19" ht="15.75" x14ac:dyDescent="0.25">
      <c r="A12" s="33" t="s">
        <v>0</v>
      </c>
      <c r="K12" s="34" t="s">
        <v>51</v>
      </c>
    </row>
    <row r="13" spans="1:19" x14ac:dyDescent="0.25">
      <c r="A13" s="34" t="s">
        <v>16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K13" s="34" t="s">
        <v>52</v>
      </c>
    </row>
    <row r="14" spans="1:19" x14ac:dyDescent="0.25">
      <c r="A14" s="34" t="s">
        <v>14</v>
      </c>
      <c r="B14" s="9">
        <f>L8/L4</f>
        <v>1.0439790529682009</v>
      </c>
      <c r="C14" s="9">
        <f t="shared" ref="C14:I14" si="4">M8/M4</f>
        <v>0.82581475532254767</v>
      </c>
      <c r="D14" s="9">
        <f t="shared" si="4"/>
        <v>1.3318628986600902</v>
      </c>
      <c r="E14" s="9">
        <f t="shared" si="4"/>
        <v>1.4558548872369335</v>
      </c>
      <c r="F14" s="9">
        <f t="shared" si="4"/>
        <v>1.4323933133834823</v>
      </c>
      <c r="G14" s="9">
        <f t="shared" si="4"/>
        <v>1.2699623855777973</v>
      </c>
      <c r="H14" s="9">
        <f t="shared" si="4"/>
        <v>1.0695842253396131</v>
      </c>
      <c r="I14" s="9">
        <f t="shared" si="4"/>
        <v>1.0864314181406196</v>
      </c>
      <c r="K14" s="34" t="s">
        <v>29</v>
      </c>
      <c r="L14" s="16">
        <v>8722.8529249307849</v>
      </c>
      <c r="M14" s="16">
        <v>4877.4073431775032</v>
      </c>
      <c r="N14" s="16">
        <v>5648.3564612724822</v>
      </c>
      <c r="O14" s="16">
        <v>11735.149687398833</v>
      </c>
      <c r="P14" s="16">
        <v>10805.854559913965</v>
      </c>
      <c r="Q14" s="16">
        <v>8860.445255614195</v>
      </c>
      <c r="R14" s="16">
        <v>5207.9530466967899</v>
      </c>
      <c r="S14" s="16">
        <v>10397.585670214667</v>
      </c>
    </row>
    <row r="15" spans="1:19" x14ac:dyDescent="0.25">
      <c r="A15" s="34" t="s">
        <v>40</v>
      </c>
      <c r="B15" s="8">
        <f>L5/L11</f>
        <v>0.10746092357069179</v>
      </c>
      <c r="C15" s="8">
        <f t="shared" ref="C15:I15" si="5">M5/M11</f>
        <v>0.14101552262075454</v>
      </c>
      <c r="D15" s="8">
        <f t="shared" si="5"/>
        <v>5.5352299397722161E-2</v>
      </c>
      <c r="E15" s="8">
        <f t="shared" si="5"/>
        <v>8.1045199591869746E-2</v>
      </c>
      <c r="F15" s="8">
        <f t="shared" si="5"/>
        <v>0.17194025662494317</v>
      </c>
      <c r="G15" s="8">
        <f t="shared" si="5"/>
        <v>0.17112757836634174</v>
      </c>
      <c r="H15" s="8">
        <f t="shared" si="5"/>
        <v>7.8822713996222649E-2</v>
      </c>
      <c r="I15" s="8">
        <f t="shared" si="5"/>
        <v>9.4075291536377059E-2</v>
      </c>
    </row>
    <row r="16" spans="1:19" x14ac:dyDescent="0.25">
      <c r="A16" s="34" t="s">
        <v>15</v>
      </c>
      <c r="B16" s="8">
        <f>L9/B4</f>
        <v>3.088302575934004E-2</v>
      </c>
      <c r="C16" s="8">
        <f t="shared" ref="C16:I16" si="6">M9/C4</f>
        <v>3.5287445850834098E-2</v>
      </c>
      <c r="D16" s="8">
        <f t="shared" si="6"/>
        <v>2.4614366374189931E-2</v>
      </c>
      <c r="E16" s="8">
        <f t="shared" si="6"/>
        <v>2.1301387055812977E-2</v>
      </c>
      <c r="F16" s="8">
        <f t="shared" si="6"/>
        <v>1.9629966415343349E-2</v>
      </c>
      <c r="G16" s="8">
        <f t="shared" si="6"/>
        <v>3.328643471756567E-2</v>
      </c>
      <c r="H16" s="8">
        <f t="shared" si="6"/>
        <v>3.3975365129797437E-2</v>
      </c>
      <c r="I16" s="8">
        <f t="shared" si="6"/>
        <v>2.570781194776512E-2</v>
      </c>
    </row>
    <row r="17" spans="1:9" x14ac:dyDescent="0.25">
      <c r="A17" s="34" t="s">
        <v>9</v>
      </c>
      <c r="B17" s="8">
        <f>L10/L2</f>
        <v>7.6343967324301848E-2</v>
      </c>
      <c r="C17" s="8">
        <f t="shared" ref="C17:I17" si="7">M10/M2</f>
        <v>7.6664184798160687E-2</v>
      </c>
      <c r="D17" s="8">
        <f t="shared" si="7"/>
        <v>7.3065397438038526E-2</v>
      </c>
      <c r="E17" s="8">
        <f t="shared" si="7"/>
        <v>6.8619288052796532E-2</v>
      </c>
      <c r="F17" s="8">
        <f t="shared" si="7"/>
        <v>3.1431389658778792E-2</v>
      </c>
      <c r="G17" s="8">
        <f t="shared" si="7"/>
        <v>5.3390133679925421E-2</v>
      </c>
      <c r="H17" s="8">
        <f t="shared" si="7"/>
        <v>5.4686399113561969E-2</v>
      </c>
      <c r="I17" s="8">
        <f t="shared" si="7"/>
        <v>2.982768138988549E-2</v>
      </c>
    </row>
    <row r="18" spans="1:9" x14ac:dyDescent="0.25">
      <c r="A18" s="34" t="s">
        <v>44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s="34" t="s">
        <v>48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25">
      <c r="A20" s="34" t="s">
        <v>57</v>
      </c>
      <c r="B20">
        <v>-79</v>
      </c>
      <c r="C20">
        <v>-116</v>
      </c>
      <c r="D20">
        <v>-107</v>
      </c>
      <c r="E20">
        <v>94</v>
      </c>
      <c r="F20">
        <v>-117</v>
      </c>
      <c r="G20">
        <v>-30</v>
      </c>
      <c r="H20">
        <v>64</v>
      </c>
      <c r="I20">
        <v>-83</v>
      </c>
    </row>
    <row r="21" spans="1:9" x14ac:dyDescent="0.25">
      <c r="A21" s="35" t="s">
        <v>58</v>
      </c>
      <c r="B21">
        <v>0</v>
      </c>
      <c r="C21">
        <v>0</v>
      </c>
      <c r="D21">
        <v>0</v>
      </c>
      <c r="E21">
        <v>1</v>
      </c>
      <c r="F21">
        <v>0</v>
      </c>
      <c r="G21">
        <v>0</v>
      </c>
      <c r="H21">
        <v>1</v>
      </c>
      <c r="I21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5"/>
  <dimension ref="A1:S21"/>
  <sheetViews>
    <sheetView workbookViewId="0">
      <selection activeCell="B11" sqref="B11:I11"/>
    </sheetView>
  </sheetViews>
  <sheetFormatPr defaultRowHeight="15" x14ac:dyDescent="0.25"/>
  <sheetData>
    <row r="1" spans="1:19" ht="17.25" x14ac:dyDescent="0.25">
      <c r="A1" s="32" t="s">
        <v>12</v>
      </c>
      <c r="B1" s="36">
        <v>2006</v>
      </c>
      <c r="C1" s="36">
        <v>2007</v>
      </c>
      <c r="D1" s="36">
        <v>2008</v>
      </c>
      <c r="E1" s="36">
        <v>2009</v>
      </c>
      <c r="F1" s="36">
        <v>2010</v>
      </c>
      <c r="G1" s="36">
        <v>2011</v>
      </c>
      <c r="H1" s="36">
        <v>2012</v>
      </c>
      <c r="I1" s="36">
        <v>2013</v>
      </c>
      <c r="L1" s="36">
        <v>2006</v>
      </c>
      <c r="M1" s="36">
        <v>2007</v>
      </c>
      <c r="N1" s="36">
        <v>2008</v>
      </c>
      <c r="O1" s="36">
        <v>2009</v>
      </c>
      <c r="P1" s="36">
        <v>2010</v>
      </c>
      <c r="Q1" s="36">
        <v>2011</v>
      </c>
      <c r="R1" s="36">
        <v>2012</v>
      </c>
      <c r="S1" s="36">
        <v>2013</v>
      </c>
    </row>
    <row r="2" spans="1:19" ht="15.75" x14ac:dyDescent="0.25">
      <c r="A2" s="33" t="s">
        <v>24</v>
      </c>
      <c r="K2" s="34" t="s">
        <v>33</v>
      </c>
      <c r="L2">
        <v>3054</v>
      </c>
      <c r="M2">
        <v>4421</v>
      </c>
      <c r="N2">
        <v>5857</v>
      </c>
      <c r="O2">
        <v>6020</v>
      </c>
      <c r="P2">
        <v>5493</v>
      </c>
      <c r="Q2">
        <v>5432</v>
      </c>
      <c r="R2">
        <v>5599</v>
      </c>
      <c r="S2">
        <v>5227</v>
      </c>
    </row>
    <row r="3" spans="1:19" x14ac:dyDescent="0.25">
      <c r="A3" s="34" t="s">
        <v>10</v>
      </c>
      <c r="B3" s="9">
        <f>LN(L2)</f>
        <v>8.024207485778577</v>
      </c>
      <c r="C3" s="9">
        <f t="shared" ref="C3:I3" si="0">LN(M2)</f>
        <v>8.3941211938262423</v>
      </c>
      <c r="D3" s="9">
        <f t="shared" si="0"/>
        <v>8.675392806089782</v>
      </c>
      <c r="E3" s="9">
        <f t="shared" si="0"/>
        <v>8.7028425383028676</v>
      </c>
      <c r="F3" s="9">
        <f t="shared" si="0"/>
        <v>8.6112298333426196</v>
      </c>
      <c r="G3" s="9">
        <f t="shared" si="0"/>
        <v>8.6000626692385325</v>
      </c>
      <c r="H3" s="9">
        <f t="shared" si="0"/>
        <v>8.6303432893488932</v>
      </c>
      <c r="I3" s="9">
        <f t="shared" si="0"/>
        <v>8.5615927787129227</v>
      </c>
      <c r="K3" s="34" t="s">
        <v>27</v>
      </c>
      <c r="L3">
        <v>1810</v>
      </c>
      <c r="M3">
        <v>2915</v>
      </c>
      <c r="N3">
        <v>4330</v>
      </c>
      <c r="O3">
        <v>4641</v>
      </c>
      <c r="P3">
        <v>3870</v>
      </c>
      <c r="Q3">
        <v>3795</v>
      </c>
      <c r="R3">
        <v>4057</v>
      </c>
      <c r="S3">
        <v>3926</v>
      </c>
    </row>
    <row r="4" spans="1:19" x14ac:dyDescent="0.25">
      <c r="A4" s="34" t="s">
        <v>13</v>
      </c>
      <c r="B4">
        <v>5058</v>
      </c>
      <c r="C4">
        <v>6823</v>
      </c>
      <c r="D4">
        <v>9133</v>
      </c>
      <c r="E4">
        <v>9325</v>
      </c>
      <c r="F4">
        <v>7648</v>
      </c>
      <c r="G4">
        <v>7885</v>
      </c>
      <c r="H4">
        <v>8201</v>
      </c>
      <c r="I4">
        <v>7666</v>
      </c>
      <c r="K4" s="34" t="s">
        <v>28</v>
      </c>
      <c r="L4">
        <v>1085</v>
      </c>
      <c r="M4">
        <v>1239</v>
      </c>
      <c r="N4">
        <v>1551</v>
      </c>
      <c r="O4">
        <v>1739</v>
      </c>
      <c r="P4">
        <v>1769</v>
      </c>
      <c r="Q4">
        <v>1855</v>
      </c>
      <c r="R4">
        <v>2009</v>
      </c>
      <c r="S4">
        <v>2108</v>
      </c>
    </row>
    <row r="5" spans="1:19" x14ac:dyDescent="0.25">
      <c r="A5" s="34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34" t="s">
        <v>53</v>
      </c>
      <c r="L5">
        <v>276</v>
      </c>
      <c r="M5">
        <v>170</v>
      </c>
      <c r="N5">
        <v>226</v>
      </c>
      <c r="O5">
        <v>209</v>
      </c>
      <c r="P5">
        <v>209</v>
      </c>
      <c r="Q5">
        <v>92</v>
      </c>
      <c r="R5">
        <v>85</v>
      </c>
      <c r="S5">
        <v>214</v>
      </c>
    </row>
    <row r="6" spans="1:19" x14ac:dyDescent="0.25">
      <c r="A6" s="34" t="s">
        <v>11</v>
      </c>
      <c r="B6" s="9">
        <f>L3/B4</f>
        <v>0.35784895215500195</v>
      </c>
      <c r="C6" s="9">
        <f t="shared" ref="C6:I6" si="1">M3/C4</f>
        <v>0.42723142312765644</v>
      </c>
      <c r="D6" s="9">
        <f t="shared" si="1"/>
        <v>0.47410489433920944</v>
      </c>
      <c r="E6" s="9">
        <f t="shared" si="1"/>
        <v>0.49769436997319033</v>
      </c>
      <c r="F6" s="9">
        <f t="shared" si="1"/>
        <v>0.50601464435146448</v>
      </c>
      <c r="G6" s="9">
        <f t="shared" si="1"/>
        <v>0.48129359543436906</v>
      </c>
      <c r="H6" s="9">
        <f t="shared" si="1"/>
        <v>0.49469576880868188</v>
      </c>
      <c r="I6" s="9">
        <f t="shared" si="1"/>
        <v>0.51213148969475608</v>
      </c>
      <c r="K6" s="37" t="s">
        <v>62</v>
      </c>
      <c r="L6">
        <v>177</v>
      </c>
      <c r="M6">
        <v>182</v>
      </c>
      <c r="N6">
        <v>293</v>
      </c>
      <c r="O6">
        <v>315</v>
      </c>
      <c r="P6">
        <v>147</v>
      </c>
      <c r="Q6">
        <v>188</v>
      </c>
      <c r="R6">
        <v>528</v>
      </c>
      <c r="S6">
        <v>210</v>
      </c>
    </row>
    <row r="7" spans="1:19" ht="15.75" x14ac:dyDescent="0.25">
      <c r="A7" s="33" t="s">
        <v>21</v>
      </c>
      <c r="K7" s="34" t="s">
        <v>30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25">
      <c r="A8" s="34" t="s">
        <v>8</v>
      </c>
      <c r="B8" s="9">
        <f>(L2+L14-L4)/L2</f>
        <v>1.9204322200392927</v>
      </c>
      <c r="C8" s="9">
        <f t="shared" ref="C8:I8" si="2">(M2+M14-M4)/M2</f>
        <v>2.0961320968106762</v>
      </c>
      <c r="D8" s="9">
        <f t="shared" si="2"/>
        <v>1.5775994536452109</v>
      </c>
      <c r="E8" s="9">
        <f t="shared" si="2"/>
        <v>0.91993355481727579</v>
      </c>
      <c r="F8" s="9">
        <f t="shared" si="2"/>
        <v>1.2253777535044603</v>
      </c>
      <c r="G8" s="9">
        <f t="shared" si="2"/>
        <v>1.2527614138438881</v>
      </c>
      <c r="H8" s="9">
        <f t="shared" si="2"/>
        <v>0.94213252366494016</v>
      </c>
      <c r="I8" s="9">
        <f t="shared" si="2"/>
        <v>1.0591161277979722</v>
      </c>
      <c r="K8" s="34" t="s">
        <v>34</v>
      </c>
      <c r="L8">
        <v>671</v>
      </c>
      <c r="M8">
        <v>1202</v>
      </c>
      <c r="N8">
        <v>2008</v>
      </c>
      <c r="O8">
        <v>2179</v>
      </c>
      <c r="P8">
        <v>1952</v>
      </c>
      <c r="Q8">
        <v>1890</v>
      </c>
      <c r="R8">
        <v>1882</v>
      </c>
      <c r="S8">
        <v>1519</v>
      </c>
    </row>
    <row r="9" spans="1:19" x14ac:dyDescent="0.25">
      <c r="A9" s="34" t="s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K9" s="34" t="s">
        <v>31</v>
      </c>
      <c r="L9">
        <v>339</v>
      </c>
      <c r="M9">
        <v>728</v>
      </c>
      <c r="N9">
        <v>835</v>
      </c>
      <c r="O9">
        <v>248</v>
      </c>
      <c r="P9">
        <v>18</v>
      </c>
      <c r="Q9">
        <v>25</v>
      </c>
      <c r="R9">
        <v>68</v>
      </c>
      <c r="S9">
        <v>51</v>
      </c>
    </row>
    <row r="10" spans="1:19" x14ac:dyDescent="0.25">
      <c r="A10" s="34" t="s">
        <v>5</v>
      </c>
      <c r="B10">
        <v>177</v>
      </c>
      <c r="C10">
        <v>182</v>
      </c>
      <c r="D10">
        <v>293</v>
      </c>
      <c r="E10">
        <v>315</v>
      </c>
      <c r="F10">
        <v>147</v>
      </c>
      <c r="G10">
        <v>188</v>
      </c>
      <c r="H10">
        <v>528</v>
      </c>
      <c r="I10">
        <v>210</v>
      </c>
      <c r="K10" s="34" t="s">
        <v>32</v>
      </c>
      <c r="L10">
        <v>209</v>
      </c>
      <c r="M10">
        <v>290</v>
      </c>
      <c r="N10">
        <v>432</v>
      </c>
      <c r="O10">
        <v>291</v>
      </c>
      <c r="P10">
        <v>134</v>
      </c>
      <c r="Q10">
        <v>194</v>
      </c>
      <c r="R10">
        <v>227</v>
      </c>
      <c r="S10">
        <v>222</v>
      </c>
    </row>
    <row r="11" spans="1:19" x14ac:dyDescent="0.25">
      <c r="A11" s="34" t="s">
        <v>7</v>
      </c>
      <c r="B11" s="9">
        <f>B10/B4</f>
        <v>3.4994068801897982E-2</v>
      </c>
      <c r="C11" s="9">
        <f t="shared" ref="C11:I11" si="3">C10/C4</f>
        <v>2.667448336508867E-2</v>
      </c>
      <c r="D11" s="9">
        <f t="shared" si="3"/>
        <v>3.2081462827110475E-2</v>
      </c>
      <c r="E11" s="9">
        <f t="shared" si="3"/>
        <v>3.3780160857908845E-2</v>
      </c>
      <c r="F11" s="9">
        <f t="shared" si="3"/>
        <v>1.922071129707113E-2</v>
      </c>
      <c r="G11" s="9">
        <f t="shared" si="3"/>
        <v>2.3842739378566898E-2</v>
      </c>
      <c r="H11" s="9">
        <f t="shared" si="3"/>
        <v>6.4382392391171814E-2</v>
      </c>
      <c r="I11" s="9">
        <f t="shared" si="3"/>
        <v>2.7393686407513697E-2</v>
      </c>
      <c r="K11" s="34" t="s">
        <v>54</v>
      </c>
      <c r="L11">
        <v>1374</v>
      </c>
      <c r="M11">
        <v>1931</v>
      </c>
      <c r="N11">
        <v>2238</v>
      </c>
      <c r="O11">
        <v>2270</v>
      </c>
      <c r="P11">
        <v>1806</v>
      </c>
      <c r="Q11">
        <v>1701</v>
      </c>
      <c r="R11">
        <v>2287</v>
      </c>
      <c r="S11">
        <v>1485</v>
      </c>
    </row>
    <row r="12" spans="1:19" ht="15.75" x14ac:dyDescent="0.25">
      <c r="A12" s="33" t="s">
        <v>0</v>
      </c>
      <c r="K12" s="34" t="s">
        <v>51</v>
      </c>
    </row>
    <row r="13" spans="1:19" x14ac:dyDescent="0.25">
      <c r="A13" s="34" t="s">
        <v>16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K13" s="34" t="s">
        <v>52</v>
      </c>
    </row>
    <row r="14" spans="1:19" x14ac:dyDescent="0.25">
      <c r="A14" s="34" t="s">
        <v>14</v>
      </c>
      <c r="B14" s="9">
        <f>L8/L4</f>
        <v>0.61843317972350231</v>
      </c>
      <c r="C14" s="9">
        <f t="shared" ref="C14:I14" si="4">M8/M4</f>
        <v>0.97013720742534304</v>
      </c>
      <c r="D14" s="9">
        <f t="shared" si="4"/>
        <v>1.2946486137975499</v>
      </c>
      <c r="E14" s="9">
        <f t="shared" si="4"/>
        <v>1.2530189764232318</v>
      </c>
      <c r="F14" s="9">
        <f t="shared" si="4"/>
        <v>1.103448275862069</v>
      </c>
      <c r="G14" s="9">
        <f t="shared" si="4"/>
        <v>1.0188679245283019</v>
      </c>
      <c r="H14" s="9">
        <f t="shared" si="4"/>
        <v>0.93678446988551523</v>
      </c>
      <c r="I14" s="9">
        <f t="shared" si="4"/>
        <v>0.72058823529411764</v>
      </c>
      <c r="K14" s="34" t="s">
        <v>29</v>
      </c>
      <c r="L14">
        <v>3896</v>
      </c>
      <c r="M14">
        <v>6085</v>
      </c>
      <c r="N14">
        <v>4934</v>
      </c>
      <c r="O14">
        <v>1257</v>
      </c>
      <c r="P14">
        <v>3007</v>
      </c>
      <c r="Q14">
        <v>3228</v>
      </c>
      <c r="R14">
        <v>1685</v>
      </c>
      <c r="S14">
        <v>2417</v>
      </c>
    </row>
    <row r="15" spans="1:19" x14ac:dyDescent="0.25">
      <c r="A15" s="34" t="s">
        <v>40</v>
      </c>
      <c r="B15" s="9">
        <f>L5/L11</f>
        <v>0.20087336244541484</v>
      </c>
      <c r="C15" s="9">
        <f t="shared" ref="C15:I15" si="5">M5/M11</f>
        <v>8.8037286380113933E-2</v>
      </c>
      <c r="D15" s="9">
        <f t="shared" si="5"/>
        <v>0.10098302055406613</v>
      </c>
      <c r="E15" s="9">
        <f t="shared" si="5"/>
        <v>9.2070484581497802E-2</v>
      </c>
      <c r="F15" s="9">
        <f t="shared" si="5"/>
        <v>0.11572535991140642</v>
      </c>
      <c r="G15" s="9">
        <f t="shared" si="5"/>
        <v>5.4085831863609643E-2</v>
      </c>
      <c r="H15" s="9">
        <f t="shared" si="5"/>
        <v>3.7166593790992568E-2</v>
      </c>
      <c r="I15" s="9">
        <f t="shared" si="5"/>
        <v>0.1441077441077441</v>
      </c>
    </row>
    <row r="16" spans="1:19" x14ac:dyDescent="0.25">
      <c r="A16" s="34" t="s">
        <v>15</v>
      </c>
      <c r="B16" s="8">
        <f>L9/B4</f>
        <v>6.7022538552787669E-2</v>
      </c>
      <c r="C16" s="8">
        <f t="shared" ref="C16:I16" si="6">M9/C4</f>
        <v>0.10669793346035468</v>
      </c>
      <c r="D16" s="8">
        <f t="shared" si="6"/>
        <v>9.1426694404905293E-2</v>
      </c>
      <c r="E16" s="8">
        <f t="shared" si="6"/>
        <v>2.6595174262734583E-2</v>
      </c>
      <c r="F16" s="8">
        <f t="shared" si="6"/>
        <v>2.3535564853556486E-3</v>
      </c>
      <c r="G16" s="8">
        <f t="shared" si="6"/>
        <v>3.1705770450221942E-3</v>
      </c>
      <c r="H16" s="8">
        <f t="shared" si="6"/>
        <v>8.2916717473478837E-3</v>
      </c>
      <c r="I16" s="8">
        <f t="shared" si="6"/>
        <v>6.6527524132533261E-3</v>
      </c>
    </row>
    <row r="17" spans="1:9" x14ac:dyDescent="0.25">
      <c r="A17" s="34" t="s">
        <v>9</v>
      </c>
      <c r="B17" s="8">
        <f>L10/L2</f>
        <v>6.8434839554682381E-2</v>
      </c>
      <c r="C17" s="8">
        <f t="shared" ref="C17:I17" si="7">M10/M2</f>
        <v>6.5596019000226199E-2</v>
      </c>
      <c r="D17" s="8">
        <f t="shared" si="7"/>
        <v>7.3757896534061812E-2</v>
      </c>
      <c r="E17" s="8">
        <f t="shared" si="7"/>
        <v>4.8338870431893687E-2</v>
      </c>
      <c r="F17" s="8">
        <f t="shared" si="7"/>
        <v>2.4394684143455306E-2</v>
      </c>
      <c r="G17" s="8">
        <f t="shared" si="7"/>
        <v>3.5714285714285712E-2</v>
      </c>
      <c r="H17" s="8">
        <f t="shared" si="7"/>
        <v>4.0542954098946239E-2</v>
      </c>
      <c r="I17" s="8">
        <f t="shared" si="7"/>
        <v>4.2471781136407115E-2</v>
      </c>
    </row>
    <row r="18" spans="1:9" x14ac:dyDescent="0.25">
      <c r="A18" s="34" t="s">
        <v>44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s="34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s="34" t="s">
        <v>57</v>
      </c>
      <c r="B20">
        <v>-12</v>
      </c>
      <c r="C20">
        <v>-41</v>
      </c>
      <c r="D20">
        <v>25</v>
      </c>
      <c r="E20">
        <v>17</v>
      </c>
      <c r="F20">
        <v>11</v>
      </c>
      <c r="G20">
        <v>10</v>
      </c>
      <c r="H20">
        <v>10</v>
      </c>
      <c r="I20">
        <v>0</v>
      </c>
    </row>
    <row r="21" spans="1:9" x14ac:dyDescent="0.25">
      <c r="A21" s="35" t="s">
        <v>58</v>
      </c>
      <c r="B21">
        <v>0</v>
      </c>
      <c r="C21">
        <v>0</v>
      </c>
      <c r="D21">
        <v>1</v>
      </c>
      <c r="E21">
        <v>1</v>
      </c>
      <c r="F21">
        <v>1</v>
      </c>
      <c r="G21">
        <v>1</v>
      </c>
      <c r="H21">
        <v>1</v>
      </c>
      <c r="I21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6"/>
  <dimension ref="A1:S21"/>
  <sheetViews>
    <sheetView workbookViewId="0">
      <selection activeCell="B11" sqref="B11:I11"/>
    </sheetView>
  </sheetViews>
  <sheetFormatPr defaultRowHeight="15" x14ac:dyDescent="0.25"/>
  <sheetData>
    <row r="1" spans="1:19" ht="17.25" x14ac:dyDescent="0.25">
      <c r="A1" s="32" t="s">
        <v>12</v>
      </c>
      <c r="B1" s="36">
        <v>2006</v>
      </c>
      <c r="C1" s="36">
        <v>2007</v>
      </c>
      <c r="D1" s="36">
        <v>2008</v>
      </c>
      <c r="E1" s="36">
        <v>2009</v>
      </c>
      <c r="F1" s="36">
        <v>2010</v>
      </c>
      <c r="G1" s="36">
        <v>2011</v>
      </c>
      <c r="H1" s="36">
        <v>2012</v>
      </c>
      <c r="I1" s="36">
        <v>2013</v>
      </c>
      <c r="L1" s="36">
        <v>2006</v>
      </c>
      <c r="M1" s="36">
        <v>2007</v>
      </c>
      <c r="N1" s="36">
        <v>2008</v>
      </c>
      <c r="O1" s="36">
        <v>2009</v>
      </c>
      <c r="P1" s="36">
        <v>2010</v>
      </c>
      <c r="Q1" s="36">
        <v>2011</v>
      </c>
      <c r="R1" s="36">
        <v>2012</v>
      </c>
      <c r="S1" s="36">
        <v>2013</v>
      </c>
    </row>
    <row r="2" spans="1:19" ht="15.75" x14ac:dyDescent="0.25">
      <c r="A2" s="33" t="s">
        <v>24</v>
      </c>
      <c r="K2" s="34" t="s">
        <v>33</v>
      </c>
      <c r="L2">
        <v>1218</v>
      </c>
      <c r="M2">
        <v>1349</v>
      </c>
      <c r="N2">
        <v>1460</v>
      </c>
      <c r="O2">
        <v>1390</v>
      </c>
      <c r="P2">
        <v>1976</v>
      </c>
      <c r="Q2">
        <v>2201</v>
      </c>
      <c r="R2">
        <v>2395</v>
      </c>
      <c r="S2">
        <v>2548</v>
      </c>
    </row>
    <row r="3" spans="1:19" x14ac:dyDescent="0.25">
      <c r="A3" s="34" t="s">
        <v>10</v>
      </c>
      <c r="B3" s="9">
        <f>LN(L2)</f>
        <v>7.1049654482698426</v>
      </c>
      <c r="C3" s="9">
        <f t="shared" ref="C3:I3" si="0">LN(M2)</f>
        <v>7.2071188562077557</v>
      </c>
      <c r="D3" s="9">
        <f t="shared" si="0"/>
        <v>7.2861917147023822</v>
      </c>
      <c r="E3" s="9">
        <f t="shared" si="0"/>
        <v>7.2370590261247374</v>
      </c>
      <c r="F3" s="9">
        <f t="shared" si="0"/>
        <v>7.5888298783078127</v>
      </c>
      <c r="G3" s="9">
        <f t="shared" si="0"/>
        <v>7.6966670815264617</v>
      </c>
      <c r="H3" s="9">
        <f t="shared" si="0"/>
        <v>7.7811385098450154</v>
      </c>
      <c r="I3" s="9">
        <f t="shared" si="0"/>
        <v>7.843064016692054</v>
      </c>
      <c r="K3" s="34" t="s">
        <v>27</v>
      </c>
      <c r="L3">
        <v>1169</v>
      </c>
      <c r="M3">
        <v>1332</v>
      </c>
      <c r="N3">
        <v>1466</v>
      </c>
      <c r="O3">
        <v>1281</v>
      </c>
      <c r="P3">
        <v>1577</v>
      </c>
      <c r="Q3">
        <v>1897</v>
      </c>
      <c r="R3">
        <v>1823</v>
      </c>
      <c r="S3">
        <v>2158</v>
      </c>
    </row>
    <row r="4" spans="1:19" x14ac:dyDescent="0.25">
      <c r="A4" s="34" t="s">
        <v>13</v>
      </c>
      <c r="B4">
        <v>1487</v>
      </c>
      <c r="C4">
        <v>1654</v>
      </c>
      <c r="D4">
        <v>1836</v>
      </c>
      <c r="E4">
        <v>1571</v>
      </c>
      <c r="F4">
        <v>2290</v>
      </c>
      <c r="G4">
        <v>2830</v>
      </c>
      <c r="H4">
        <v>2780</v>
      </c>
      <c r="I4">
        <v>3067</v>
      </c>
      <c r="K4" s="34" t="s">
        <v>28</v>
      </c>
      <c r="L4">
        <v>748</v>
      </c>
      <c r="M4">
        <v>847</v>
      </c>
      <c r="N4">
        <v>960</v>
      </c>
      <c r="O4">
        <v>986</v>
      </c>
      <c r="P4">
        <v>1395</v>
      </c>
      <c r="Q4">
        <v>1482</v>
      </c>
      <c r="R4">
        <v>1519</v>
      </c>
      <c r="S4">
        <v>1611</v>
      </c>
    </row>
    <row r="5" spans="1:19" x14ac:dyDescent="0.25">
      <c r="A5" s="34" t="s">
        <v>4</v>
      </c>
      <c r="B5" s="16">
        <v>1</v>
      </c>
      <c r="C5" s="16">
        <v>1</v>
      </c>
      <c r="D5" s="16">
        <v>1</v>
      </c>
      <c r="E5" s="16">
        <v>1</v>
      </c>
      <c r="F5" s="16">
        <v>1</v>
      </c>
      <c r="G5" s="16">
        <v>1</v>
      </c>
      <c r="H5" s="16">
        <v>1</v>
      </c>
      <c r="I5" s="16">
        <v>1</v>
      </c>
      <c r="K5" s="34" t="s">
        <v>53</v>
      </c>
      <c r="L5">
        <v>191</v>
      </c>
      <c r="M5">
        <v>165</v>
      </c>
      <c r="N5">
        <v>196</v>
      </c>
      <c r="O5">
        <v>162</v>
      </c>
      <c r="P5">
        <v>269</v>
      </c>
      <c r="Q5">
        <v>238</v>
      </c>
      <c r="R5">
        <v>254</v>
      </c>
      <c r="S5">
        <v>240</v>
      </c>
    </row>
    <row r="6" spans="1:19" x14ac:dyDescent="0.25">
      <c r="A6" s="34" t="s">
        <v>11</v>
      </c>
      <c r="B6" s="9">
        <f>L3/B4</f>
        <v>0.78614660390047075</v>
      </c>
      <c r="C6" s="9">
        <f t="shared" ref="C6:I6" si="1">M3/C4</f>
        <v>0.80532043530834341</v>
      </c>
      <c r="D6" s="9">
        <f t="shared" si="1"/>
        <v>0.79847494553376908</v>
      </c>
      <c r="E6" s="9">
        <f t="shared" si="1"/>
        <v>0.81540420114576706</v>
      </c>
      <c r="F6" s="9">
        <f t="shared" si="1"/>
        <v>0.68864628820960694</v>
      </c>
      <c r="G6" s="9">
        <f t="shared" si="1"/>
        <v>0.67031802120141337</v>
      </c>
      <c r="H6" s="9">
        <f t="shared" si="1"/>
        <v>0.6557553956834532</v>
      </c>
      <c r="I6" s="9">
        <f t="shared" si="1"/>
        <v>0.70361917182914901</v>
      </c>
      <c r="K6" s="37" t="s">
        <v>62</v>
      </c>
      <c r="L6">
        <v>249.6</v>
      </c>
      <c r="M6">
        <v>295.8</v>
      </c>
      <c r="N6">
        <v>241</v>
      </c>
      <c r="O6">
        <v>380.6</v>
      </c>
      <c r="P6">
        <v>330.5</v>
      </c>
      <c r="Q6">
        <v>314.7</v>
      </c>
      <c r="R6">
        <v>189.3</v>
      </c>
      <c r="S6">
        <v>371.8</v>
      </c>
    </row>
    <row r="7" spans="1:19" ht="15.75" x14ac:dyDescent="0.25">
      <c r="A7" s="33" t="s">
        <v>21</v>
      </c>
      <c r="K7" s="34" t="s">
        <v>30</v>
      </c>
      <c r="L7">
        <v>11.9</v>
      </c>
      <c r="M7">
        <v>12.5</v>
      </c>
      <c r="N7">
        <v>15.4</v>
      </c>
      <c r="O7">
        <v>13.9</v>
      </c>
      <c r="P7">
        <v>14.1</v>
      </c>
      <c r="Q7">
        <v>16.2</v>
      </c>
      <c r="R7">
        <v>7.6</v>
      </c>
      <c r="S7">
        <v>9.1999999999999993</v>
      </c>
    </row>
    <row r="8" spans="1:19" x14ac:dyDescent="0.25">
      <c r="A8" s="34" t="s">
        <v>8</v>
      </c>
      <c r="B8" s="9">
        <f>(L2+L14-L4)/L2</f>
        <v>2.6605344827586208</v>
      </c>
      <c r="C8" s="9">
        <f t="shared" ref="C8:I8" si="2">(M2+M14-M4)/M2</f>
        <v>1.780279280948851</v>
      </c>
      <c r="D8" s="9">
        <f t="shared" si="2"/>
        <v>1.3664311643835618</v>
      </c>
      <c r="E8" s="9">
        <f t="shared" si="2"/>
        <v>2.0963571942446046</v>
      </c>
      <c r="F8" s="9">
        <f t="shared" si="2"/>
        <v>2.6865829959514169</v>
      </c>
      <c r="G8" s="9">
        <f t="shared" si="2"/>
        <v>1.8872939572921401</v>
      </c>
      <c r="H8" s="9">
        <f t="shared" si="2"/>
        <v>1.8251340292275573</v>
      </c>
      <c r="I8" s="9">
        <f t="shared" si="2"/>
        <v>2.4608269230769229</v>
      </c>
      <c r="K8" s="34" t="s">
        <v>34</v>
      </c>
      <c r="L8">
        <v>184</v>
      </c>
      <c r="M8">
        <v>197.8</v>
      </c>
      <c r="N8">
        <v>179.9</v>
      </c>
      <c r="O8">
        <v>136</v>
      </c>
      <c r="P8">
        <v>146.9</v>
      </c>
      <c r="Q8">
        <v>246.5</v>
      </c>
      <c r="R8">
        <v>296.3</v>
      </c>
      <c r="S8">
        <v>346.1</v>
      </c>
    </row>
    <row r="9" spans="1:19" x14ac:dyDescent="0.25">
      <c r="A9" s="34" t="s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K9" s="34" t="s">
        <v>31</v>
      </c>
      <c r="L9">
        <v>71</v>
      </c>
      <c r="M9">
        <v>79.2</v>
      </c>
      <c r="N9">
        <v>89.1</v>
      </c>
      <c r="O9">
        <v>60.5</v>
      </c>
      <c r="P9">
        <v>55.2</v>
      </c>
      <c r="Q9">
        <v>89.2</v>
      </c>
      <c r="R9">
        <v>70.5</v>
      </c>
      <c r="S9">
        <v>126.3</v>
      </c>
    </row>
    <row r="10" spans="1:19" x14ac:dyDescent="0.25">
      <c r="A10" s="34" t="s">
        <v>5</v>
      </c>
      <c r="B10">
        <v>249.6</v>
      </c>
      <c r="C10">
        <v>295.8</v>
      </c>
      <c r="D10">
        <v>241</v>
      </c>
      <c r="E10">
        <v>380.6</v>
      </c>
      <c r="F10">
        <v>330.5</v>
      </c>
      <c r="G10">
        <v>314.7</v>
      </c>
      <c r="H10">
        <v>189.3</v>
      </c>
      <c r="I10">
        <v>371.8</v>
      </c>
      <c r="K10" s="34" t="s">
        <v>32</v>
      </c>
      <c r="L10">
        <v>190</v>
      </c>
      <c r="M10">
        <v>206</v>
      </c>
      <c r="N10">
        <v>216</v>
      </c>
      <c r="O10">
        <v>162</v>
      </c>
      <c r="P10">
        <v>287</v>
      </c>
      <c r="Q10">
        <v>312</v>
      </c>
      <c r="R10">
        <v>286</v>
      </c>
      <c r="S10">
        <v>289</v>
      </c>
    </row>
    <row r="11" spans="1:19" x14ac:dyDescent="0.25">
      <c r="A11" s="34" t="s">
        <v>7</v>
      </c>
      <c r="B11" s="9">
        <f>B10/B4</f>
        <v>0.16785474108944182</v>
      </c>
      <c r="C11" s="9">
        <f t="shared" ref="C11:I11" si="3">C10/C4</f>
        <v>0.17883917775090691</v>
      </c>
      <c r="D11" s="9">
        <f t="shared" si="3"/>
        <v>0.13126361655773419</v>
      </c>
      <c r="E11" s="9">
        <f t="shared" si="3"/>
        <v>0.24226607256524507</v>
      </c>
      <c r="F11" s="9">
        <f t="shared" si="3"/>
        <v>0.14432314410480349</v>
      </c>
      <c r="G11" s="9">
        <f t="shared" si="3"/>
        <v>0.11120141342756183</v>
      </c>
      <c r="H11" s="9">
        <f t="shared" si="3"/>
        <v>6.8093525179856118E-2</v>
      </c>
      <c r="I11" s="9">
        <f t="shared" si="3"/>
        <v>0.12122595370068472</v>
      </c>
      <c r="K11" s="34" t="s">
        <v>54</v>
      </c>
      <c r="L11">
        <v>370</v>
      </c>
      <c r="M11">
        <v>435</v>
      </c>
      <c r="N11">
        <v>390</v>
      </c>
      <c r="O11">
        <v>301</v>
      </c>
      <c r="P11">
        <v>438</v>
      </c>
      <c r="Q11">
        <v>544</v>
      </c>
      <c r="R11">
        <v>549</v>
      </c>
      <c r="S11">
        <v>634</v>
      </c>
    </row>
    <row r="12" spans="1:19" ht="15.75" x14ac:dyDescent="0.25">
      <c r="A12" s="33" t="s">
        <v>0</v>
      </c>
      <c r="K12" s="34" t="s">
        <v>51</v>
      </c>
      <c r="L12">
        <v>27.431000000000001</v>
      </c>
      <c r="M12">
        <v>27.431000000000001</v>
      </c>
      <c r="N12">
        <v>27.431000000000001</v>
      </c>
      <c r="O12">
        <v>27.431000000000001</v>
      </c>
      <c r="P12">
        <v>29.456</v>
      </c>
      <c r="Q12">
        <v>30.131</v>
      </c>
      <c r="R12">
        <v>30.131</v>
      </c>
      <c r="S12">
        <v>30.131</v>
      </c>
    </row>
    <row r="13" spans="1:19" x14ac:dyDescent="0.25">
      <c r="A13" s="34" t="s">
        <v>16</v>
      </c>
      <c r="B13" s="8">
        <f>L7/B4</f>
        <v>8.0026899798251519E-3</v>
      </c>
      <c r="C13" s="8">
        <f t="shared" ref="C13:I13" si="4">M7/C4</f>
        <v>7.5574365175332531E-3</v>
      </c>
      <c r="D13" s="8">
        <f t="shared" si="4"/>
        <v>8.3877995642701528E-3</v>
      </c>
      <c r="E13" s="8">
        <f t="shared" si="4"/>
        <v>8.8478676002546157E-3</v>
      </c>
      <c r="F13" s="8">
        <f t="shared" si="4"/>
        <v>6.1572052401746725E-3</v>
      </c>
      <c r="G13" s="8">
        <f t="shared" si="4"/>
        <v>5.7243816254416956E-3</v>
      </c>
      <c r="H13" s="8">
        <f t="shared" si="4"/>
        <v>2.7338129496402878E-3</v>
      </c>
      <c r="I13" s="8">
        <f t="shared" si="4"/>
        <v>2.99967394848386E-3</v>
      </c>
      <c r="K13" s="34" t="s">
        <v>52</v>
      </c>
      <c r="L13">
        <v>101</v>
      </c>
      <c r="M13">
        <v>69.25</v>
      </c>
      <c r="N13">
        <v>54.5</v>
      </c>
      <c r="O13">
        <v>91.5</v>
      </c>
      <c r="P13">
        <v>160.5</v>
      </c>
      <c r="Q13">
        <v>114</v>
      </c>
      <c r="R13">
        <v>116</v>
      </c>
      <c r="S13">
        <v>177</v>
      </c>
    </row>
    <row r="14" spans="1:19" x14ac:dyDescent="0.25">
      <c r="A14" s="34" t="s">
        <v>14</v>
      </c>
      <c r="B14" s="9">
        <f>L8/L4</f>
        <v>0.24598930481283424</v>
      </c>
      <c r="C14" s="9">
        <f t="shared" ref="C14:I14" si="5">M8/M4</f>
        <v>0.23353010625737899</v>
      </c>
      <c r="D14" s="9">
        <f t="shared" si="5"/>
        <v>0.18739583333333334</v>
      </c>
      <c r="E14" s="9">
        <f t="shared" si="5"/>
        <v>0.13793103448275862</v>
      </c>
      <c r="F14" s="9">
        <f t="shared" si="5"/>
        <v>0.10530465949820789</v>
      </c>
      <c r="G14" s="9">
        <f t="shared" si="5"/>
        <v>0.16632928475033737</v>
      </c>
      <c r="H14" s="9">
        <f t="shared" si="5"/>
        <v>0.19506254114549046</v>
      </c>
      <c r="I14" s="9">
        <f t="shared" si="5"/>
        <v>0.21483550589695843</v>
      </c>
      <c r="K14" s="34" t="s">
        <v>29</v>
      </c>
      <c r="L14" s="16">
        <f t="shared" ref="L14" si="6">L12*L13</f>
        <v>2770.5309999999999</v>
      </c>
      <c r="M14" s="16">
        <f t="shared" ref="M14" si="7">M12*M13</f>
        <v>1899.5967500000002</v>
      </c>
      <c r="N14" s="16">
        <f t="shared" ref="N14" si="8">N12*N13</f>
        <v>1494.9895000000001</v>
      </c>
      <c r="O14" s="16">
        <f t="shared" ref="O14:R14" si="9">O12*O13</f>
        <v>2509.9365000000003</v>
      </c>
      <c r="P14" s="16">
        <f t="shared" si="9"/>
        <v>4727.6880000000001</v>
      </c>
      <c r="Q14" s="16">
        <f t="shared" si="9"/>
        <v>3434.9340000000002</v>
      </c>
      <c r="R14" s="16">
        <f t="shared" si="9"/>
        <v>3495.1959999999999</v>
      </c>
      <c r="S14" s="16">
        <f>S12*S13</f>
        <v>5333.1869999999999</v>
      </c>
    </row>
    <row r="15" spans="1:19" x14ac:dyDescent="0.25">
      <c r="A15" s="34" t="s">
        <v>40</v>
      </c>
      <c r="B15" s="9">
        <f>L5/L11</f>
        <v>0.51621621621621616</v>
      </c>
      <c r="C15" s="9">
        <f t="shared" ref="C15:I15" si="10">M5/M11</f>
        <v>0.37931034482758619</v>
      </c>
      <c r="D15" s="9">
        <f t="shared" si="10"/>
        <v>0.50256410256410255</v>
      </c>
      <c r="E15" s="9">
        <f t="shared" si="10"/>
        <v>0.53820598006644516</v>
      </c>
      <c r="F15" s="9">
        <f t="shared" si="10"/>
        <v>0.61415525114155256</v>
      </c>
      <c r="G15" s="9">
        <f t="shared" si="10"/>
        <v>0.4375</v>
      </c>
      <c r="H15" s="9">
        <f t="shared" si="10"/>
        <v>0.46265938069216755</v>
      </c>
      <c r="I15" s="9">
        <f t="shared" si="10"/>
        <v>0.37854889589905361</v>
      </c>
    </row>
    <row r="16" spans="1:19" x14ac:dyDescent="0.25">
      <c r="A16" s="34" t="s">
        <v>15</v>
      </c>
      <c r="B16" s="8">
        <f>L9/B4</f>
        <v>4.774714189643578E-2</v>
      </c>
      <c r="C16" s="8">
        <f t="shared" ref="C16:I16" si="11">M9/C4</f>
        <v>4.7883917775090691E-2</v>
      </c>
      <c r="D16" s="8">
        <f t="shared" si="11"/>
        <v>4.8529411764705876E-2</v>
      </c>
      <c r="E16" s="8">
        <f t="shared" si="11"/>
        <v>3.8510502864417567E-2</v>
      </c>
      <c r="F16" s="8">
        <f t="shared" si="11"/>
        <v>2.4104803493449782E-2</v>
      </c>
      <c r="G16" s="8">
        <f t="shared" si="11"/>
        <v>3.1519434628975267E-2</v>
      </c>
      <c r="H16" s="8">
        <f t="shared" si="11"/>
        <v>2.5359712230215829E-2</v>
      </c>
      <c r="I16" s="8">
        <f t="shared" si="11"/>
        <v>4.1180306488425168E-2</v>
      </c>
    </row>
    <row r="17" spans="1:9" x14ac:dyDescent="0.25">
      <c r="A17" s="34" t="s">
        <v>9</v>
      </c>
      <c r="B17" s="9">
        <f>L10/L2</f>
        <v>0.15599343185550082</v>
      </c>
      <c r="C17" s="9">
        <f t="shared" ref="C17:I17" si="12">M10/M2</f>
        <v>0.15270570793180133</v>
      </c>
      <c r="D17" s="9">
        <f t="shared" si="12"/>
        <v>0.14794520547945206</v>
      </c>
      <c r="E17" s="9">
        <f t="shared" si="12"/>
        <v>0.11654676258992806</v>
      </c>
      <c r="F17" s="9">
        <f t="shared" si="12"/>
        <v>0.14524291497975708</v>
      </c>
      <c r="G17" s="9">
        <f t="shared" si="12"/>
        <v>0.141753748296229</v>
      </c>
      <c r="H17" s="9">
        <f t="shared" si="12"/>
        <v>0.11941544885177453</v>
      </c>
      <c r="I17" s="9">
        <f t="shared" si="12"/>
        <v>0.11342229199372056</v>
      </c>
    </row>
    <row r="18" spans="1:9" x14ac:dyDescent="0.25">
      <c r="A18" s="34" t="s">
        <v>44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s="34" t="s">
        <v>48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25">
      <c r="A20" s="34" t="s">
        <v>57</v>
      </c>
      <c r="B20">
        <v>19.2</v>
      </c>
      <c r="C20">
        <v>-29.3</v>
      </c>
      <c r="D20">
        <v>-14.7</v>
      </c>
      <c r="E20">
        <v>26.8</v>
      </c>
      <c r="F20">
        <v>8.4</v>
      </c>
      <c r="G20">
        <v>-18.600000000000001</v>
      </c>
      <c r="H20">
        <v>0.6</v>
      </c>
      <c r="I20">
        <v>-6.4</v>
      </c>
    </row>
    <row r="21" spans="1:9" x14ac:dyDescent="0.25">
      <c r="A21" s="35" t="s">
        <v>58</v>
      </c>
      <c r="B21">
        <v>1</v>
      </c>
      <c r="C21">
        <v>0</v>
      </c>
      <c r="D21">
        <v>0</v>
      </c>
      <c r="E21">
        <v>1</v>
      </c>
      <c r="F21">
        <v>1</v>
      </c>
      <c r="G21">
        <v>0</v>
      </c>
      <c r="H21">
        <v>1</v>
      </c>
      <c r="I21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7"/>
  <dimension ref="A1:S21"/>
  <sheetViews>
    <sheetView workbookViewId="0">
      <selection activeCell="B11" sqref="B11:I11"/>
    </sheetView>
  </sheetViews>
  <sheetFormatPr defaultRowHeight="15" x14ac:dyDescent="0.25"/>
  <sheetData>
    <row r="1" spans="1:19" ht="17.25" x14ac:dyDescent="0.25">
      <c r="A1" s="32" t="s">
        <v>12</v>
      </c>
      <c r="B1" s="36">
        <v>2006</v>
      </c>
      <c r="C1" s="36">
        <v>2007</v>
      </c>
      <c r="D1" s="36">
        <v>2008</v>
      </c>
      <c r="E1" s="36">
        <v>2009</v>
      </c>
      <c r="F1" s="36">
        <v>2010</v>
      </c>
      <c r="G1" s="36">
        <v>2011</v>
      </c>
      <c r="H1" s="36">
        <v>2012</v>
      </c>
      <c r="I1" s="36">
        <v>2013</v>
      </c>
      <c r="L1" s="36">
        <v>2006</v>
      </c>
      <c r="M1" s="36">
        <v>2007</v>
      </c>
      <c r="N1" s="36">
        <v>2008</v>
      </c>
      <c r="O1" s="36">
        <v>2009</v>
      </c>
      <c r="P1" s="36">
        <v>2010</v>
      </c>
      <c r="Q1" s="36">
        <v>2011</v>
      </c>
      <c r="R1" s="36">
        <v>2012</v>
      </c>
      <c r="S1" s="36">
        <v>2013</v>
      </c>
    </row>
    <row r="2" spans="1:19" ht="15.75" x14ac:dyDescent="0.25">
      <c r="A2" s="33" t="s">
        <v>24</v>
      </c>
      <c r="K2" s="34" t="s">
        <v>33</v>
      </c>
      <c r="L2">
        <v>1710</v>
      </c>
      <c r="M2">
        <v>1507</v>
      </c>
      <c r="N2">
        <v>1881</v>
      </c>
      <c r="O2">
        <v>1408</v>
      </c>
      <c r="P2">
        <v>714</v>
      </c>
      <c r="Q2">
        <v>1586</v>
      </c>
      <c r="R2">
        <v>1472</v>
      </c>
      <c r="S2">
        <v>1402</v>
      </c>
    </row>
    <row r="3" spans="1:19" x14ac:dyDescent="0.25">
      <c r="A3" s="34" t="s">
        <v>10</v>
      </c>
      <c r="B3" s="9">
        <f>LN(L2)</f>
        <v>7.4442486494967053</v>
      </c>
      <c r="C3" s="9">
        <f t="shared" ref="C3:I3" si="0">LN(M2)</f>
        <v>7.3178761986264957</v>
      </c>
      <c r="D3" s="9">
        <f t="shared" si="0"/>
        <v>7.5395588293010301</v>
      </c>
      <c r="E3" s="9">
        <f t="shared" si="0"/>
        <v>7.2499255367179876</v>
      </c>
      <c r="F3" s="9">
        <f t="shared" si="0"/>
        <v>6.5708829623395841</v>
      </c>
      <c r="G3" s="9">
        <f t="shared" si="0"/>
        <v>7.368970402194793</v>
      </c>
      <c r="H3" s="9">
        <f t="shared" si="0"/>
        <v>7.2943772992888212</v>
      </c>
      <c r="I3" s="9">
        <f t="shared" si="0"/>
        <v>7.2456550675945355</v>
      </c>
      <c r="K3" s="34" t="s">
        <v>27</v>
      </c>
      <c r="L3">
        <v>1203</v>
      </c>
      <c r="M3">
        <v>520</v>
      </c>
      <c r="N3">
        <v>1194</v>
      </c>
      <c r="O3">
        <v>1047</v>
      </c>
      <c r="P3">
        <v>1258</v>
      </c>
      <c r="Q3">
        <v>1164</v>
      </c>
      <c r="R3">
        <v>1325</v>
      </c>
      <c r="S3">
        <v>977</v>
      </c>
    </row>
    <row r="4" spans="1:19" x14ac:dyDescent="0.25">
      <c r="A4" s="34" t="s">
        <v>13</v>
      </c>
      <c r="B4">
        <v>1204</v>
      </c>
      <c r="C4">
        <v>523</v>
      </c>
      <c r="D4">
        <v>1194</v>
      </c>
      <c r="E4">
        <v>1052</v>
      </c>
      <c r="F4">
        <v>1288</v>
      </c>
      <c r="G4">
        <v>1197</v>
      </c>
      <c r="H4">
        <v>1354</v>
      </c>
      <c r="I4">
        <v>997</v>
      </c>
      <c r="K4" s="34" t="s">
        <v>28</v>
      </c>
      <c r="L4">
        <v>1110</v>
      </c>
      <c r="M4">
        <v>908</v>
      </c>
      <c r="N4">
        <v>1213</v>
      </c>
      <c r="O4">
        <v>1047</v>
      </c>
      <c r="P4">
        <v>1315</v>
      </c>
      <c r="Q4">
        <v>1231</v>
      </c>
      <c r="R4">
        <v>1168</v>
      </c>
      <c r="S4">
        <v>1166</v>
      </c>
    </row>
    <row r="5" spans="1:19" x14ac:dyDescent="0.25">
      <c r="A5" s="34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34" t="s">
        <v>53</v>
      </c>
      <c r="L5">
        <v>628</v>
      </c>
      <c r="M5">
        <v>451</v>
      </c>
      <c r="N5">
        <v>392</v>
      </c>
      <c r="O5">
        <v>277</v>
      </c>
      <c r="P5">
        <v>583</v>
      </c>
      <c r="Q5">
        <v>536</v>
      </c>
      <c r="R5">
        <v>581</v>
      </c>
      <c r="S5">
        <v>487</v>
      </c>
    </row>
    <row r="6" spans="1:19" x14ac:dyDescent="0.25">
      <c r="A6" s="34" t="s">
        <v>11</v>
      </c>
      <c r="B6" s="9">
        <f>L3/B4</f>
        <v>0.99916943521594681</v>
      </c>
      <c r="C6" s="9">
        <f t="shared" ref="C6:I6" si="1">M3/C4</f>
        <v>0.99426386233269604</v>
      </c>
      <c r="D6" s="9">
        <f t="shared" si="1"/>
        <v>1</v>
      </c>
      <c r="E6" s="9">
        <f t="shared" si="1"/>
        <v>0.99524714828897343</v>
      </c>
      <c r="F6" s="9">
        <f t="shared" si="1"/>
        <v>0.97670807453416153</v>
      </c>
      <c r="G6" s="9">
        <f t="shared" si="1"/>
        <v>0.97243107769423553</v>
      </c>
      <c r="H6" s="9">
        <f t="shared" si="1"/>
        <v>0.9785819793205317</v>
      </c>
      <c r="I6" s="9">
        <f t="shared" si="1"/>
        <v>0.97993981945837516</v>
      </c>
      <c r="K6" s="37" t="s">
        <v>62</v>
      </c>
      <c r="L6">
        <v>571</v>
      </c>
      <c r="M6">
        <v>451</v>
      </c>
      <c r="N6">
        <v>227</v>
      </c>
      <c r="O6">
        <v>421</v>
      </c>
      <c r="P6">
        <v>375</v>
      </c>
      <c r="Q6">
        <v>440</v>
      </c>
      <c r="R6">
        <v>221</v>
      </c>
      <c r="S6">
        <v>130</v>
      </c>
    </row>
    <row r="7" spans="1:19" ht="15.75" x14ac:dyDescent="0.25">
      <c r="A7" s="33" t="s">
        <v>21</v>
      </c>
      <c r="K7" s="34" t="s">
        <v>30</v>
      </c>
      <c r="L7">
        <v>249.1</v>
      </c>
      <c r="M7">
        <v>279</v>
      </c>
      <c r="N7">
        <v>269.39999999999998</v>
      </c>
      <c r="O7">
        <v>303.10000000000002</v>
      </c>
      <c r="P7">
        <v>318.10000000000002</v>
      </c>
      <c r="Q7">
        <v>289</v>
      </c>
      <c r="R7">
        <v>290</v>
      </c>
      <c r="S7">
        <v>183.4</v>
      </c>
    </row>
    <row r="8" spans="1:19" x14ac:dyDescent="0.25">
      <c r="A8" s="34" t="s">
        <v>8</v>
      </c>
      <c r="B8" s="9">
        <f>(L2+L14-L4)/L2</f>
        <v>2.1160233918128655</v>
      </c>
      <c r="C8" s="9">
        <f t="shared" ref="C8:I8" si="2">(M2+M14-M4)/M2</f>
        <v>1.2350630391506305</v>
      </c>
      <c r="D8" s="9">
        <f t="shared" si="2"/>
        <v>0.47600212652844237</v>
      </c>
      <c r="E8" s="9">
        <f t="shared" si="2"/>
        <v>0.91959517045454542</v>
      </c>
      <c r="F8" s="9">
        <f t="shared" si="2"/>
        <v>1.5851960784313726</v>
      </c>
      <c r="G8" s="9">
        <f t="shared" si="2"/>
        <v>0.96147856242118523</v>
      </c>
      <c r="H8" s="9">
        <f t="shared" si="2"/>
        <v>0.88823029891304339</v>
      </c>
      <c r="I8" s="9">
        <f t="shared" si="2"/>
        <v>1.0342082738944365</v>
      </c>
      <c r="K8" s="34" t="s">
        <v>34</v>
      </c>
      <c r="L8">
        <v>295.7</v>
      </c>
      <c r="M8">
        <v>246.5</v>
      </c>
      <c r="N8">
        <v>163.6</v>
      </c>
      <c r="O8">
        <v>18.7</v>
      </c>
      <c r="P8">
        <v>12.3</v>
      </c>
      <c r="Q8">
        <v>6.9</v>
      </c>
      <c r="R8">
        <v>2.2999999999999998</v>
      </c>
      <c r="S8">
        <v>0</v>
      </c>
    </row>
    <row r="9" spans="1:19" x14ac:dyDescent="0.25">
      <c r="A9" s="34" t="s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K9" s="34" t="s">
        <v>31</v>
      </c>
      <c r="L9">
        <v>32.4</v>
      </c>
      <c r="M9">
        <v>34.1</v>
      </c>
      <c r="N9">
        <v>86.4</v>
      </c>
      <c r="O9">
        <v>3</v>
      </c>
      <c r="P9">
        <v>2.9</v>
      </c>
      <c r="Q9">
        <v>9.1</v>
      </c>
      <c r="R9">
        <v>0</v>
      </c>
      <c r="S9">
        <v>31.4</v>
      </c>
    </row>
    <row r="10" spans="1:19" x14ac:dyDescent="0.25">
      <c r="A10" s="34" t="s">
        <v>5</v>
      </c>
      <c r="B10">
        <v>571</v>
      </c>
      <c r="C10">
        <v>451</v>
      </c>
      <c r="D10">
        <v>227</v>
      </c>
      <c r="E10">
        <v>421</v>
      </c>
      <c r="F10">
        <v>375</v>
      </c>
      <c r="G10">
        <v>440</v>
      </c>
      <c r="H10">
        <v>221</v>
      </c>
      <c r="I10">
        <v>130</v>
      </c>
      <c r="K10" s="34" t="s">
        <v>32</v>
      </c>
      <c r="L10">
        <v>93</v>
      </c>
      <c r="M10">
        <v>-288</v>
      </c>
      <c r="N10">
        <v>-130</v>
      </c>
      <c r="O10">
        <v>-182</v>
      </c>
      <c r="P10">
        <v>73.7</v>
      </c>
      <c r="Q10">
        <v>-57</v>
      </c>
      <c r="R10">
        <v>-14.6</v>
      </c>
      <c r="S10">
        <v>35.9</v>
      </c>
    </row>
    <row r="11" spans="1:19" x14ac:dyDescent="0.25">
      <c r="A11" s="34" t="s">
        <v>7</v>
      </c>
      <c r="B11" s="9">
        <f>B10/B4</f>
        <v>0.47425249169435219</v>
      </c>
      <c r="C11" s="9">
        <f t="shared" ref="C11:I11" si="3">C10/C4</f>
        <v>0.86233269598470363</v>
      </c>
      <c r="D11" s="9">
        <f t="shared" si="3"/>
        <v>0.19011725293132328</v>
      </c>
      <c r="E11" s="9">
        <f t="shared" si="3"/>
        <v>0.40019011406844107</v>
      </c>
      <c r="F11" s="9">
        <f t="shared" si="3"/>
        <v>0.29114906832298137</v>
      </c>
      <c r="G11" s="9">
        <f t="shared" si="3"/>
        <v>0.36758563074352546</v>
      </c>
      <c r="H11" s="9">
        <f t="shared" si="3"/>
        <v>0.16322008862629248</v>
      </c>
      <c r="I11" s="9">
        <f t="shared" si="3"/>
        <v>0.13039117352056168</v>
      </c>
      <c r="K11" s="34" t="s">
        <v>54</v>
      </c>
      <c r="L11">
        <v>332</v>
      </c>
      <c r="M11">
        <v>392</v>
      </c>
      <c r="N11">
        <v>310</v>
      </c>
      <c r="O11">
        <v>305</v>
      </c>
      <c r="P11">
        <v>369</v>
      </c>
      <c r="Q11">
        <v>329</v>
      </c>
      <c r="R11">
        <v>284</v>
      </c>
      <c r="S11">
        <v>219</v>
      </c>
    </row>
    <row r="12" spans="1:19" ht="15.75" x14ac:dyDescent="0.25">
      <c r="A12" s="33" t="s">
        <v>0</v>
      </c>
      <c r="K12" s="34" t="s">
        <v>51</v>
      </c>
      <c r="L12">
        <v>39.200000000000003</v>
      </c>
      <c r="M12">
        <v>39.200000000000003</v>
      </c>
      <c r="N12">
        <v>39.200000000000003</v>
      </c>
      <c r="O12">
        <v>65.3</v>
      </c>
      <c r="P12">
        <v>97.9</v>
      </c>
      <c r="Q12">
        <v>97.9</v>
      </c>
      <c r="R12">
        <v>97.9</v>
      </c>
      <c r="S12">
        <v>97.9</v>
      </c>
    </row>
    <row r="13" spans="1:19" x14ac:dyDescent="0.25">
      <c r="A13" s="34" t="s">
        <v>16</v>
      </c>
      <c r="B13" s="9">
        <f>L7/B4</f>
        <v>0.20689368770764119</v>
      </c>
      <c r="C13" s="9">
        <f t="shared" ref="C13:I13" si="4">M7/C4</f>
        <v>0.53346080305927346</v>
      </c>
      <c r="D13" s="9">
        <f t="shared" si="4"/>
        <v>0.22562814070351758</v>
      </c>
      <c r="E13" s="9">
        <f t="shared" si="4"/>
        <v>0.2881178707224335</v>
      </c>
      <c r="F13" s="9">
        <f t="shared" si="4"/>
        <v>0.246972049689441</v>
      </c>
      <c r="G13" s="9">
        <f t="shared" si="4"/>
        <v>0.24143692564745195</v>
      </c>
      <c r="H13" s="9">
        <f t="shared" si="4"/>
        <v>0.21418020679468242</v>
      </c>
      <c r="I13" s="9">
        <f t="shared" si="4"/>
        <v>0.1839518555667001</v>
      </c>
      <c r="K13" s="34" t="s">
        <v>52</v>
      </c>
      <c r="L13">
        <v>77</v>
      </c>
      <c r="M13">
        <v>32.200000000000003</v>
      </c>
      <c r="N13">
        <v>5.8</v>
      </c>
      <c r="O13">
        <v>14.3</v>
      </c>
      <c r="P13">
        <v>17.7</v>
      </c>
      <c r="Q13">
        <v>11.95</v>
      </c>
      <c r="R13">
        <v>10.25</v>
      </c>
      <c r="S13">
        <v>12.4</v>
      </c>
    </row>
    <row r="14" spans="1:19" x14ac:dyDescent="0.25">
      <c r="A14" s="34" t="s">
        <v>14</v>
      </c>
      <c r="B14" s="8">
        <f>L8/L4</f>
        <v>0.2663963963963964</v>
      </c>
      <c r="C14" s="8">
        <f t="shared" ref="C14:I14" si="5">M8/M4</f>
        <v>0.2714757709251101</v>
      </c>
      <c r="D14" s="8">
        <f t="shared" si="5"/>
        <v>0.13487221764220939</v>
      </c>
      <c r="E14" s="8">
        <f t="shared" si="5"/>
        <v>1.7860553963705825E-2</v>
      </c>
      <c r="F14" s="8">
        <f t="shared" si="5"/>
        <v>9.3536121673003809E-3</v>
      </c>
      <c r="G14" s="8">
        <f t="shared" si="5"/>
        <v>5.6051990251827786E-3</v>
      </c>
      <c r="H14" s="8">
        <f t="shared" si="5"/>
        <v>1.9691780821917805E-3</v>
      </c>
      <c r="I14" s="8">
        <f t="shared" si="5"/>
        <v>0</v>
      </c>
      <c r="K14" s="34" t="s">
        <v>29</v>
      </c>
      <c r="L14">
        <f>L12*L13</f>
        <v>3018.4</v>
      </c>
      <c r="M14">
        <f t="shared" ref="M14:S14" si="6">M12*M13</f>
        <v>1262.2400000000002</v>
      </c>
      <c r="N14">
        <f t="shared" si="6"/>
        <v>227.36</v>
      </c>
      <c r="O14">
        <f t="shared" si="6"/>
        <v>933.79</v>
      </c>
      <c r="P14">
        <f t="shared" si="6"/>
        <v>1732.83</v>
      </c>
      <c r="Q14">
        <f t="shared" si="6"/>
        <v>1169.905</v>
      </c>
      <c r="R14">
        <f t="shared" si="6"/>
        <v>1003.475</v>
      </c>
      <c r="S14">
        <f t="shared" si="6"/>
        <v>1213.96</v>
      </c>
    </row>
    <row r="15" spans="1:19" x14ac:dyDescent="0.25">
      <c r="A15" s="34" t="s">
        <v>40</v>
      </c>
      <c r="B15" s="9">
        <f>L5/L11</f>
        <v>1.8915662650602409</v>
      </c>
      <c r="C15" s="9">
        <f t="shared" ref="C15:I15" si="7">M5/M11</f>
        <v>1.1505102040816326</v>
      </c>
      <c r="D15" s="9">
        <f t="shared" si="7"/>
        <v>1.264516129032258</v>
      </c>
      <c r="E15" s="9">
        <f t="shared" si="7"/>
        <v>0.90819672131147544</v>
      </c>
      <c r="F15" s="9">
        <f t="shared" si="7"/>
        <v>1.5799457994579946</v>
      </c>
      <c r="G15" s="9">
        <f t="shared" si="7"/>
        <v>1.6291793313069909</v>
      </c>
      <c r="H15" s="9">
        <f t="shared" si="7"/>
        <v>2.045774647887324</v>
      </c>
      <c r="I15" s="9">
        <f t="shared" si="7"/>
        <v>2.2237442922374431</v>
      </c>
    </row>
    <row r="16" spans="1:19" x14ac:dyDescent="0.25">
      <c r="A16" s="34" t="s">
        <v>15</v>
      </c>
      <c r="B16" s="9">
        <f>L9/B4</f>
        <v>2.6910299003322258E-2</v>
      </c>
      <c r="C16" s="9">
        <f t="shared" ref="C16:I16" si="8">M9/C4</f>
        <v>6.5200764818355642E-2</v>
      </c>
      <c r="D16" s="9">
        <f t="shared" si="8"/>
        <v>7.2361809045226141E-2</v>
      </c>
      <c r="E16" s="9">
        <f t="shared" si="8"/>
        <v>2.8517110266159697E-3</v>
      </c>
      <c r="F16" s="9">
        <f t="shared" si="8"/>
        <v>2.2515527950310557E-3</v>
      </c>
      <c r="G16" s="9">
        <f t="shared" si="8"/>
        <v>7.6023391812865496E-3</v>
      </c>
      <c r="H16" s="9">
        <f t="shared" si="8"/>
        <v>0</v>
      </c>
      <c r="I16" s="9">
        <f t="shared" si="8"/>
        <v>3.1494483450351052E-2</v>
      </c>
    </row>
    <row r="17" spans="1:9" x14ac:dyDescent="0.25">
      <c r="A17" s="34" t="s">
        <v>9</v>
      </c>
      <c r="B17" s="8">
        <f>L10/L2</f>
        <v>5.4385964912280704E-2</v>
      </c>
      <c r="C17" s="8">
        <f t="shared" ref="C17:I17" si="9">M10/M2</f>
        <v>-0.19110816191108163</v>
      </c>
      <c r="D17" s="8">
        <f t="shared" si="9"/>
        <v>-6.9112174375332264E-2</v>
      </c>
      <c r="E17" s="8">
        <f t="shared" si="9"/>
        <v>-0.12926136363636365</v>
      </c>
      <c r="F17" s="8">
        <f t="shared" si="9"/>
        <v>0.10322128851540617</v>
      </c>
      <c r="G17" s="8">
        <f t="shared" si="9"/>
        <v>-3.5939470365699874E-2</v>
      </c>
      <c r="H17" s="8">
        <f t="shared" si="9"/>
        <v>-9.9184782608695652E-3</v>
      </c>
      <c r="I17" s="8">
        <f t="shared" si="9"/>
        <v>2.5606276747503567E-2</v>
      </c>
    </row>
    <row r="18" spans="1:9" x14ac:dyDescent="0.25">
      <c r="A18" s="34" t="s">
        <v>44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s="34" t="s">
        <v>48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25">
      <c r="A20" s="34" t="s">
        <v>57</v>
      </c>
      <c r="B20">
        <v>-13</v>
      </c>
      <c r="C20">
        <v>-11</v>
      </c>
      <c r="D20">
        <v>7</v>
      </c>
      <c r="E20">
        <v>-6</v>
      </c>
      <c r="F20">
        <v>-4</v>
      </c>
      <c r="G20">
        <v>6</v>
      </c>
      <c r="H20">
        <v>-19</v>
      </c>
      <c r="I20">
        <v>-17</v>
      </c>
    </row>
    <row r="21" spans="1:9" x14ac:dyDescent="0.25">
      <c r="A21" s="35" t="s">
        <v>58</v>
      </c>
      <c r="B21">
        <v>0</v>
      </c>
      <c r="C21">
        <v>0</v>
      </c>
      <c r="D21">
        <v>1</v>
      </c>
      <c r="E21">
        <v>0</v>
      </c>
      <c r="F21">
        <v>0</v>
      </c>
      <c r="G21">
        <v>1</v>
      </c>
      <c r="H21">
        <v>0</v>
      </c>
      <c r="I21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8"/>
  <dimension ref="A1:S21"/>
  <sheetViews>
    <sheetView topLeftCell="A4" workbookViewId="0">
      <selection activeCell="B11" sqref="B11:I11"/>
    </sheetView>
  </sheetViews>
  <sheetFormatPr defaultRowHeight="15" x14ac:dyDescent="0.25"/>
  <sheetData>
    <row r="1" spans="1:19" ht="17.25" x14ac:dyDescent="0.25">
      <c r="A1" s="32" t="s">
        <v>12</v>
      </c>
      <c r="B1" s="36">
        <v>2006</v>
      </c>
      <c r="C1" s="36">
        <v>2007</v>
      </c>
      <c r="D1" s="36">
        <v>2008</v>
      </c>
      <c r="E1" s="36">
        <v>2009</v>
      </c>
      <c r="F1" s="36">
        <v>2010</v>
      </c>
      <c r="G1" s="36">
        <v>2011</v>
      </c>
      <c r="H1" s="36">
        <v>2012</v>
      </c>
      <c r="I1" s="36">
        <v>2013</v>
      </c>
      <c r="L1" s="36">
        <v>2006</v>
      </c>
      <c r="M1" s="36">
        <v>2007</v>
      </c>
      <c r="N1" s="36">
        <v>2008</v>
      </c>
      <c r="O1" s="36">
        <v>2009</v>
      </c>
      <c r="P1" s="36">
        <v>2010</v>
      </c>
      <c r="Q1" s="36">
        <v>2011</v>
      </c>
      <c r="R1" s="36">
        <v>2012</v>
      </c>
      <c r="S1" s="36">
        <v>2013</v>
      </c>
    </row>
    <row r="2" spans="1:19" ht="15.75" x14ac:dyDescent="0.25">
      <c r="A2" s="33" t="s">
        <v>24</v>
      </c>
      <c r="K2" s="34" t="s">
        <v>33</v>
      </c>
      <c r="L2">
        <v>1785</v>
      </c>
      <c r="M2">
        <v>1938</v>
      </c>
      <c r="N2">
        <v>2192</v>
      </c>
      <c r="O2">
        <v>2571</v>
      </c>
      <c r="P2">
        <v>2843</v>
      </c>
      <c r="Q2">
        <v>3220</v>
      </c>
      <c r="R2">
        <v>3056</v>
      </c>
      <c r="S2">
        <v>3108</v>
      </c>
    </row>
    <row r="3" spans="1:19" x14ac:dyDescent="0.25">
      <c r="A3" s="34" t="s">
        <v>10</v>
      </c>
      <c r="B3" s="9">
        <f>LN(L2)</f>
        <v>7.4871736942137392</v>
      </c>
      <c r="C3" s="9">
        <f t="shared" ref="C3:I3" si="0">LN(M2)</f>
        <v>7.5694117924507118</v>
      </c>
      <c r="D3" s="9">
        <f t="shared" si="0"/>
        <v>7.6925696480679058</v>
      </c>
      <c r="E3" s="9">
        <f t="shared" si="0"/>
        <v>7.8520502072658891</v>
      </c>
      <c r="F3" s="9">
        <f t="shared" si="0"/>
        <v>7.9526151116510002</v>
      </c>
      <c r="G3" s="9">
        <f t="shared" si="0"/>
        <v>8.0771366385384535</v>
      </c>
      <c r="H3" s="9">
        <f t="shared" si="0"/>
        <v>8.0248621502864115</v>
      </c>
      <c r="I3" s="9">
        <f t="shared" si="0"/>
        <v>8.0417347114875373</v>
      </c>
      <c r="K3" s="34" t="s">
        <v>27</v>
      </c>
      <c r="L3">
        <v>1441</v>
      </c>
      <c r="M3">
        <v>1756</v>
      </c>
      <c r="N3">
        <v>2076</v>
      </c>
      <c r="O3">
        <v>2457</v>
      </c>
      <c r="P3">
        <v>2804</v>
      </c>
      <c r="Q3">
        <v>2956</v>
      </c>
      <c r="R3">
        <v>3331</v>
      </c>
      <c r="S3">
        <v>3490</v>
      </c>
    </row>
    <row r="4" spans="1:19" x14ac:dyDescent="0.25">
      <c r="A4" s="34" t="s">
        <v>13</v>
      </c>
      <c r="B4">
        <v>3568</v>
      </c>
      <c r="C4">
        <v>4101</v>
      </c>
      <c r="D4">
        <v>4662</v>
      </c>
      <c r="E4">
        <v>4930</v>
      </c>
      <c r="F4">
        <v>5556</v>
      </c>
      <c r="G4">
        <v>5828</v>
      </c>
      <c r="H4">
        <v>6260</v>
      </c>
      <c r="I4">
        <v>6519</v>
      </c>
      <c r="K4" s="34" t="s">
        <v>28</v>
      </c>
      <c r="L4">
        <v>1257</v>
      </c>
      <c r="M4">
        <v>1367</v>
      </c>
      <c r="N4">
        <v>1500</v>
      </c>
      <c r="O4">
        <v>1493</v>
      </c>
      <c r="P4">
        <v>1646</v>
      </c>
      <c r="Q4">
        <v>1657</v>
      </c>
      <c r="R4">
        <v>1844</v>
      </c>
      <c r="S4">
        <v>1837</v>
      </c>
    </row>
    <row r="5" spans="1:19" x14ac:dyDescent="0.25">
      <c r="A5" s="34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34" t="s">
        <v>53</v>
      </c>
      <c r="L5">
        <v>338</v>
      </c>
      <c r="M5">
        <v>348</v>
      </c>
      <c r="N5">
        <v>280</v>
      </c>
      <c r="O5">
        <v>92</v>
      </c>
      <c r="P5">
        <v>99</v>
      </c>
      <c r="Q5">
        <v>133</v>
      </c>
      <c r="R5">
        <v>112</v>
      </c>
      <c r="S5">
        <v>125</v>
      </c>
    </row>
    <row r="6" spans="1:19" x14ac:dyDescent="0.25">
      <c r="A6" s="34" t="s">
        <v>11</v>
      </c>
      <c r="B6" s="9">
        <f>L3/B4</f>
        <v>0.40386771300448432</v>
      </c>
      <c r="C6" s="9">
        <f t="shared" ref="C6:I6" si="1">M3/C4</f>
        <v>0.42818824676908074</v>
      </c>
      <c r="D6" s="9">
        <f t="shared" si="1"/>
        <v>0.44530244530244528</v>
      </c>
      <c r="E6" s="9">
        <f t="shared" si="1"/>
        <v>0.49837728194726166</v>
      </c>
      <c r="F6" s="9">
        <f t="shared" si="1"/>
        <v>0.50467962562994961</v>
      </c>
      <c r="G6" s="9">
        <f t="shared" si="1"/>
        <v>0.50720658888126291</v>
      </c>
      <c r="H6" s="9">
        <f t="shared" si="1"/>
        <v>0.53210862619808308</v>
      </c>
      <c r="I6" s="9">
        <f t="shared" si="1"/>
        <v>0.53535818377051692</v>
      </c>
      <c r="K6" s="37" t="s">
        <v>62</v>
      </c>
      <c r="L6">
        <v>85</v>
      </c>
      <c r="M6">
        <v>89</v>
      </c>
      <c r="N6">
        <v>198</v>
      </c>
      <c r="O6">
        <v>311</v>
      </c>
      <c r="P6">
        <v>254</v>
      </c>
      <c r="Q6">
        <v>267.2</v>
      </c>
      <c r="R6">
        <v>368</v>
      </c>
      <c r="S6">
        <v>214</v>
      </c>
    </row>
    <row r="7" spans="1:19" ht="15.75" x14ac:dyDescent="0.25">
      <c r="A7" s="33" t="s">
        <v>21</v>
      </c>
      <c r="K7" s="34" t="s">
        <v>30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25">
      <c r="A8" s="34" t="s">
        <v>8</v>
      </c>
      <c r="B8" s="9">
        <f>(L2+L14-L4)/L2</f>
        <v>5.7716526610644259</v>
      </c>
      <c r="C8" s="9">
        <f t="shared" ref="C8:I8" si="2">(M2+M14-M4)/M2</f>
        <v>5.3720330237358098</v>
      </c>
      <c r="D8" s="9">
        <f t="shared" si="2"/>
        <v>3.2485401459854013</v>
      </c>
      <c r="E8" s="9">
        <f t="shared" si="2"/>
        <v>2.7994554647996885</v>
      </c>
      <c r="F8" s="9">
        <f t="shared" si="2"/>
        <v>3.3205065072106934</v>
      </c>
      <c r="G8" s="9">
        <f t="shared" si="2"/>
        <v>2.430186335403727</v>
      </c>
      <c r="H8" s="9">
        <f t="shared" si="2"/>
        <v>2.4601767015706804</v>
      </c>
      <c r="I8" s="9">
        <f t="shared" si="2"/>
        <v>2.1836550836550832</v>
      </c>
      <c r="K8" s="34" t="s">
        <v>34</v>
      </c>
      <c r="L8">
        <v>0</v>
      </c>
      <c r="M8">
        <v>0</v>
      </c>
      <c r="N8">
        <v>0</v>
      </c>
      <c r="O8">
        <v>274</v>
      </c>
      <c r="P8">
        <v>271</v>
      </c>
      <c r="Q8">
        <v>562</v>
      </c>
      <c r="R8">
        <v>30</v>
      </c>
      <c r="S8">
        <v>0</v>
      </c>
    </row>
    <row r="9" spans="1:19" x14ac:dyDescent="0.25">
      <c r="A9" s="34" t="s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K9" s="34" t="s">
        <v>31</v>
      </c>
      <c r="L9">
        <v>141</v>
      </c>
      <c r="M9">
        <v>126</v>
      </c>
      <c r="N9">
        <v>252</v>
      </c>
      <c r="O9">
        <v>434</v>
      </c>
      <c r="P9">
        <v>317</v>
      </c>
      <c r="Q9">
        <v>296</v>
      </c>
      <c r="R9">
        <v>208</v>
      </c>
      <c r="S9">
        <v>167</v>
      </c>
    </row>
    <row r="10" spans="1:19" x14ac:dyDescent="0.25">
      <c r="A10" s="34" t="s">
        <v>5</v>
      </c>
      <c r="B10">
        <v>85</v>
      </c>
      <c r="C10">
        <v>89</v>
      </c>
      <c r="D10">
        <v>198</v>
      </c>
      <c r="E10">
        <v>311</v>
      </c>
      <c r="F10">
        <v>254</v>
      </c>
      <c r="G10">
        <v>267.2</v>
      </c>
      <c r="H10">
        <v>368</v>
      </c>
      <c r="I10">
        <v>214</v>
      </c>
      <c r="K10" s="34" t="s">
        <v>32</v>
      </c>
      <c r="L10">
        <v>352</v>
      </c>
      <c r="M10">
        <v>386</v>
      </c>
      <c r="N10">
        <v>422</v>
      </c>
      <c r="O10">
        <v>366</v>
      </c>
      <c r="P10">
        <v>433</v>
      </c>
      <c r="Q10">
        <v>364</v>
      </c>
      <c r="R10">
        <v>401</v>
      </c>
      <c r="S10">
        <v>332</v>
      </c>
    </row>
    <row r="11" spans="1:19" x14ac:dyDescent="0.25">
      <c r="A11" s="34" t="s">
        <v>7</v>
      </c>
      <c r="B11" s="9">
        <f>B10/B4</f>
        <v>2.382286995515695E-2</v>
      </c>
      <c r="C11" s="9">
        <f t="shared" ref="C11:I11" si="3">C10/C4</f>
        <v>2.1702023896610582E-2</v>
      </c>
      <c r="D11" s="9">
        <f t="shared" si="3"/>
        <v>4.2471042471042469E-2</v>
      </c>
      <c r="E11" s="9">
        <f t="shared" si="3"/>
        <v>6.3083164300202846E-2</v>
      </c>
      <c r="F11" s="9">
        <f t="shared" si="3"/>
        <v>4.5716342692584594E-2</v>
      </c>
      <c r="G11" s="9">
        <f t="shared" si="3"/>
        <v>4.5847632120796157E-2</v>
      </c>
      <c r="H11" s="9">
        <f t="shared" si="3"/>
        <v>5.8785942492012778E-2</v>
      </c>
      <c r="I11" s="9">
        <f t="shared" si="3"/>
        <v>3.2827120724037429E-2</v>
      </c>
      <c r="K11" s="34" t="s">
        <v>54</v>
      </c>
      <c r="L11">
        <v>505</v>
      </c>
      <c r="M11">
        <v>547</v>
      </c>
      <c r="N11">
        <v>667</v>
      </c>
      <c r="O11">
        <v>927</v>
      </c>
      <c r="P11">
        <v>1006</v>
      </c>
      <c r="Q11">
        <v>1096</v>
      </c>
      <c r="R11">
        <v>1017</v>
      </c>
      <c r="S11">
        <v>1086</v>
      </c>
    </row>
    <row r="12" spans="1:19" ht="15.75" x14ac:dyDescent="0.25">
      <c r="A12" s="33" t="s">
        <v>0</v>
      </c>
      <c r="K12" s="34" t="s">
        <v>51</v>
      </c>
      <c r="L12">
        <v>65.599999999999994</v>
      </c>
      <c r="M12">
        <v>65.599999999999994</v>
      </c>
      <c r="N12">
        <v>65.599999999999994</v>
      </c>
      <c r="O12">
        <v>65.099999999999994</v>
      </c>
      <c r="P12">
        <v>64.400000000000006</v>
      </c>
      <c r="Q12">
        <v>63.9</v>
      </c>
      <c r="R12">
        <v>63.7</v>
      </c>
      <c r="S12">
        <v>63.4</v>
      </c>
    </row>
    <row r="13" spans="1:19" x14ac:dyDescent="0.25">
      <c r="A13" s="34" t="s">
        <v>16</v>
      </c>
      <c r="B13">
        <f>L7/B4</f>
        <v>0</v>
      </c>
      <c r="C13">
        <f t="shared" ref="C13:I13" si="4">M7/C4</f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K13" s="34" t="s">
        <v>52</v>
      </c>
      <c r="L13">
        <v>149</v>
      </c>
      <c r="M13">
        <v>150</v>
      </c>
      <c r="N13">
        <v>98</v>
      </c>
      <c r="O13">
        <v>94</v>
      </c>
      <c r="P13">
        <v>128</v>
      </c>
      <c r="Q13">
        <v>98</v>
      </c>
      <c r="R13">
        <v>99</v>
      </c>
      <c r="S13">
        <v>87</v>
      </c>
    </row>
    <row r="14" spans="1:19" x14ac:dyDescent="0.25">
      <c r="A14" s="34" t="s">
        <v>14</v>
      </c>
      <c r="B14">
        <f>L8/L4</f>
        <v>0</v>
      </c>
      <c r="C14">
        <f t="shared" ref="C14:I14" si="5">M8/M4</f>
        <v>0</v>
      </c>
      <c r="D14">
        <f t="shared" si="5"/>
        <v>0</v>
      </c>
      <c r="E14" s="9">
        <f t="shared" si="5"/>
        <v>0.18352310783657066</v>
      </c>
      <c r="F14" s="9">
        <f t="shared" si="5"/>
        <v>0.1646415552855407</v>
      </c>
      <c r="G14" s="9">
        <f t="shared" si="5"/>
        <v>0.33916716958358478</v>
      </c>
      <c r="H14" s="9">
        <f t="shared" si="5"/>
        <v>1.6268980477223426E-2</v>
      </c>
      <c r="I14">
        <f t="shared" si="5"/>
        <v>0</v>
      </c>
      <c r="K14" s="34" t="s">
        <v>29</v>
      </c>
      <c r="L14" s="16">
        <f>L12*L13</f>
        <v>9774.4</v>
      </c>
      <c r="M14" s="16">
        <f t="shared" ref="M14:S14" si="6">M12*M13</f>
        <v>9840</v>
      </c>
      <c r="N14" s="16">
        <f t="shared" si="6"/>
        <v>6428.7999999999993</v>
      </c>
      <c r="O14" s="16">
        <f t="shared" si="6"/>
        <v>6119.4</v>
      </c>
      <c r="P14" s="16">
        <f t="shared" si="6"/>
        <v>8243.2000000000007</v>
      </c>
      <c r="Q14" s="16">
        <f t="shared" si="6"/>
        <v>6262.2</v>
      </c>
      <c r="R14" s="16">
        <f t="shared" si="6"/>
        <v>6306.3</v>
      </c>
      <c r="S14" s="16">
        <f t="shared" si="6"/>
        <v>5515.8</v>
      </c>
    </row>
    <row r="15" spans="1:19" x14ac:dyDescent="0.25">
      <c r="A15" s="34" t="s">
        <v>40</v>
      </c>
      <c r="B15" s="9">
        <f>L5/L11</f>
        <v>0.66930693069306935</v>
      </c>
      <c r="C15" s="9">
        <f t="shared" ref="C15:I15" si="7">M5/M11</f>
        <v>0.63619744058500916</v>
      </c>
      <c r="D15" s="9">
        <f t="shared" si="7"/>
        <v>0.41979010494752622</v>
      </c>
      <c r="E15" s="9">
        <f t="shared" si="7"/>
        <v>9.9244875943905075E-2</v>
      </c>
      <c r="F15" s="9">
        <f t="shared" si="7"/>
        <v>9.8409542743538761E-2</v>
      </c>
      <c r="G15" s="9">
        <f t="shared" si="7"/>
        <v>0.12135036496350365</v>
      </c>
      <c r="H15" s="9">
        <f t="shared" si="7"/>
        <v>0.11012782694198624</v>
      </c>
      <c r="I15" s="9">
        <f t="shared" si="7"/>
        <v>0.1151012891344383</v>
      </c>
    </row>
    <row r="16" spans="1:19" x14ac:dyDescent="0.25">
      <c r="A16" s="34" t="s">
        <v>15</v>
      </c>
      <c r="B16" s="9">
        <f>L9/B4</f>
        <v>3.9517937219730945E-2</v>
      </c>
      <c r="C16" s="9">
        <f t="shared" ref="C16:I16" si="8">M9/C4</f>
        <v>3.0724213606437453E-2</v>
      </c>
      <c r="D16" s="9">
        <f t="shared" si="8"/>
        <v>5.4054054054054057E-2</v>
      </c>
      <c r="E16" s="9">
        <f t="shared" si="8"/>
        <v>8.8032454361054766E-2</v>
      </c>
      <c r="F16" s="9">
        <f t="shared" si="8"/>
        <v>5.7055435565154786E-2</v>
      </c>
      <c r="G16" s="9">
        <f t="shared" si="8"/>
        <v>5.0789293067947841E-2</v>
      </c>
      <c r="H16" s="9">
        <f t="shared" si="8"/>
        <v>3.3226837060702875E-2</v>
      </c>
      <c r="I16" s="9">
        <f t="shared" si="8"/>
        <v>2.5617425985580609E-2</v>
      </c>
    </row>
    <row r="17" spans="1:9" x14ac:dyDescent="0.25">
      <c r="A17" s="34" t="s">
        <v>9</v>
      </c>
      <c r="B17" s="9">
        <f>L10/L2</f>
        <v>0.19719887955182072</v>
      </c>
      <c r="C17" s="9">
        <f t="shared" ref="C17:I17" si="9">M10/M2</f>
        <v>0.19917440660474717</v>
      </c>
      <c r="D17" s="9">
        <f t="shared" si="9"/>
        <v>0.19251824817518248</v>
      </c>
      <c r="E17" s="9">
        <f t="shared" si="9"/>
        <v>0.14235705950991831</v>
      </c>
      <c r="F17" s="9">
        <f t="shared" si="9"/>
        <v>0.15230390432641575</v>
      </c>
      <c r="G17" s="9">
        <f t="shared" si="9"/>
        <v>0.11304347826086956</v>
      </c>
      <c r="H17" s="9">
        <f t="shared" si="9"/>
        <v>0.131217277486911</v>
      </c>
      <c r="I17" s="9">
        <f t="shared" si="9"/>
        <v>0.10682110682110682</v>
      </c>
    </row>
    <row r="18" spans="1:9" x14ac:dyDescent="0.25">
      <c r="A18" s="34" t="s">
        <v>44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s="34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s="34" t="s">
        <v>57</v>
      </c>
      <c r="B20">
        <v>-36</v>
      </c>
      <c r="C20">
        <v>-19</v>
      </c>
      <c r="D20">
        <v>6</v>
      </c>
      <c r="E20">
        <v>10</v>
      </c>
      <c r="F20">
        <v>19</v>
      </c>
      <c r="G20">
        <v>-59</v>
      </c>
      <c r="H20">
        <v>29</v>
      </c>
      <c r="I20">
        <v>-34</v>
      </c>
    </row>
    <row r="21" spans="1:9" x14ac:dyDescent="0.25">
      <c r="A21" s="35" t="s">
        <v>58</v>
      </c>
      <c r="B21">
        <v>0</v>
      </c>
      <c r="C21">
        <v>0</v>
      </c>
      <c r="D21">
        <v>1</v>
      </c>
      <c r="E21">
        <v>1</v>
      </c>
      <c r="F21">
        <v>1</v>
      </c>
      <c r="G21">
        <v>0</v>
      </c>
      <c r="H21">
        <v>1</v>
      </c>
      <c r="I21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9"/>
  <dimension ref="A1:S34"/>
  <sheetViews>
    <sheetView workbookViewId="0">
      <selection activeCell="B11" sqref="B11:I11"/>
    </sheetView>
  </sheetViews>
  <sheetFormatPr defaultRowHeight="15" x14ac:dyDescent="0.25"/>
  <cols>
    <col min="1" max="1" width="19.7109375" customWidth="1"/>
    <col min="2" max="3" width="9.140625" customWidth="1"/>
    <col min="4" max="4" width="10" customWidth="1"/>
    <col min="6" max="6" width="9.5703125" bestFit="1" customWidth="1"/>
    <col min="7" max="7" width="12.42578125" customWidth="1"/>
    <col min="11" max="11" width="12.5703125" customWidth="1"/>
  </cols>
  <sheetData>
    <row r="1" spans="1:19" ht="17.25" x14ac:dyDescent="0.25">
      <c r="A1" s="32" t="s">
        <v>12</v>
      </c>
      <c r="B1" s="36">
        <v>2006</v>
      </c>
      <c r="C1" s="36">
        <v>2007</v>
      </c>
      <c r="D1" s="36">
        <v>2008</v>
      </c>
      <c r="E1" s="36">
        <v>2009</v>
      </c>
      <c r="F1" s="36">
        <v>2010</v>
      </c>
      <c r="G1" s="36">
        <v>2011</v>
      </c>
      <c r="H1" s="36">
        <v>2012</v>
      </c>
      <c r="I1" s="36">
        <v>2013</v>
      </c>
      <c r="K1" s="5"/>
      <c r="L1" s="36">
        <v>2006</v>
      </c>
      <c r="M1" s="36">
        <v>2007</v>
      </c>
      <c r="N1" s="36">
        <v>2008</v>
      </c>
      <c r="O1" s="36">
        <v>2009</v>
      </c>
      <c r="P1" s="36">
        <v>2010</v>
      </c>
      <c r="Q1" s="36">
        <v>2011</v>
      </c>
      <c r="R1" s="36">
        <v>2012</v>
      </c>
      <c r="S1" s="36">
        <v>2013</v>
      </c>
    </row>
    <row r="2" spans="1:19" ht="15.75" x14ac:dyDescent="0.25">
      <c r="A2" s="33" t="s">
        <v>24</v>
      </c>
      <c r="K2" s="34" t="s">
        <v>33</v>
      </c>
    </row>
    <row r="3" spans="1:19" x14ac:dyDescent="0.25">
      <c r="A3" s="34" t="s">
        <v>10</v>
      </c>
      <c r="B3" s="9">
        <f>AVERAGE('Volvo '!B3:I3,AAK!B3:I3)</f>
        <v>10.915694445415189</v>
      </c>
      <c r="C3" s="9">
        <f>MEDIAN('Volvo '!B3:I3,AAK!B3:I3)</f>
        <v>10.887542486594555</v>
      </c>
      <c r="D3" s="9">
        <f>STDEV('Volvo '!B3:I3,AAK!B3:I3)</f>
        <v>1.848767325898927</v>
      </c>
      <c r="E3" s="9">
        <f>MIN('Volvo '!B3:I3,AAK!B3:I3)</f>
        <v>8.84404789894249</v>
      </c>
      <c r="F3" s="9">
        <f>MAX('Volvo '!B3:I3,AAK!B3:I3)</f>
        <v>12.827774843491715</v>
      </c>
      <c r="K3" s="34" t="s">
        <v>27</v>
      </c>
    </row>
    <row r="4" spans="1:19" x14ac:dyDescent="0.25">
      <c r="A4" s="34" t="s">
        <v>13</v>
      </c>
      <c r="B4" s="16">
        <f>AVERAGE('Volvo '!B4:I4,AAK!B4:I4)</f>
        <v>146127.3125</v>
      </c>
      <c r="C4" s="16">
        <f>MEDIAN('Volvo '!B4:I4,AAK!B4:I4)</f>
        <v>117838</v>
      </c>
      <c r="D4" s="16">
        <f>STDEV('Volvo '!B4:I4,AAK!B4:I4)</f>
        <v>136761.3335655556</v>
      </c>
      <c r="E4" s="16">
        <f>MIN('Volvo '!B4:I4,AAK!B4:I4)</f>
        <v>10929</v>
      </c>
      <c r="F4" s="16">
        <f>MAX('Volvo '!B4:I4,AAK!B4:I4)</f>
        <v>310348</v>
      </c>
      <c r="K4" s="34" t="s">
        <v>28</v>
      </c>
    </row>
    <row r="5" spans="1:19" x14ac:dyDescent="0.25">
      <c r="A5" s="34" t="s">
        <v>4</v>
      </c>
      <c r="B5" s="16">
        <f>AVERAGE('Volvo '!B5:I5,AAK!B5:I5)</f>
        <v>1</v>
      </c>
      <c r="C5" s="16">
        <f>MEDIAN('Volvo '!B5:I5,AAK!B5:I5)</f>
        <v>1</v>
      </c>
      <c r="D5" s="16">
        <f>STDEV('Volvo '!B5:I5,AAK!B5:I5)</f>
        <v>0</v>
      </c>
      <c r="E5" s="16">
        <f>MIN('Volvo '!B5:I5,AAK!B5:I5)</f>
        <v>1</v>
      </c>
      <c r="F5" s="16">
        <f>MAX('Volvo '!B5:I5,AAK!B5:I5)</f>
        <v>1</v>
      </c>
      <c r="K5" s="34" t="s">
        <v>53</v>
      </c>
    </row>
    <row r="6" spans="1:19" x14ac:dyDescent="0.25">
      <c r="A6" s="34" t="s">
        <v>11</v>
      </c>
      <c r="B6" s="9">
        <f>AVERAGE('Volvo '!B6:I6,AAK!B6:I6)</f>
        <v>0.9140353252489668</v>
      </c>
      <c r="C6" s="9">
        <f>MEDIAN('Volvo '!B6:I6,AAK!B6:I6)</f>
        <v>0.91231075463374811</v>
      </c>
      <c r="D6" s="8">
        <f>STDEV('Volvo '!B6:I6,AAK!B6:I6)</f>
        <v>4.213289565278467E-2</v>
      </c>
      <c r="E6" s="9">
        <f>MIN('Volvo '!B6:I6,AAK!B6:I6)</f>
        <v>0.86790923824959476</v>
      </c>
      <c r="F6" s="9">
        <f>MAX('Volvo '!B6:I6,AAK!B6:I6)</f>
        <v>0.96693136241320399</v>
      </c>
      <c r="K6" s="37" t="s">
        <v>62</v>
      </c>
    </row>
    <row r="7" spans="1:19" ht="15.75" x14ac:dyDescent="0.25">
      <c r="A7" s="33" t="s">
        <v>21</v>
      </c>
      <c r="B7" s="16"/>
      <c r="C7" s="9"/>
      <c r="D7" s="8"/>
      <c r="E7" s="9"/>
      <c r="F7" s="9"/>
      <c r="K7" s="34" t="s">
        <v>30</v>
      </c>
    </row>
    <row r="8" spans="1:19" x14ac:dyDescent="0.25">
      <c r="A8" s="34" t="s">
        <v>8</v>
      </c>
      <c r="B8" s="9">
        <f>AVERAGE('Volvo '!B8:I8,AAK!B8:I8)</f>
        <v>1.4069132561544568</v>
      </c>
      <c r="C8" s="9">
        <f>MEDIAN('Volvo '!B8:I8,AAK!B8:I8)</f>
        <v>1.3548865903943668</v>
      </c>
      <c r="D8" s="8">
        <f>STDEV('Volvo '!B8:I8,AAK!B8:I8)</f>
        <v>0.3405935178807869</v>
      </c>
      <c r="E8" s="9">
        <f>MIN('Volvo '!B8:I8,AAK!B8:I8)</f>
        <v>0.80465775634898817</v>
      </c>
      <c r="F8" s="9">
        <f>MAX('Volvo '!B8:I8,AAK!B8:I8)</f>
        <v>2.2471876555500248</v>
      </c>
      <c r="K8" s="34" t="s">
        <v>34</v>
      </c>
    </row>
    <row r="9" spans="1:19" x14ac:dyDescent="0.25">
      <c r="A9" s="34" t="s">
        <v>6</v>
      </c>
      <c r="B9" s="16">
        <f>AVERAGE('Volvo '!B9:I9,AAK!B9:I9)</f>
        <v>1</v>
      </c>
      <c r="C9" s="16">
        <f>MEDIAN('Volvo '!B9:I9,AAK!B9:I9)</f>
        <v>1</v>
      </c>
      <c r="D9" s="16">
        <f>STDEV('Volvo '!B9:I9,AAK!B9:I9)</f>
        <v>0</v>
      </c>
      <c r="E9" s="16">
        <f>MIN('Volvo '!B9:I9,AAK!B9:I9)</f>
        <v>1</v>
      </c>
      <c r="F9" s="16">
        <f>MAX('Volvo '!B9:I9,AAK!B9:I9)</f>
        <v>1</v>
      </c>
      <c r="K9" s="34" t="s">
        <v>31</v>
      </c>
    </row>
    <row r="10" spans="1:19" x14ac:dyDescent="0.25">
      <c r="A10" s="34" t="s">
        <v>5</v>
      </c>
      <c r="B10" s="16">
        <f>AVERAGE('Volvo '!B10:I10,AAK!B10:I10)</f>
        <v>23141.6875</v>
      </c>
      <c r="C10" s="16">
        <f>MEDIAN('Volvo '!B10:I10,AAK!B10:I10)</f>
        <v>9911.5</v>
      </c>
      <c r="D10" s="16">
        <f>STDEV('Volvo '!B10:I10,AAK!B10:I10)</f>
        <v>32087.455687477519</v>
      </c>
      <c r="E10" s="16">
        <f>MIN('Volvo '!B10:I10,AAK!B10:I10)</f>
        <v>1190</v>
      </c>
      <c r="F10" s="16">
        <f>MAX('Volvo '!B10:I10,AAK!B10:I10)</f>
        <v>123253</v>
      </c>
      <c r="K10" s="34" t="s">
        <v>32</v>
      </c>
    </row>
    <row r="11" spans="1:19" x14ac:dyDescent="0.25">
      <c r="A11" s="34" t="s">
        <v>7</v>
      </c>
      <c r="B11" s="8">
        <f>AVERAGE('Volvo '!B11:I11,AAK!B11:I11)</f>
        <v>0.15687635609603759</v>
      </c>
      <c r="C11" s="8">
        <f>MEDIAN('Volvo '!B11:I11,AAK!B11:I11)</f>
        <v>0.13479515264540953</v>
      </c>
      <c r="D11" s="8">
        <f>STDEV('Volvo '!B11:I11,AAK!B11:I11)</f>
        <v>0.10417221024338655</v>
      </c>
      <c r="E11" s="23">
        <f>MIN('Volvo '!B11:I11,AAK!B11:I11)</f>
        <v>5.8032223334529585E-2</v>
      </c>
      <c r="F11" s="9">
        <f>MAX('Volvo '!B11:I11,AAK!B11:I11)</f>
        <v>0.47618366913284527</v>
      </c>
      <c r="K11" s="34" t="s">
        <v>54</v>
      </c>
    </row>
    <row r="12" spans="1:19" ht="15.75" x14ac:dyDescent="0.25">
      <c r="A12" s="33" t="s">
        <v>0</v>
      </c>
      <c r="B12" s="16"/>
      <c r="C12" s="9"/>
      <c r="D12" s="8"/>
      <c r="E12" s="9"/>
      <c r="F12" s="9"/>
      <c r="K12" s="34" t="s">
        <v>51</v>
      </c>
    </row>
    <row r="13" spans="1:19" x14ac:dyDescent="0.25">
      <c r="A13" s="34" t="s">
        <v>16</v>
      </c>
      <c r="B13" s="8">
        <f>AVERAGE('Volvo '!B13:I13,AAK!B13:I13)</f>
        <v>3.1004196427795425E-2</v>
      </c>
      <c r="C13" s="8">
        <f>MEDIAN('Volvo '!B13:I13,AAK!B13:I13)</f>
        <v>2.9947796544874526E-2</v>
      </c>
      <c r="D13" s="8">
        <f>STDEV('Volvo '!B13:I13,AAK!B13:I13)</f>
        <v>1.8911464548631223E-2</v>
      </c>
      <c r="E13" s="8">
        <f>MIN('Volvo '!B13:I13,AAK!B13:I13)</f>
        <v>7.0320218515720345E-3</v>
      </c>
      <c r="F13" s="8">
        <f>MAX('Volvo '!B13:I13,AAK!B13:I13)</f>
        <v>6.0388430395159037E-2</v>
      </c>
      <c r="K13" s="34" t="s">
        <v>52</v>
      </c>
    </row>
    <row r="14" spans="1:19" x14ac:dyDescent="0.25">
      <c r="A14" s="34" t="s">
        <v>14</v>
      </c>
      <c r="B14" s="9">
        <f>AVERAGE('Volvo '!B14:I14,AAK!B14:I14)</f>
        <v>1.5650757868663359</v>
      </c>
      <c r="C14" s="9">
        <f>MEDIAN('Volvo '!B14:I14,AAK!B14:I14)</f>
        <v>1.6802125249155753</v>
      </c>
      <c r="D14" s="8">
        <f>STDEV('Volvo '!B14:I14,AAK!B14:I14)</f>
        <v>0.63434952293659286</v>
      </c>
      <c r="E14" s="9">
        <f>MIN('Volvo '!B14:I14,AAK!B14:I14)</f>
        <v>0.5721814848762603</v>
      </c>
      <c r="F14" s="9">
        <f>MAX('Volvo '!B14:I14,AAK!B14:I14)</f>
        <v>2.8195776694879027</v>
      </c>
      <c r="K14" s="34" t="s">
        <v>29</v>
      </c>
    </row>
    <row r="15" spans="1:19" x14ac:dyDescent="0.25">
      <c r="A15" s="34" t="s">
        <v>40</v>
      </c>
      <c r="B15" s="9">
        <f>AVERAGE('Volvo '!B15:I15,AAK!B15:I15)</f>
        <v>0.17583006802103637</v>
      </c>
      <c r="C15" s="9">
        <f>MEDIAN('Volvo '!B15:I15,AAK!B15:I15)</f>
        <v>0.1938196187931045</v>
      </c>
      <c r="D15" s="8">
        <f>STDEV('Volvo '!B15:I15,AAK!B15:I15)</f>
        <v>8.5479527972401492E-2</v>
      </c>
      <c r="E15" s="8">
        <f>MIN('Volvo '!B15:I15,AAK!B15:I15)</f>
        <v>3.1175771971496437E-2</v>
      </c>
      <c r="F15" s="9">
        <f>MAX('Volvo '!B15:I15,AAK!B15:I15)</f>
        <v>0.31114555915063619</v>
      </c>
    </row>
    <row r="16" spans="1:19" x14ac:dyDescent="0.25">
      <c r="A16" s="34" t="s">
        <v>15</v>
      </c>
      <c r="B16" s="8">
        <f>AVERAGE('Volvo '!B16:I16,AAK!B16:I16)</f>
        <v>4.7124350850425156E-2</v>
      </c>
      <c r="C16" s="8">
        <f>MEDIAN('Volvo '!B16:I16,AAK!B16:I16)</f>
        <v>5.2505853445639794E-2</v>
      </c>
      <c r="D16" s="8">
        <f>STDEV('Volvo '!B16:I16,AAK!B16:I16)</f>
        <v>2.0881552334913341E-2</v>
      </c>
      <c r="E16" s="8">
        <f>MIN('Volvo '!B16:I16,AAK!B16:I16)</f>
        <v>1.9894233190632084E-2</v>
      </c>
      <c r="F16" s="8">
        <f>MAX('Volvo '!B16:I16,AAK!B16:I16)</f>
        <v>8.2171032921673715E-2</v>
      </c>
    </row>
    <row r="17" spans="1:6" x14ac:dyDescent="0.25">
      <c r="A17" s="34" t="s">
        <v>9</v>
      </c>
      <c r="B17" s="8">
        <f>AVERAGE('Volvo '!B17:I17,AAK!B17:I17)</f>
        <v>4.0738110560036733E-2</v>
      </c>
      <c r="C17" s="8">
        <f>MEDIAN('Volvo '!B17:I17,AAK!B17:I17)</f>
        <v>4.136936875565711E-2</v>
      </c>
      <c r="D17" s="8">
        <f>STDEV('Volvo '!B17:I17,AAK!B17:I17)</f>
        <v>3.3888036388140017E-2</v>
      </c>
      <c r="E17" s="8">
        <f>MIN('Volvo '!B17:I17,AAK!B17:I17)</f>
        <v>-4.4196650264096429E-2</v>
      </c>
      <c r="F17" s="9">
        <f>MAX('Volvo '!B17:I17,AAK!B17:I17)</f>
        <v>9.902502055679549E-2</v>
      </c>
    </row>
    <row r="18" spans="1:6" x14ac:dyDescent="0.25">
      <c r="A18" s="34" t="s">
        <v>44</v>
      </c>
      <c r="B18" s="9">
        <f>AVERAGE('Volvo '!B18:I18,AAK!B18:I18)</f>
        <v>0.9375</v>
      </c>
      <c r="C18" s="9">
        <f>MEDIAN('Volvo '!B18:I18,AAK!B18:I18)</f>
        <v>1</v>
      </c>
      <c r="D18" s="9">
        <f>STDEV('Volvo '!B18:I18,AAK!B18:I18)</f>
        <v>0.25</v>
      </c>
      <c r="E18" s="16">
        <f>MIN('Volvo '!B18:I18,AAK!B18:I18)</f>
        <v>0</v>
      </c>
      <c r="F18" s="16">
        <f>MAX('Volvo '!B18:I18,AAK!B18:I18)</f>
        <v>1</v>
      </c>
    </row>
    <row r="19" spans="1:6" x14ac:dyDescent="0.25">
      <c r="A19" s="34" t="s">
        <v>48</v>
      </c>
      <c r="B19" s="16">
        <f>AVERAGE('Volvo '!B19:I19,AAK!B19:I19)</f>
        <v>0.5</v>
      </c>
      <c r="C19" s="16">
        <f>MEDIAN('Volvo '!B19:I19,AAK!B19:I19)</f>
        <v>0.5</v>
      </c>
      <c r="D19" s="16">
        <f>STDEV('Volvo '!B19:I19,AAK!B19:I19)</f>
        <v>0.5163977794943222</v>
      </c>
      <c r="E19" s="16">
        <f>MIN('Volvo '!B19:I19,AAK!B19:I19)</f>
        <v>0</v>
      </c>
      <c r="F19" s="16">
        <f>MAX('Volvo '!B19:I19,AAK!B19:I19)</f>
        <v>1</v>
      </c>
    </row>
    <row r="20" spans="1:6" x14ac:dyDescent="0.25">
      <c r="A20" s="34" t="s">
        <v>57</v>
      </c>
    </row>
    <row r="21" spans="1:6" x14ac:dyDescent="0.25">
      <c r="A21" s="35" t="s">
        <v>58</v>
      </c>
    </row>
    <row r="22" spans="1:6" x14ac:dyDescent="0.25">
      <c r="A22" s="17"/>
    </row>
    <row r="23" spans="1:6" x14ac:dyDescent="0.25">
      <c r="A23" s="17"/>
    </row>
    <row r="24" spans="1:6" x14ac:dyDescent="0.25">
      <c r="A24" s="17"/>
    </row>
    <row r="25" spans="1:6" x14ac:dyDescent="0.25">
      <c r="A25" s="18"/>
    </row>
    <row r="26" spans="1:6" x14ac:dyDescent="0.25">
      <c r="A26" s="17"/>
    </row>
    <row r="27" spans="1:6" x14ac:dyDescent="0.25">
      <c r="A27" s="17"/>
    </row>
    <row r="28" spans="1:6" x14ac:dyDescent="0.25">
      <c r="A28" s="17"/>
    </row>
    <row r="29" spans="1:6" x14ac:dyDescent="0.25">
      <c r="A29" s="17"/>
    </row>
    <row r="30" spans="1:6" x14ac:dyDescent="0.25">
      <c r="A30" s="17"/>
    </row>
    <row r="31" spans="1:6" x14ac:dyDescent="0.25">
      <c r="A31" s="17"/>
    </row>
    <row r="32" spans="1:6" x14ac:dyDescent="0.25">
      <c r="A32" s="17"/>
    </row>
    <row r="33" spans="1:1" x14ac:dyDescent="0.25">
      <c r="A33" s="17"/>
    </row>
    <row r="34" spans="1:1" x14ac:dyDescent="0.25">
      <c r="A34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:S34"/>
  <sheetViews>
    <sheetView workbookViewId="0">
      <selection activeCell="D11" sqref="D11"/>
    </sheetView>
  </sheetViews>
  <sheetFormatPr defaultRowHeight="15" x14ac:dyDescent="0.25"/>
  <cols>
    <col min="1" max="1" width="19.5703125" customWidth="1"/>
    <col min="11" max="11" width="12.5703125" customWidth="1"/>
    <col min="12" max="14" width="9.28515625" bestFit="1" customWidth="1"/>
    <col min="15" max="15" width="8.85546875" customWidth="1"/>
    <col min="16" max="18" width="9.28515625" bestFit="1" customWidth="1"/>
    <col min="19" max="19" width="9.5703125" bestFit="1" customWidth="1"/>
  </cols>
  <sheetData>
    <row r="1" spans="1:19" ht="17.25" x14ac:dyDescent="0.25">
      <c r="A1" s="2" t="s">
        <v>12</v>
      </c>
      <c r="B1" s="36">
        <v>2006</v>
      </c>
      <c r="C1" s="36">
        <v>2007</v>
      </c>
      <c r="D1" s="36">
        <v>2008</v>
      </c>
      <c r="E1" s="36">
        <v>2009</v>
      </c>
      <c r="F1" s="36">
        <v>2010</v>
      </c>
      <c r="G1" s="36">
        <v>2011</v>
      </c>
      <c r="H1" s="36">
        <v>2012</v>
      </c>
      <c r="I1" s="36">
        <v>2013</v>
      </c>
      <c r="K1" s="20"/>
      <c r="L1" s="36">
        <v>2006</v>
      </c>
      <c r="M1" s="36">
        <v>2007</v>
      </c>
      <c r="N1" s="36">
        <v>2008</v>
      </c>
      <c r="O1" s="36">
        <v>2009</v>
      </c>
      <c r="P1" s="36">
        <v>2010</v>
      </c>
      <c r="Q1" s="36">
        <v>2011</v>
      </c>
      <c r="R1" s="36">
        <v>2012</v>
      </c>
      <c r="S1" s="36">
        <v>2013</v>
      </c>
    </row>
    <row r="2" spans="1:19" ht="15.75" x14ac:dyDescent="0.25">
      <c r="A2" s="3" t="s">
        <v>24</v>
      </c>
      <c r="K2" s="4" t="s">
        <v>33</v>
      </c>
      <c r="L2">
        <v>35557</v>
      </c>
      <c r="M2">
        <v>37732</v>
      </c>
      <c r="N2">
        <v>44960</v>
      </c>
      <c r="O2">
        <v>42618</v>
      </c>
      <c r="P2">
        <v>45389</v>
      </c>
      <c r="Q2">
        <v>55728</v>
      </c>
      <c r="R2">
        <v>60205</v>
      </c>
      <c r="S2">
        <v>65763</v>
      </c>
    </row>
    <row r="3" spans="1:19" x14ac:dyDescent="0.25">
      <c r="A3" s="4" t="s">
        <v>10</v>
      </c>
      <c r="B3" s="9">
        <f>LN(L2)</f>
        <v>10.478892321614516</v>
      </c>
      <c r="C3" s="9">
        <f t="shared" ref="C3:I3" si="0">LN(M2)</f>
        <v>10.538263819769744</v>
      </c>
      <c r="D3" s="9">
        <f t="shared" si="0"/>
        <v>10.713528484567572</v>
      </c>
      <c r="E3" s="9">
        <f t="shared" si="0"/>
        <v>10.660031978225865</v>
      </c>
      <c r="F3" s="9">
        <f t="shared" si="0"/>
        <v>10.723025063923394</v>
      </c>
      <c r="G3" s="9">
        <f t="shared" si="0"/>
        <v>10.928237992605782</v>
      </c>
      <c r="H3" s="9">
        <f t="shared" si="0"/>
        <v>11.005510684326319</v>
      </c>
      <c r="I3" s="9">
        <f t="shared" si="0"/>
        <v>11.093812649127438</v>
      </c>
      <c r="K3" s="4" t="s">
        <v>27</v>
      </c>
      <c r="L3">
        <v>29702</v>
      </c>
      <c r="M3">
        <v>32003</v>
      </c>
      <c r="N3">
        <v>33294</v>
      </c>
      <c r="O3">
        <v>33400</v>
      </c>
      <c r="P3">
        <v>35018</v>
      </c>
      <c r="Q3">
        <v>39134</v>
      </c>
      <c r="R3">
        <v>43633</v>
      </c>
      <c r="S3">
        <v>45407</v>
      </c>
    </row>
    <row r="4" spans="1:19" x14ac:dyDescent="0.25">
      <c r="A4" s="4" t="s">
        <v>13</v>
      </c>
      <c r="B4">
        <v>31137</v>
      </c>
      <c r="C4">
        <v>33550</v>
      </c>
      <c r="D4">
        <v>34829</v>
      </c>
      <c r="E4">
        <v>34963</v>
      </c>
      <c r="F4">
        <v>36823</v>
      </c>
      <c r="G4">
        <v>41786</v>
      </c>
      <c r="H4">
        <v>46619</v>
      </c>
      <c r="I4">
        <v>48481</v>
      </c>
      <c r="K4" s="4" t="s">
        <v>28</v>
      </c>
      <c r="L4">
        <v>13645</v>
      </c>
      <c r="M4">
        <v>15668</v>
      </c>
      <c r="N4">
        <v>18838</v>
      </c>
      <c r="O4">
        <v>19334</v>
      </c>
      <c r="P4">
        <v>20821</v>
      </c>
      <c r="Q4">
        <v>22998</v>
      </c>
      <c r="R4">
        <v>26001</v>
      </c>
      <c r="S4">
        <v>28813</v>
      </c>
    </row>
    <row r="5" spans="1:19" x14ac:dyDescent="0.25">
      <c r="A5" s="4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4" t="s">
        <v>53</v>
      </c>
      <c r="L5">
        <v>1154</v>
      </c>
      <c r="M5">
        <v>1138</v>
      </c>
      <c r="N5">
        <v>1931</v>
      </c>
      <c r="O5">
        <v>2235</v>
      </c>
      <c r="P5">
        <v>1302</v>
      </c>
      <c r="Q5">
        <v>1665</v>
      </c>
      <c r="R5">
        <v>907</v>
      </c>
      <c r="S5">
        <v>362</v>
      </c>
    </row>
    <row r="6" spans="1:19" x14ac:dyDescent="0.25">
      <c r="A6" s="4" t="s">
        <v>11</v>
      </c>
      <c r="B6" s="9">
        <f>L3/B4</f>
        <v>0.95391335067604455</v>
      </c>
      <c r="C6" s="9">
        <f t="shared" ref="C6:I6" si="1">M3/C4</f>
        <v>0.95388971684053647</v>
      </c>
      <c r="D6" s="9">
        <f t="shared" si="1"/>
        <v>0.9559275316546556</v>
      </c>
      <c r="E6" s="9">
        <f t="shared" si="1"/>
        <v>0.95529559820381549</v>
      </c>
      <c r="F6" s="9">
        <f t="shared" si="1"/>
        <v>0.95098172337940956</v>
      </c>
      <c r="G6" s="9">
        <f t="shared" si="1"/>
        <v>0.9365337672904801</v>
      </c>
      <c r="H6" s="9">
        <f t="shared" si="1"/>
        <v>0.93594886205195305</v>
      </c>
      <c r="I6" s="9">
        <f t="shared" si="1"/>
        <v>0.93659371712629691</v>
      </c>
      <c r="K6" s="21" t="s">
        <v>62</v>
      </c>
      <c r="L6">
        <v>6202</v>
      </c>
      <c r="M6">
        <v>6064</v>
      </c>
      <c r="N6">
        <v>4312</v>
      </c>
      <c r="O6">
        <v>3629</v>
      </c>
      <c r="P6">
        <v>4974</v>
      </c>
      <c r="Q6">
        <v>9936</v>
      </c>
      <c r="R6">
        <v>3940</v>
      </c>
      <c r="S6">
        <v>8962</v>
      </c>
    </row>
    <row r="7" spans="1:19" ht="15.75" x14ac:dyDescent="0.25">
      <c r="A7" s="3" t="s">
        <v>21</v>
      </c>
      <c r="K7" s="4" t="s">
        <v>30</v>
      </c>
      <c r="L7">
        <v>719</v>
      </c>
      <c r="M7">
        <v>776</v>
      </c>
      <c r="N7">
        <v>901</v>
      </c>
      <c r="O7">
        <v>920</v>
      </c>
      <c r="P7">
        <v>1015</v>
      </c>
      <c r="Q7">
        <v>1202</v>
      </c>
      <c r="R7">
        <v>1344</v>
      </c>
      <c r="S7">
        <v>1390</v>
      </c>
    </row>
    <row r="8" spans="1:19" x14ac:dyDescent="0.25">
      <c r="A8" s="4" t="s">
        <v>8</v>
      </c>
      <c r="B8" s="9">
        <f>(L2+L14-L4)/L2</f>
        <v>2.1495373625446468</v>
      </c>
      <c r="C8" s="9">
        <f t="shared" ref="C8:I8" si="2">(M2+M14-M4)/M2</f>
        <v>1.842985397010495</v>
      </c>
      <c r="D8" s="9">
        <f t="shared" si="2"/>
        <v>1.3012488879003556</v>
      </c>
      <c r="E8" s="9">
        <f t="shared" si="2"/>
        <v>1.7294340419541039</v>
      </c>
      <c r="F8" s="9">
        <f t="shared" si="2"/>
        <v>2.0701689836744586</v>
      </c>
      <c r="G8" s="9">
        <f t="shared" si="2"/>
        <v>1.7280106948033305</v>
      </c>
      <c r="H8" s="9">
        <f t="shared" si="2"/>
        <v>2.0645396561747362</v>
      </c>
      <c r="I8" s="9">
        <f t="shared" si="2"/>
        <v>2.4783209403463955</v>
      </c>
      <c r="K8" s="4" t="s">
        <v>34</v>
      </c>
      <c r="L8">
        <v>13560</v>
      </c>
      <c r="M8">
        <v>12953</v>
      </c>
      <c r="N8">
        <v>14013</v>
      </c>
      <c r="O8">
        <v>11048</v>
      </c>
      <c r="P8">
        <v>10564</v>
      </c>
      <c r="Q8">
        <v>14207</v>
      </c>
      <c r="R8">
        <v>15805</v>
      </c>
      <c r="S8">
        <v>19595</v>
      </c>
    </row>
    <row r="9" spans="1:19" x14ac:dyDescent="0.25">
      <c r="A9" s="4" t="s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K9" s="4" t="s">
        <v>31</v>
      </c>
      <c r="L9">
        <v>739</v>
      </c>
      <c r="M9">
        <v>751</v>
      </c>
      <c r="N9">
        <v>829</v>
      </c>
      <c r="O9">
        <v>664</v>
      </c>
      <c r="P9">
        <v>708</v>
      </c>
      <c r="Q9">
        <v>846</v>
      </c>
      <c r="R9">
        <v>557</v>
      </c>
      <c r="S9">
        <v>1202</v>
      </c>
    </row>
    <row r="10" spans="1:19" x14ac:dyDescent="0.25">
      <c r="A10" s="4" t="s">
        <v>5</v>
      </c>
      <c r="B10">
        <f>L6</f>
        <v>6202</v>
      </c>
      <c r="C10">
        <f t="shared" ref="C10:I10" si="3">M6</f>
        <v>6064</v>
      </c>
      <c r="D10">
        <f t="shared" si="3"/>
        <v>4312</v>
      </c>
      <c r="E10">
        <f t="shared" si="3"/>
        <v>3629</v>
      </c>
      <c r="F10">
        <f t="shared" si="3"/>
        <v>4974</v>
      </c>
      <c r="G10">
        <f t="shared" si="3"/>
        <v>9936</v>
      </c>
      <c r="H10">
        <f t="shared" si="3"/>
        <v>3940</v>
      </c>
      <c r="I10">
        <f t="shared" si="3"/>
        <v>8962</v>
      </c>
      <c r="K10" s="4" t="s">
        <v>32</v>
      </c>
      <c r="L10">
        <v>1756</v>
      </c>
      <c r="M10">
        <v>3368</v>
      </c>
      <c r="N10">
        <v>2438</v>
      </c>
      <c r="O10">
        <v>2659</v>
      </c>
      <c r="P10">
        <v>4080</v>
      </c>
      <c r="Q10">
        <v>3869</v>
      </c>
      <c r="R10">
        <v>5172</v>
      </c>
      <c r="S10">
        <v>4775</v>
      </c>
    </row>
    <row r="11" spans="1:19" x14ac:dyDescent="0.25">
      <c r="A11" s="4" t="s">
        <v>7</v>
      </c>
      <c r="B11" s="9">
        <f>B10/B4</f>
        <v>0.19918425024890002</v>
      </c>
      <c r="C11" s="9">
        <f t="shared" ref="C11:I11" si="4">C10/C4</f>
        <v>0.18074515648286141</v>
      </c>
      <c r="D11" s="9">
        <f t="shared" si="4"/>
        <v>0.12380487524763846</v>
      </c>
      <c r="E11" s="9">
        <f t="shared" si="4"/>
        <v>0.10379544089466007</v>
      </c>
      <c r="F11" s="9">
        <f t="shared" si="4"/>
        <v>0.13507861934117263</v>
      </c>
      <c r="G11" s="9">
        <f t="shared" si="4"/>
        <v>0.23778298951802038</v>
      </c>
      <c r="H11" s="9">
        <f t="shared" si="4"/>
        <v>8.4514897359445715E-2</v>
      </c>
      <c r="I11" s="9">
        <f t="shared" si="4"/>
        <v>0.18485592293888328</v>
      </c>
      <c r="K11" s="4" t="s">
        <v>54</v>
      </c>
      <c r="L11">
        <v>12380</v>
      </c>
      <c r="M11">
        <v>11843</v>
      </c>
      <c r="N11">
        <v>15514</v>
      </c>
      <c r="O11">
        <v>9406</v>
      </c>
      <c r="P11">
        <v>11120</v>
      </c>
      <c r="Q11">
        <v>18563</v>
      </c>
      <c r="R11">
        <v>16911</v>
      </c>
      <c r="S11">
        <v>16842</v>
      </c>
    </row>
    <row r="12" spans="1:19" ht="15.75" x14ac:dyDescent="0.25">
      <c r="A12" s="3" t="s">
        <v>0</v>
      </c>
      <c r="K12" s="4" t="s">
        <v>51</v>
      </c>
      <c r="L12">
        <v>365.9</v>
      </c>
      <c r="M12">
        <v>365.9</v>
      </c>
      <c r="N12">
        <v>365.9</v>
      </c>
      <c r="O12">
        <v>365.9</v>
      </c>
      <c r="P12">
        <v>366.2</v>
      </c>
      <c r="Q12">
        <v>368.3</v>
      </c>
      <c r="R12">
        <v>370.9</v>
      </c>
      <c r="S12">
        <v>370.9</v>
      </c>
    </row>
    <row r="13" spans="1:19" x14ac:dyDescent="0.25">
      <c r="A13" s="4" t="s">
        <v>16</v>
      </c>
      <c r="B13" s="8">
        <f>L7/B4</f>
        <v>2.3091498859877317E-2</v>
      </c>
      <c r="C13" s="8">
        <f t="shared" ref="C13:I13" si="5">M7/C4</f>
        <v>2.3129657228017884E-2</v>
      </c>
      <c r="D13" s="8">
        <f t="shared" si="5"/>
        <v>2.586924689195785E-2</v>
      </c>
      <c r="E13" s="8">
        <f t="shared" si="5"/>
        <v>2.6313531447530247E-2</v>
      </c>
      <c r="F13" s="8">
        <f t="shared" si="5"/>
        <v>2.7564294055345842E-2</v>
      </c>
      <c r="G13" s="8">
        <f t="shared" si="5"/>
        <v>2.8765615277844252E-2</v>
      </c>
      <c r="H13" s="8">
        <f t="shared" si="5"/>
        <v>2.8829447221090113E-2</v>
      </c>
      <c r="I13" s="8">
        <f t="shared" si="5"/>
        <v>2.8671025762669913E-2</v>
      </c>
      <c r="K13" s="4" t="s">
        <v>52</v>
      </c>
      <c r="L13">
        <v>149</v>
      </c>
      <c r="M13">
        <v>129.75</v>
      </c>
      <c r="N13">
        <v>88.5</v>
      </c>
      <c r="O13">
        <v>137.80000000000001</v>
      </c>
      <c r="P13">
        <v>189.5</v>
      </c>
      <c r="Q13">
        <v>172.6</v>
      </c>
      <c r="R13">
        <v>242.9</v>
      </c>
      <c r="S13">
        <v>339.8</v>
      </c>
    </row>
    <row r="14" spans="1:19" x14ac:dyDescent="0.25">
      <c r="A14" s="4" t="s">
        <v>14</v>
      </c>
      <c r="B14" s="9">
        <f>L8/L4</f>
        <v>0.99377061194576766</v>
      </c>
      <c r="C14" s="9">
        <f t="shared" ref="C14:H14" si="6">M8/M4</f>
        <v>0.82671687515956094</v>
      </c>
      <c r="D14" s="9">
        <f t="shared" si="6"/>
        <v>0.74386877587854339</v>
      </c>
      <c r="E14" s="9">
        <f t="shared" si="6"/>
        <v>0.5714285714285714</v>
      </c>
      <c r="F14" s="9">
        <f t="shared" si="6"/>
        <v>0.50737236443974831</v>
      </c>
      <c r="G14" s="9">
        <f t="shared" si="6"/>
        <v>0.61774936951039217</v>
      </c>
      <c r="H14" s="9">
        <f t="shared" si="6"/>
        <v>0.6078612361063036</v>
      </c>
      <c r="I14" s="9">
        <f>S8/S4</f>
        <v>0.68007496616110785</v>
      </c>
      <c r="K14" s="4" t="s">
        <v>29</v>
      </c>
      <c r="L14" s="16">
        <f>L13*L12</f>
        <v>54519.1</v>
      </c>
      <c r="M14" s="16">
        <f t="shared" ref="M14:S14" si="7">M13*M12</f>
        <v>47475.524999999994</v>
      </c>
      <c r="N14" s="16">
        <f t="shared" si="7"/>
        <v>32382.149999999998</v>
      </c>
      <c r="O14" s="16">
        <f t="shared" si="7"/>
        <v>50421.020000000004</v>
      </c>
      <c r="P14" s="16">
        <f t="shared" si="7"/>
        <v>69394.899999999994</v>
      </c>
      <c r="Q14" s="16">
        <f t="shared" si="7"/>
        <v>63568.58</v>
      </c>
      <c r="R14" s="16">
        <f t="shared" si="7"/>
        <v>90091.61</v>
      </c>
      <c r="S14" s="16">
        <f t="shared" si="7"/>
        <v>126031.81999999999</v>
      </c>
    </row>
    <row r="15" spans="1:19" x14ac:dyDescent="0.25">
      <c r="A15" s="4" t="s">
        <v>40</v>
      </c>
      <c r="B15" s="8">
        <f>L5/L11</f>
        <v>9.3214862681744753E-2</v>
      </c>
      <c r="C15" s="8">
        <f t="shared" ref="C15:I15" si="8">M5/M11</f>
        <v>9.609051760533649E-2</v>
      </c>
      <c r="D15" s="8">
        <f t="shared" si="8"/>
        <v>0.12446822225087018</v>
      </c>
      <c r="E15" s="8">
        <f t="shared" si="8"/>
        <v>0.23761428875186053</v>
      </c>
      <c r="F15" s="8">
        <f t="shared" si="8"/>
        <v>0.1170863309352518</v>
      </c>
      <c r="G15" s="8">
        <f t="shared" si="8"/>
        <v>8.96945536820557E-2</v>
      </c>
      <c r="H15" s="8">
        <f t="shared" si="8"/>
        <v>5.3633729525161135E-2</v>
      </c>
      <c r="I15" s="8">
        <f t="shared" si="8"/>
        <v>2.1493884336777104E-2</v>
      </c>
    </row>
    <row r="16" spans="1:19" x14ac:dyDescent="0.25">
      <c r="A16" s="4" t="s">
        <v>15</v>
      </c>
      <c r="B16" s="8">
        <f>L9/B4</f>
        <v>2.3733821498538716E-2</v>
      </c>
      <c r="C16" s="8">
        <f t="shared" ref="C16:I16" si="9">M9/C4</f>
        <v>2.2384500745156483E-2</v>
      </c>
      <c r="D16" s="8">
        <f t="shared" si="9"/>
        <v>2.3802004077062219E-2</v>
      </c>
      <c r="E16" s="8">
        <f t="shared" si="9"/>
        <v>1.8991505305608787E-2</v>
      </c>
      <c r="F16" s="8">
        <f t="shared" si="9"/>
        <v>1.9227113488852077E-2</v>
      </c>
      <c r="G16" s="8">
        <f t="shared" si="9"/>
        <v>2.024601541186043E-2</v>
      </c>
      <c r="H16" s="8">
        <f t="shared" si="9"/>
        <v>1.1947918230764281E-2</v>
      </c>
      <c r="I16" s="8">
        <f t="shared" si="9"/>
        <v>2.4793217961675707E-2</v>
      </c>
    </row>
    <row r="17" spans="1:9" x14ac:dyDescent="0.25">
      <c r="A17" s="4" t="s">
        <v>9</v>
      </c>
      <c r="B17" s="8">
        <f>L10/L2</f>
        <v>4.9385493714317857E-2</v>
      </c>
      <c r="C17" s="8">
        <f t="shared" ref="C17:I17" si="10">M10/M2</f>
        <v>8.9261104632672533E-2</v>
      </c>
      <c r="D17" s="8">
        <f t="shared" si="10"/>
        <v>5.4225978647686836E-2</v>
      </c>
      <c r="E17" s="8">
        <f t="shared" si="10"/>
        <v>6.2391477779342064E-2</v>
      </c>
      <c r="F17" s="8">
        <f t="shared" si="10"/>
        <v>8.9889620833241535E-2</v>
      </c>
      <c r="G17" s="8">
        <f t="shared" si="10"/>
        <v>6.9426500143554407E-2</v>
      </c>
      <c r="H17" s="8">
        <f t="shared" si="10"/>
        <v>8.5906486172244834E-2</v>
      </c>
      <c r="I17" s="8">
        <f t="shared" si="10"/>
        <v>7.2609217949302793E-2</v>
      </c>
    </row>
    <row r="18" spans="1:9" x14ac:dyDescent="0.25">
      <c r="A18" s="4" t="s">
        <v>44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s="4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t="s">
        <v>57</v>
      </c>
      <c r="B20">
        <v>-1326</v>
      </c>
      <c r="C20">
        <v>-1205</v>
      </c>
      <c r="D20">
        <v>2131</v>
      </c>
      <c r="E20">
        <v>-826</v>
      </c>
      <c r="F20">
        <v>-1249</v>
      </c>
      <c r="G20">
        <v>327</v>
      </c>
      <c r="H20">
        <v>-978</v>
      </c>
      <c r="I20">
        <v>143</v>
      </c>
    </row>
    <row r="21" spans="1:9" x14ac:dyDescent="0.25">
      <c r="A21" s="17" t="s">
        <v>58</v>
      </c>
      <c r="B21">
        <v>0</v>
      </c>
      <c r="C21">
        <v>0</v>
      </c>
      <c r="D21">
        <v>1</v>
      </c>
      <c r="E21">
        <v>0</v>
      </c>
      <c r="F21">
        <v>0</v>
      </c>
      <c r="G21">
        <v>1</v>
      </c>
      <c r="H21">
        <v>0</v>
      </c>
      <c r="I21">
        <v>1</v>
      </c>
    </row>
    <row r="22" spans="1:9" x14ac:dyDescent="0.25">
      <c r="A22" s="17"/>
    </row>
    <row r="23" spans="1:9" x14ac:dyDescent="0.25">
      <c r="A23" s="17"/>
    </row>
    <row r="24" spans="1:9" x14ac:dyDescent="0.25">
      <c r="A24" s="17"/>
    </row>
    <row r="25" spans="1:9" x14ac:dyDescent="0.25">
      <c r="A25" s="18"/>
    </row>
    <row r="26" spans="1:9" x14ac:dyDescent="0.25">
      <c r="A26" s="17"/>
    </row>
    <row r="27" spans="1:9" x14ac:dyDescent="0.25">
      <c r="A27" s="17"/>
    </row>
    <row r="28" spans="1:9" x14ac:dyDescent="0.25">
      <c r="A28" s="17"/>
    </row>
    <row r="29" spans="1:9" x14ac:dyDescent="0.25">
      <c r="A29" s="17"/>
    </row>
    <row r="30" spans="1:9" x14ac:dyDescent="0.25">
      <c r="A30" s="17"/>
    </row>
    <row r="31" spans="1:9" x14ac:dyDescent="0.25">
      <c r="A31" s="17"/>
    </row>
    <row r="32" spans="1:9" x14ac:dyDescent="0.25">
      <c r="A32" s="17"/>
    </row>
    <row r="33" spans="1:1" x14ac:dyDescent="0.25">
      <c r="A33" s="17"/>
    </row>
    <row r="34" spans="1:1" x14ac:dyDescent="0.25">
      <c r="A34" s="14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0"/>
  <dimension ref="A1:S34"/>
  <sheetViews>
    <sheetView workbookViewId="0">
      <selection activeCell="B11" sqref="B11:I11"/>
    </sheetView>
  </sheetViews>
  <sheetFormatPr defaultRowHeight="15" x14ac:dyDescent="0.25"/>
  <cols>
    <col min="1" max="1" width="19.5703125" customWidth="1"/>
    <col min="11" max="11" width="12.5703125" customWidth="1"/>
  </cols>
  <sheetData>
    <row r="1" spans="1:19" ht="17.25" x14ac:dyDescent="0.25">
      <c r="A1" s="32" t="s">
        <v>12</v>
      </c>
      <c r="B1" s="36">
        <v>2006</v>
      </c>
      <c r="C1" s="36">
        <v>2007</v>
      </c>
      <c r="D1" s="36">
        <v>2008</v>
      </c>
      <c r="E1" s="36">
        <v>2009</v>
      </c>
      <c r="F1" s="36">
        <v>2010</v>
      </c>
      <c r="G1" s="36">
        <v>2011</v>
      </c>
      <c r="H1" s="36">
        <v>2012</v>
      </c>
      <c r="I1" s="36">
        <v>2013</v>
      </c>
      <c r="K1" s="5"/>
      <c r="L1" s="36">
        <v>2006</v>
      </c>
      <c r="M1" s="36">
        <v>2007</v>
      </c>
      <c r="N1" s="36">
        <v>2008</v>
      </c>
      <c r="O1" s="36">
        <v>2009</v>
      </c>
      <c r="P1" s="36">
        <v>2010</v>
      </c>
      <c r="Q1" s="36">
        <v>2011</v>
      </c>
      <c r="R1" s="36">
        <v>2012</v>
      </c>
      <c r="S1" s="36">
        <v>2013</v>
      </c>
    </row>
    <row r="2" spans="1:19" ht="15.75" x14ac:dyDescent="0.25">
      <c r="A2" s="33" t="s">
        <v>24</v>
      </c>
      <c r="K2" s="34" t="s">
        <v>33</v>
      </c>
      <c r="L2">
        <v>462.4</v>
      </c>
      <c r="M2">
        <v>489.5</v>
      </c>
      <c r="N2">
        <v>472.9</v>
      </c>
      <c r="O2">
        <v>498.5</v>
      </c>
      <c r="P2">
        <v>503.1</v>
      </c>
      <c r="Q2">
        <v>858.5</v>
      </c>
      <c r="R2">
        <v>696.7</v>
      </c>
      <c r="S2">
        <v>767.8</v>
      </c>
    </row>
    <row r="3" spans="1:19" x14ac:dyDescent="0.25">
      <c r="A3" s="34" t="s">
        <v>10</v>
      </c>
      <c r="B3" s="9">
        <f>LN(L2)</f>
        <v>6.136430317358168</v>
      </c>
      <c r="C3" s="9">
        <f t="shared" ref="C3:I3" si="0">LN(M2)</f>
        <v>6.1933844619705649</v>
      </c>
      <c r="D3" s="9">
        <f t="shared" si="0"/>
        <v>6.1588839496498302</v>
      </c>
      <c r="E3" s="9">
        <f t="shared" si="0"/>
        <v>6.2116035894018928</v>
      </c>
      <c r="F3" s="9">
        <f t="shared" si="0"/>
        <v>6.2207889574972732</v>
      </c>
      <c r="G3" s="9">
        <f t="shared" si="0"/>
        <v>6.7551866803375304</v>
      </c>
      <c r="H3" s="9">
        <f t="shared" si="0"/>
        <v>6.5463549020360734</v>
      </c>
      <c r="I3" s="9">
        <f t="shared" si="0"/>
        <v>6.6435292825666972</v>
      </c>
      <c r="K3" s="34" t="s">
        <v>27</v>
      </c>
      <c r="L3">
        <v>19</v>
      </c>
      <c r="M3">
        <v>5</v>
      </c>
      <c r="N3">
        <v>14</v>
      </c>
      <c r="O3">
        <v>5.3</v>
      </c>
      <c r="P3">
        <v>5.9</v>
      </c>
      <c r="Q3">
        <v>61</v>
      </c>
      <c r="R3">
        <v>59</v>
      </c>
      <c r="S3">
        <v>50.4</v>
      </c>
    </row>
    <row r="4" spans="1:19" x14ac:dyDescent="0.25">
      <c r="A4" s="34" t="s">
        <v>13</v>
      </c>
      <c r="B4">
        <v>66.400000000000006</v>
      </c>
      <c r="C4">
        <v>12.1</v>
      </c>
      <c r="D4">
        <v>53.5</v>
      </c>
      <c r="E4">
        <v>10.8</v>
      </c>
      <c r="F4">
        <v>11.4</v>
      </c>
      <c r="G4">
        <v>234.6</v>
      </c>
      <c r="H4">
        <v>227.9</v>
      </c>
      <c r="I4">
        <v>116</v>
      </c>
      <c r="K4" s="34" t="s">
        <v>28</v>
      </c>
      <c r="L4">
        <v>60</v>
      </c>
      <c r="M4">
        <v>190</v>
      </c>
      <c r="N4">
        <v>164</v>
      </c>
      <c r="O4">
        <v>189</v>
      </c>
      <c r="P4">
        <v>182</v>
      </c>
      <c r="Q4">
        <v>502</v>
      </c>
      <c r="R4">
        <v>340</v>
      </c>
      <c r="S4">
        <v>405</v>
      </c>
    </row>
    <row r="5" spans="1:19" x14ac:dyDescent="0.25">
      <c r="A5" s="34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34" t="s">
        <v>53</v>
      </c>
      <c r="L5">
        <v>98</v>
      </c>
      <c r="M5">
        <v>139</v>
      </c>
      <c r="N5">
        <v>139</v>
      </c>
      <c r="O5">
        <v>156</v>
      </c>
      <c r="P5">
        <v>131</v>
      </c>
      <c r="Q5">
        <v>465</v>
      </c>
      <c r="R5">
        <v>217</v>
      </c>
      <c r="S5">
        <v>376</v>
      </c>
    </row>
    <row r="6" spans="1:19" x14ac:dyDescent="0.25">
      <c r="A6" s="34" t="s">
        <v>11</v>
      </c>
      <c r="B6" s="9">
        <f>L3/B4</f>
        <v>0.28614457831325296</v>
      </c>
      <c r="C6" s="9">
        <f t="shared" ref="C6:I6" si="1">M3/C4</f>
        <v>0.41322314049586778</v>
      </c>
      <c r="D6" s="9">
        <f t="shared" si="1"/>
        <v>0.26168224299065418</v>
      </c>
      <c r="E6" s="9">
        <f t="shared" si="1"/>
        <v>0.4907407407407407</v>
      </c>
      <c r="F6" s="9">
        <f t="shared" si="1"/>
        <v>0.51754385964912286</v>
      </c>
      <c r="G6" s="9">
        <f t="shared" si="1"/>
        <v>0.26001705029838024</v>
      </c>
      <c r="H6" s="9">
        <f t="shared" si="1"/>
        <v>0.25888547608600265</v>
      </c>
      <c r="I6" s="9">
        <f t="shared" si="1"/>
        <v>0.43448275862068964</v>
      </c>
      <c r="K6" s="37" t="s">
        <v>62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ht="15.75" x14ac:dyDescent="0.25">
      <c r="A7" s="33" t="s">
        <v>21</v>
      </c>
      <c r="K7" s="34" t="s">
        <v>30</v>
      </c>
      <c r="L7">
        <v>165.7</v>
      </c>
      <c r="M7">
        <v>189.7</v>
      </c>
      <c r="N7">
        <v>207.4</v>
      </c>
      <c r="O7">
        <v>212</v>
      </c>
      <c r="P7">
        <v>217.3</v>
      </c>
      <c r="Q7">
        <v>318.60000000000002</v>
      </c>
      <c r="R7">
        <v>375.3</v>
      </c>
      <c r="S7">
        <v>308</v>
      </c>
    </row>
    <row r="8" spans="1:19" x14ac:dyDescent="0.25">
      <c r="A8" s="34" t="s">
        <v>8</v>
      </c>
      <c r="B8" s="9">
        <f>(L2+L14-L4)/L2</f>
        <v>7.7455449826989629</v>
      </c>
      <c r="C8" s="9">
        <f t="shared" ref="C8:I8" si="2">(M2+M14-M4)/M2</f>
        <v>6.4578140960163433</v>
      </c>
      <c r="D8" s="9">
        <f t="shared" si="2"/>
        <v>4.1275111017128365</v>
      </c>
      <c r="E8" s="9">
        <f t="shared" si="2"/>
        <v>13.757773319959879</v>
      </c>
      <c r="F8" s="9">
        <f t="shared" si="2"/>
        <v>22.808785529715763</v>
      </c>
      <c r="G8" s="9">
        <f t="shared" si="2"/>
        <v>2.1914967967384973</v>
      </c>
      <c r="H8" s="9">
        <f t="shared" si="2"/>
        <v>5.9590928663700291</v>
      </c>
      <c r="I8" s="9">
        <f t="shared" si="2"/>
        <v>7.1708778327689506</v>
      </c>
      <c r="K8" s="34" t="s">
        <v>34</v>
      </c>
      <c r="L8">
        <v>358.7</v>
      </c>
      <c r="M8">
        <v>256.10000000000002</v>
      </c>
      <c r="N8">
        <v>258.39999999999998</v>
      </c>
      <c r="O8">
        <v>255.5</v>
      </c>
      <c r="P8">
        <v>249.5</v>
      </c>
      <c r="Q8">
        <v>242.5</v>
      </c>
      <c r="R8">
        <v>236.5</v>
      </c>
      <c r="S8">
        <v>230.9</v>
      </c>
    </row>
    <row r="9" spans="1:19" x14ac:dyDescent="0.25">
      <c r="A9" s="34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 s="34" t="s">
        <v>31</v>
      </c>
      <c r="L9">
        <v>33</v>
      </c>
      <c r="M9">
        <v>91</v>
      </c>
      <c r="N9">
        <v>2855</v>
      </c>
      <c r="O9">
        <v>72</v>
      </c>
      <c r="P9">
        <v>91</v>
      </c>
      <c r="Q9">
        <v>527</v>
      </c>
      <c r="R9">
        <v>17</v>
      </c>
      <c r="S9">
        <v>53</v>
      </c>
    </row>
    <row r="10" spans="1:19" x14ac:dyDescent="0.25">
      <c r="A10" s="34" t="s"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K10" s="34" t="s">
        <v>32</v>
      </c>
      <c r="L10">
        <v>-139.19999999999999</v>
      </c>
      <c r="M10">
        <v>-207.7</v>
      </c>
      <c r="N10">
        <v>-181.6</v>
      </c>
      <c r="O10">
        <v>-224</v>
      </c>
      <c r="P10">
        <v>-221.1</v>
      </c>
      <c r="Q10">
        <v>-94.5</v>
      </c>
      <c r="R10">
        <v>-175</v>
      </c>
      <c r="S10">
        <v>-212.1</v>
      </c>
    </row>
    <row r="11" spans="1:19" x14ac:dyDescent="0.25">
      <c r="A11" s="34" t="s">
        <v>7</v>
      </c>
      <c r="B11" s="9">
        <f>B10/B4</f>
        <v>0</v>
      </c>
      <c r="C11" s="9">
        <f t="shared" ref="C11:I11" si="3">C10/C4</f>
        <v>0</v>
      </c>
      <c r="D11" s="9">
        <f t="shared" si="3"/>
        <v>0</v>
      </c>
      <c r="E11" s="9">
        <f t="shared" si="3"/>
        <v>0</v>
      </c>
      <c r="F11" s="9">
        <f t="shared" si="3"/>
        <v>0</v>
      </c>
      <c r="G11" s="9">
        <f t="shared" si="3"/>
        <v>0</v>
      </c>
      <c r="H11" s="9">
        <f t="shared" si="3"/>
        <v>0</v>
      </c>
      <c r="I11" s="9">
        <f t="shared" si="3"/>
        <v>0</v>
      </c>
      <c r="K11" s="34" t="s">
        <v>54</v>
      </c>
      <c r="L11">
        <v>147</v>
      </c>
      <c r="M11">
        <v>49</v>
      </c>
      <c r="N11">
        <v>58</v>
      </c>
      <c r="O11">
        <v>62</v>
      </c>
      <c r="P11">
        <v>80</v>
      </c>
      <c r="Q11">
        <v>122</v>
      </c>
      <c r="R11">
        <v>128</v>
      </c>
      <c r="S11">
        <v>138</v>
      </c>
    </row>
    <row r="12" spans="1:19" ht="15.75" x14ac:dyDescent="0.25">
      <c r="A12" s="33" t="s">
        <v>0</v>
      </c>
      <c r="K12" s="34" t="s">
        <v>51</v>
      </c>
      <c r="L12">
        <v>41</v>
      </c>
      <c r="M12">
        <v>49</v>
      </c>
      <c r="N12">
        <v>53</v>
      </c>
      <c r="O12">
        <v>65</v>
      </c>
      <c r="P12">
        <v>66</v>
      </c>
      <c r="Q12">
        <v>69</v>
      </c>
      <c r="R12">
        <v>69</v>
      </c>
      <c r="S12">
        <v>74</v>
      </c>
    </row>
    <row r="13" spans="1:19" x14ac:dyDescent="0.25">
      <c r="A13" s="34" t="s">
        <v>16</v>
      </c>
      <c r="B13" s="9">
        <f>L7/B4</f>
        <v>2.4954819277108431</v>
      </c>
      <c r="C13" s="9">
        <f t="shared" ref="C13:I13" si="4">M7/C4</f>
        <v>15.677685950413222</v>
      </c>
      <c r="D13" s="9">
        <f t="shared" si="4"/>
        <v>3.8766355140186919</v>
      </c>
      <c r="E13" s="9">
        <f t="shared" si="4"/>
        <v>19.62962962962963</v>
      </c>
      <c r="F13" s="9">
        <f t="shared" si="4"/>
        <v>19.061403508771932</v>
      </c>
      <c r="G13" s="9">
        <f t="shared" si="4"/>
        <v>1.3580562659846549</v>
      </c>
      <c r="H13" s="9">
        <f t="shared" si="4"/>
        <v>1.6467749012724879</v>
      </c>
      <c r="I13" s="9">
        <f t="shared" si="4"/>
        <v>2.6551724137931036</v>
      </c>
      <c r="K13" s="34" t="s">
        <v>52</v>
      </c>
      <c r="L13">
        <v>77.540000000000006</v>
      </c>
      <c r="M13">
        <v>58.4</v>
      </c>
      <c r="N13">
        <v>31</v>
      </c>
      <c r="O13">
        <v>100.75</v>
      </c>
      <c r="P13">
        <v>169</v>
      </c>
      <c r="Q13">
        <v>22.1</v>
      </c>
      <c r="R13">
        <v>55</v>
      </c>
      <c r="S13">
        <v>69.5</v>
      </c>
    </row>
    <row r="14" spans="1:19" x14ac:dyDescent="0.25">
      <c r="A14" s="34" t="s">
        <v>14</v>
      </c>
      <c r="B14" s="9">
        <f>L8/L4</f>
        <v>5.9783333333333335</v>
      </c>
      <c r="C14" s="9">
        <f t="shared" ref="C14:I14" si="5">M8/M4</f>
        <v>1.3478947368421055</v>
      </c>
      <c r="D14" s="9">
        <f t="shared" si="5"/>
        <v>1.5756097560975608</v>
      </c>
      <c r="E14" s="9">
        <f t="shared" si="5"/>
        <v>1.3518518518518519</v>
      </c>
      <c r="F14" s="9">
        <f t="shared" si="5"/>
        <v>1.3708791208791209</v>
      </c>
      <c r="G14" s="9">
        <f t="shared" si="5"/>
        <v>0.48306772908366535</v>
      </c>
      <c r="H14" s="9">
        <f t="shared" si="5"/>
        <v>0.69558823529411762</v>
      </c>
      <c r="I14" s="9">
        <f t="shared" si="5"/>
        <v>0.57012345679012344</v>
      </c>
      <c r="K14" s="34" t="s">
        <v>29</v>
      </c>
      <c r="L14" s="16">
        <f>L12*L13</f>
        <v>3179.1400000000003</v>
      </c>
      <c r="M14" s="16">
        <f t="shared" ref="M14:S14" si="6">M12*M13</f>
        <v>2861.6</v>
      </c>
      <c r="N14" s="16">
        <f t="shared" si="6"/>
        <v>1643</v>
      </c>
      <c r="O14" s="16">
        <f t="shared" si="6"/>
        <v>6548.75</v>
      </c>
      <c r="P14" s="16">
        <f t="shared" si="6"/>
        <v>11154</v>
      </c>
      <c r="Q14" s="16">
        <f t="shared" si="6"/>
        <v>1524.9</v>
      </c>
      <c r="R14" s="16">
        <f t="shared" si="6"/>
        <v>3795</v>
      </c>
      <c r="S14" s="16">
        <f t="shared" si="6"/>
        <v>5143</v>
      </c>
    </row>
    <row r="15" spans="1:19" x14ac:dyDescent="0.25">
      <c r="A15" s="34" t="s">
        <v>40</v>
      </c>
      <c r="B15" s="9">
        <f>L5/L11</f>
        <v>0.66666666666666663</v>
      </c>
      <c r="C15" s="9">
        <f t="shared" ref="C15:I15" si="7">M5/M11</f>
        <v>2.8367346938775508</v>
      </c>
      <c r="D15" s="9">
        <f t="shared" si="7"/>
        <v>2.396551724137931</v>
      </c>
      <c r="E15" s="9">
        <f t="shared" si="7"/>
        <v>2.5161290322580645</v>
      </c>
      <c r="F15" s="9">
        <f t="shared" si="7"/>
        <v>1.6375</v>
      </c>
      <c r="G15" s="9">
        <f t="shared" si="7"/>
        <v>3.8114754098360657</v>
      </c>
      <c r="H15" s="9">
        <f t="shared" si="7"/>
        <v>1.6953125</v>
      </c>
      <c r="I15" s="9">
        <f t="shared" si="7"/>
        <v>2.7246376811594204</v>
      </c>
    </row>
    <row r="16" spans="1:19" x14ac:dyDescent="0.25">
      <c r="A16" s="34" t="s">
        <v>15</v>
      </c>
      <c r="B16" s="9">
        <f>L9/B4</f>
        <v>0.49698795180722888</v>
      </c>
      <c r="C16" s="9">
        <f t="shared" ref="C16:I16" si="8">M9/C4</f>
        <v>7.5206611570247937</v>
      </c>
      <c r="D16" s="9">
        <f t="shared" si="8"/>
        <v>53.364485981308412</v>
      </c>
      <c r="E16" s="9">
        <f t="shared" si="8"/>
        <v>6.6666666666666661</v>
      </c>
      <c r="F16" s="9">
        <f t="shared" si="8"/>
        <v>7.9824561403508767</v>
      </c>
      <c r="G16" s="9">
        <f t="shared" si="8"/>
        <v>2.2463768115942031</v>
      </c>
      <c r="H16" s="9">
        <f t="shared" si="8"/>
        <v>7.4594120228170246E-2</v>
      </c>
      <c r="I16" s="9">
        <f t="shared" si="8"/>
        <v>0.45689655172413796</v>
      </c>
    </row>
    <row r="17" spans="1:9" x14ac:dyDescent="0.25">
      <c r="A17" s="34" t="s">
        <v>9</v>
      </c>
      <c r="B17" s="9">
        <f>L10/L2</f>
        <v>-0.30103806228373703</v>
      </c>
      <c r="C17" s="9">
        <f t="shared" ref="C17:I17" si="9">M10/M2</f>
        <v>-0.42431052093973443</v>
      </c>
      <c r="D17" s="9">
        <f t="shared" si="9"/>
        <v>-0.38401353351659973</v>
      </c>
      <c r="E17" s="9">
        <f t="shared" si="9"/>
        <v>-0.44934804413239721</v>
      </c>
      <c r="F17" s="9">
        <f t="shared" si="9"/>
        <v>-0.43947525342874177</v>
      </c>
      <c r="G17" s="9">
        <f t="shared" si="9"/>
        <v>-0.11007571345369831</v>
      </c>
      <c r="H17" s="9">
        <f t="shared" si="9"/>
        <v>-0.25118415386823595</v>
      </c>
      <c r="I17" s="9">
        <f t="shared" si="9"/>
        <v>-0.27624381349309718</v>
      </c>
    </row>
    <row r="18" spans="1:9" x14ac:dyDescent="0.25">
      <c r="A18" s="34" t="s">
        <v>44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5">
      <c r="A19" s="34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s="34" t="s">
        <v>57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s="35" t="s">
        <v>58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5">
      <c r="A22" s="17"/>
    </row>
    <row r="23" spans="1:9" x14ac:dyDescent="0.25">
      <c r="A23" s="17"/>
    </row>
    <row r="24" spans="1:9" x14ac:dyDescent="0.25">
      <c r="A24" s="17"/>
    </row>
    <row r="25" spans="1:9" x14ac:dyDescent="0.25">
      <c r="A25" s="18"/>
    </row>
    <row r="26" spans="1:9" x14ac:dyDescent="0.25">
      <c r="A26" s="17"/>
    </row>
    <row r="27" spans="1:9" x14ac:dyDescent="0.25">
      <c r="A27" s="17"/>
    </row>
    <row r="28" spans="1:9" x14ac:dyDescent="0.25">
      <c r="A28" s="17"/>
    </row>
    <row r="29" spans="1:9" x14ac:dyDescent="0.25">
      <c r="A29" s="17"/>
    </row>
    <row r="30" spans="1:9" x14ac:dyDescent="0.25">
      <c r="A30" s="17"/>
    </row>
    <row r="31" spans="1:9" x14ac:dyDescent="0.25">
      <c r="A31" s="17"/>
    </row>
    <row r="32" spans="1:9" x14ac:dyDescent="0.25">
      <c r="A32" s="17"/>
    </row>
    <row r="33" spans="1:1" x14ac:dyDescent="0.25">
      <c r="A33" s="17"/>
    </row>
    <row r="34" spans="1:1" x14ac:dyDescent="0.25">
      <c r="A34" s="14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1"/>
  <dimension ref="A1:S34"/>
  <sheetViews>
    <sheetView workbookViewId="0">
      <selection activeCell="B11" sqref="B11:I11"/>
    </sheetView>
  </sheetViews>
  <sheetFormatPr defaultRowHeight="15" x14ac:dyDescent="0.25"/>
  <cols>
    <col min="1" max="1" width="19.5703125" customWidth="1"/>
    <col min="11" max="11" width="12.5703125" customWidth="1"/>
  </cols>
  <sheetData>
    <row r="1" spans="1:19" ht="17.25" x14ac:dyDescent="0.25">
      <c r="A1" s="32" t="s">
        <v>12</v>
      </c>
      <c r="B1" s="36">
        <v>2006</v>
      </c>
      <c r="C1" s="36">
        <v>2007</v>
      </c>
      <c r="D1" s="36">
        <v>2008</v>
      </c>
      <c r="E1" s="36">
        <v>2009</v>
      </c>
      <c r="F1" s="36">
        <v>2010</v>
      </c>
      <c r="G1" s="36">
        <v>2011</v>
      </c>
      <c r="H1" s="36">
        <v>2012</v>
      </c>
      <c r="I1" s="36">
        <v>2013</v>
      </c>
      <c r="K1" s="5"/>
      <c r="L1" s="36">
        <v>2006</v>
      </c>
      <c r="M1" s="36">
        <v>2007</v>
      </c>
      <c r="N1" s="36">
        <v>2008</v>
      </c>
      <c r="O1" s="36">
        <v>2009</v>
      </c>
      <c r="P1" s="36">
        <v>2010</v>
      </c>
      <c r="Q1" s="36">
        <v>2011</v>
      </c>
      <c r="R1" s="36">
        <v>2012</v>
      </c>
      <c r="S1" s="36">
        <v>2013</v>
      </c>
    </row>
    <row r="2" spans="1:19" ht="15.75" x14ac:dyDescent="0.25">
      <c r="A2" s="33" t="s">
        <v>24</v>
      </c>
      <c r="K2" s="34" t="s">
        <v>33</v>
      </c>
      <c r="L2">
        <v>68.5</v>
      </c>
      <c r="M2">
        <v>84.2</v>
      </c>
      <c r="N2">
        <v>59.5</v>
      </c>
      <c r="O2">
        <v>79.400000000000006</v>
      </c>
      <c r="P2">
        <v>88.6</v>
      </c>
      <c r="Q2">
        <v>109</v>
      </c>
      <c r="R2">
        <v>138.80000000000001</v>
      </c>
      <c r="S2">
        <v>633.9</v>
      </c>
    </row>
    <row r="3" spans="1:19" x14ac:dyDescent="0.25">
      <c r="A3" s="34" t="s">
        <v>10</v>
      </c>
      <c r="B3" s="9">
        <f>LN(L2)</f>
        <v>4.2268337452681797</v>
      </c>
      <c r="C3" s="9">
        <f t="shared" ref="C3:I3" si="0">LN(M2)</f>
        <v>4.4331949212482815</v>
      </c>
      <c r="D3" s="9">
        <f t="shared" si="0"/>
        <v>4.0859763125515842</v>
      </c>
      <c r="E3" s="9">
        <f t="shared" si="0"/>
        <v>4.3744983682530902</v>
      </c>
      <c r="F3" s="9">
        <f t="shared" si="0"/>
        <v>4.4841318576110352</v>
      </c>
      <c r="G3" s="9">
        <f t="shared" si="0"/>
        <v>4.6913478822291435</v>
      </c>
      <c r="H3" s="9">
        <f t="shared" si="0"/>
        <v>4.9330340480727042</v>
      </c>
      <c r="I3" s="9">
        <f t="shared" si="0"/>
        <v>6.4518912132901205</v>
      </c>
      <c r="K3" s="34" t="s">
        <v>27</v>
      </c>
      <c r="L3">
        <v>13</v>
      </c>
      <c r="M3">
        <v>19</v>
      </c>
      <c r="N3">
        <v>17.8</v>
      </c>
      <c r="O3">
        <v>27.5</v>
      </c>
      <c r="P3">
        <v>36.6</v>
      </c>
      <c r="Q3">
        <v>49.9</v>
      </c>
      <c r="R3">
        <v>72.900000000000006</v>
      </c>
      <c r="S3">
        <v>119.2</v>
      </c>
    </row>
    <row r="4" spans="1:19" x14ac:dyDescent="0.25">
      <c r="A4" s="34" t="s">
        <v>13</v>
      </c>
      <c r="B4">
        <v>47.3</v>
      </c>
      <c r="C4">
        <v>76</v>
      </c>
      <c r="D4">
        <v>58.3</v>
      </c>
      <c r="E4">
        <v>74.5</v>
      </c>
      <c r="F4">
        <v>90.5</v>
      </c>
      <c r="G4">
        <v>107.7</v>
      </c>
      <c r="H4">
        <v>139.1</v>
      </c>
      <c r="I4">
        <v>199.4</v>
      </c>
      <c r="K4" s="34" t="s">
        <v>28</v>
      </c>
      <c r="L4">
        <v>50.7</v>
      </c>
      <c r="M4">
        <v>57.3</v>
      </c>
      <c r="N4">
        <v>36.1</v>
      </c>
      <c r="O4">
        <v>57.8</v>
      </c>
      <c r="P4">
        <v>60.3</v>
      </c>
      <c r="Q4">
        <v>65.7</v>
      </c>
      <c r="R4">
        <v>83.6</v>
      </c>
      <c r="S4">
        <v>552.9</v>
      </c>
    </row>
    <row r="5" spans="1:19" x14ac:dyDescent="0.25">
      <c r="A5" s="34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34" t="s">
        <v>53</v>
      </c>
      <c r="L5">
        <v>16.100000000000001</v>
      </c>
      <c r="M5">
        <v>17.8</v>
      </c>
      <c r="N5">
        <v>0.1</v>
      </c>
      <c r="O5">
        <v>16.100000000000001</v>
      </c>
      <c r="P5">
        <v>23.2</v>
      </c>
      <c r="Q5">
        <v>38.299999999999997</v>
      </c>
      <c r="R5">
        <v>26.9</v>
      </c>
      <c r="S5">
        <v>503.3</v>
      </c>
    </row>
    <row r="6" spans="1:19" x14ac:dyDescent="0.25">
      <c r="A6" s="34" t="s">
        <v>11</v>
      </c>
      <c r="B6" s="9">
        <f>L3/B4</f>
        <v>0.27484143763213531</v>
      </c>
      <c r="C6" s="9">
        <f>M3/C4</f>
        <v>0.25</v>
      </c>
      <c r="D6" s="9">
        <f t="shared" ref="D6:I6" si="1">N3/D4</f>
        <v>0.30531732418524876</v>
      </c>
      <c r="E6" s="9">
        <f t="shared" si="1"/>
        <v>0.36912751677852351</v>
      </c>
      <c r="F6" s="9">
        <f t="shared" si="1"/>
        <v>0.40441988950276242</v>
      </c>
      <c r="G6" s="9">
        <f t="shared" si="1"/>
        <v>0.46332404828226553</v>
      </c>
      <c r="H6" s="9">
        <f t="shared" si="1"/>
        <v>0.52408339324227182</v>
      </c>
      <c r="I6" s="9">
        <f t="shared" si="1"/>
        <v>0.59779338014042127</v>
      </c>
      <c r="K6" s="37" t="s">
        <v>62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ht="15.75" x14ac:dyDescent="0.25">
      <c r="A7" s="33" t="s">
        <v>21</v>
      </c>
      <c r="K7" s="34" t="s">
        <v>30</v>
      </c>
      <c r="L7">
        <v>14.1</v>
      </c>
      <c r="M7">
        <v>15.3</v>
      </c>
      <c r="N7">
        <v>12.9</v>
      </c>
      <c r="O7">
        <v>12.7</v>
      </c>
      <c r="P7">
        <v>12.1</v>
      </c>
      <c r="Q7">
        <v>13.2</v>
      </c>
      <c r="R7">
        <v>15.7</v>
      </c>
      <c r="S7">
        <v>11.2</v>
      </c>
    </row>
    <row r="8" spans="1:19" x14ac:dyDescent="0.25">
      <c r="A8" s="34" t="s">
        <v>8</v>
      </c>
      <c r="B8" s="9">
        <f>(L2+L14-L4)/L2</f>
        <v>1.2350364963503651</v>
      </c>
      <c r="C8" s="9">
        <f t="shared" ref="C8:I8" si="2">(M2+M14-M4)/M2</f>
        <v>1.1104513064133017</v>
      </c>
      <c r="D8" s="9">
        <f t="shared" si="2"/>
        <v>1.5126050420168067</v>
      </c>
      <c r="E8" s="9">
        <f t="shared" si="2"/>
        <v>2.1712846347607058</v>
      </c>
      <c r="F8" s="9">
        <f t="shared" si="2"/>
        <v>2.0282167042889392</v>
      </c>
      <c r="G8" s="9">
        <f t="shared" si="2"/>
        <v>1.8045871559633027</v>
      </c>
      <c r="H8" s="9">
        <f t="shared" si="2"/>
        <v>4.9582132564841492</v>
      </c>
      <c r="I8" s="9">
        <f t="shared" si="2"/>
        <v>6.4536993216595668</v>
      </c>
      <c r="K8" s="34" t="s">
        <v>34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25">
      <c r="A9" s="34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 s="34" t="s">
        <v>31</v>
      </c>
      <c r="L9">
        <v>8.1999999999999993</v>
      </c>
      <c r="M9">
        <v>10.6</v>
      </c>
      <c r="N9">
        <v>5.3</v>
      </c>
      <c r="O9">
        <v>6.5</v>
      </c>
      <c r="P9">
        <v>5.7</v>
      </c>
      <c r="Q9">
        <v>8.1999999999999993</v>
      </c>
      <c r="R9">
        <v>9.1999999999999993</v>
      </c>
      <c r="S9">
        <v>2.8</v>
      </c>
    </row>
    <row r="10" spans="1:19" x14ac:dyDescent="0.25">
      <c r="A10" s="34" t="s"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K10" s="34" t="s">
        <v>32</v>
      </c>
      <c r="L10">
        <v>-8.6</v>
      </c>
      <c r="M10">
        <v>2.2999999999999998</v>
      </c>
      <c r="N10">
        <v>-20.399999999999999</v>
      </c>
      <c r="O10">
        <v>-6.5</v>
      </c>
      <c r="P10">
        <v>1.8</v>
      </c>
      <c r="Q10">
        <v>5.5</v>
      </c>
      <c r="R10">
        <v>15</v>
      </c>
      <c r="S10">
        <v>15.4</v>
      </c>
    </row>
    <row r="11" spans="1:19" x14ac:dyDescent="0.25">
      <c r="A11" s="34" t="s">
        <v>7</v>
      </c>
      <c r="B11" s="9">
        <f>B10/B4</f>
        <v>0</v>
      </c>
      <c r="C11" s="9">
        <f t="shared" ref="C11:I11" si="3">C10/C4</f>
        <v>0</v>
      </c>
      <c r="D11" s="9">
        <f t="shared" si="3"/>
        <v>0</v>
      </c>
      <c r="E11" s="9">
        <f t="shared" si="3"/>
        <v>0</v>
      </c>
      <c r="F11" s="9">
        <f t="shared" si="3"/>
        <v>0</v>
      </c>
      <c r="G11" s="9">
        <f t="shared" si="3"/>
        <v>0</v>
      </c>
      <c r="H11" s="9">
        <f t="shared" si="3"/>
        <v>0</v>
      </c>
      <c r="I11" s="9">
        <f t="shared" si="3"/>
        <v>0</v>
      </c>
      <c r="K11" s="34" t="s">
        <v>54</v>
      </c>
      <c r="L11">
        <v>17.8</v>
      </c>
      <c r="M11">
        <v>26.9</v>
      </c>
      <c r="N11">
        <v>23.4</v>
      </c>
      <c r="O11">
        <v>21.6</v>
      </c>
      <c r="P11">
        <v>28.3</v>
      </c>
      <c r="Q11">
        <v>43.2</v>
      </c>
      <c r="R11">
        <v>55.2</v>
      </c>
      <c r="S11">
        <v>81</v>
      </c>
    </row>
    <row r="12" spans="1:19" ht="15.75" x14ac:dyDescent="0.25">
      <c r="A12" s="33" t="s">
        <v>0</v>
      </c>
      <c r="K12" s="34" t="s">
        <v>51</v>
      </c>
    </row>
    <row r="13" spans="1:19" x14ac:dyDescent="0.25">
      <c r="A13" s="34" t="s">
        <v>16</v>
      </c>
      <c r="B13" s="8">
        <f>L7/B4</f>
        <v>0.29809725158562367</v>
      </c>
      <c r="C13" s="8">
        <f t="shared" ref="C13:I13" si="4">M7/C4</f>
        <v>0.20131578947368423</v>
      </c>
      <c r="D13" s="8">
        <f t="shared" si="4"/>
        <v>0.22126929674099488</v>
      </c>
      <c r="E13" s="8">
        <f t="shared" si="4"/>
        <v>0.17046979865771811</v>
      </c>
      <c r="F13" s="8">
        <f t="shared" si="4"/>
        <v>0.13370165745856352</v>
      </c>
      <c r="G13" s="8">
        <f t="shared" si="4"/>
        <v>0.12256267409470752</v>
      </c>
      <c r="H13" s="8">
        <f t="shared" si="4"/>
        <v>0.11286843997124371</v>
      </c>
      <c r="I13" s="8">
        <f t="shared" si="4"/>
        <v>5.6168505516549644E-2</v>
      </c>
      <c r="K13" s="34" t="s">
        <v>52</v>
      </c>
    </row>
    <row r="14" spans="1:19" x14ac:dyDescent="0.25">
      <c r="A14" s="34" t="s">
        <v>14</v>
      </c>
      <c r="B14">
        <f>L8/L4</f>
        <v>0</v>
      </c>
      <c r="C14">
        <f t="shared" ref="C14:I14" si="5">M8/M4</f>
        <v>0</v>
      </c>
      <c r="D14">
        <f t="shared" si="5"/>
        <v>0</v>
      </c>
      <c r="E14">
        <f t="shared" si="5"/>
        <v>0</v>
      </c>
      <c r="F14">
        <f t="shared" si="5"/>
        <v>0</v>
      </c>
      <c r="G14">
        <f t="shared" si="5"/>
        <v>0</v>
      </c>
      <c r="H14">
        <f t="shared" si="5"/>
        <v>0</v>
      </c>
      <c r="I14">
        <f t="shared" si="5"/>
        <v>0</v>
      </c>
      <c r="K14" s="34" t="s">
        <v>29</v>
      </c>
      <c r="L14">
        <v>66.8</v>
      </c>
      <c r="M14">
        <v>66.599999999999994</v>
      </c>
      <c r="N14">
        <v>66.599999999999994</v>
      </c>
      <c r="O14">
        <v>150.80000000000001</v>
      </c>
      <c r="P14">
        <v>151.4</v>
      </c>
      <c r="Q14">
        <v>153.4</v>
      </c>
      <c r="R14">
        <v>633</v>
      </c>
      <c r="S14">
        <v>4010</v>
      </c>
    </row>
    <row r="15" spans="1:19" x14ac:dyDescent="0.25">
      <c r="A15" s="34" t="s">
        <v>40</v>
      </c>
      <c r="B15" s="9">
        <f>L5/L11</f>
        <v>0.9044943820224719</v>
      </c>
      <c r="C15" s="9">
        <f t="shared" ref="C15:H15" si="6">M5/M11</f>
        <v>0.66171003717472121</v>
      </c>
      <c r="D15" s="9">
        <f t="shared" si="6"/>
        <v>4.2735042735042739E-3</v>
      </c>
      <c r="E15" s="9">
        <f t="shared" si="6"/>
        <v>0.74537037037037035</v>
      </c>
      <c r="F15" s="9">
        <f t="shared" si="6"/>
        <v>0.81978798586572432</v>
      </c>
      <c r="G15" s="9">
        <f t="shared" si="6"/>
        <v>0.88657407407407396</v>
      </c>
      <c r="H15" s="9">
        <f t="shared" si="6"/>
        <v>0.48731884057971009</v>
      </c>
      <c r="I15" s="9">
        <f>S5/S11</f>
        <v>6.2135802469135806</v>
      </c>
    </row>
    <row r="16" spans="1:19" x14ac:dyDescent="0.25">
      <c r="A16" s="34" t="s">
        <v>15</v>
      </c>
      <c r="B16" s="8">
        <f>L9/B4</f>
        <v>0.17336152219873149</v>
      </c>
      <c r="C16" s="8">
        <f t="shared" ref="C16:I16" si="7">M9/C4</f>
        <v>0.13947368421052631</v>
      </c>
      <c r="D16" s="8">
        <f t="shared" si="7"/>
        <v>9.0909090909090912E-2</v>
      </c>
      <c r="E16" s="8">
        <f t="shared" si="7"/>
        <v>8.7248322147651006E-2</v>
      </c>
      <c r="F16" s="8">
        <f t="shared" si="7"/>
        <v>6.2983425414364649E-2</v>
      </c>
      <c r="G16" s="8">
        <f t="shared" si="7"/>
        <v>7.6137418755803155E-2</v>
      </c>
      <c r="H16" s="8">
        <f t="shared" si="7"/>
        <v>6.6139468008626884E-2</v>
      </c>
      <c r="I16" s="8">
        <f t="shared" si="7"/>
        <v>1.4042126379137411E-2</v>
      </c>
    </row>
    <row r="17" spans="1:9" x14ac:dyDescent="0.25">
      <c r="A17" s="34" t="s">
        <v>9</v>
      </c>
      <c r="B17" s="8">
        <f>L10/L2</f>
        <v>-0.12554744525547445</v>
      </c>
      <c r="C17" s="8">
        <f t="shared" ref="C17:I17" si="8">M10/M2</f>
        <v>2.7315914489311161E-2</v>
      </c>
      <c r="D17" s="8">
        <f t="shared" si="8"/>
        <v>-0.34285714285714286</v>
      </c>
      <c r="E17" s="8">
        <f t="shared" si="8"/>
        <v>-8.1863979848866494E-2</v>
      </c>
      <c r="F17" s="8">
        <f t="shared" si="8"/>
        <v>2.031602708803612E-2</v>
      </c>
      <c r="G17" s="8">
        <f t="shared" si="8"/>
        <v>5.0458715596330278E-2</v>
      </c>
      <c r="H17" s="8">
        <f t="shared" si="8"/>
        <v>0.10806916426512968</v>
      </c>
      <c r="I17" s="8">
        <f t="shared" si="8"/>
        <v>2.4294052689698691E-2</v>
      </c>
    </row>
    <row r="18" spans="1:9" x14ac:dyDescent="0.25">
      <c r="A18" s="34" t="s">
        <v>44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5">
      <c r="A19" s="34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s="34" t="s">
        <v>57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s="35" t="s">
        <v>58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5">
      <c r="A22" s="17"/>
    </row>
    <row r="23" spans="1:9" x14ac:dyDescent="0.25">
      <c r="A23" s="17"/>
    </row>
    <row r="24" spans="1:9" x14ac:dyDescent="0.25">
      <c r="A24" s="17"/>
    </row>
    <row r="25" spans="1:9" x14ac:dyDescent="0.25">
      <c r="A25" s="18"/>
    </row>
    <row r="26" spans="1:9" x14ac:dyDescent="0.25">
      <c r="A26" s="17"/>
    </row>
    <row r="27" spans="1:9" x14ac:dyDescent="0.25">
      <c r="A27" s="17"/>
    </row>
    <row r="28" spans="1:9" x14ac:dyDescent="0.25">
      <c r="A28" s="17"/>
    </row>
    <row r="29" spans="1:9" x14ac:dyDescent="0.25">
      <c r="A29" s="17"/>
    </row>
    <row r="30" spans="1:9" x14ac:dyDescent="0.25">
      <c r="A30" s="17"/>
    </row>
    <row r="31" spans="1:9" x14ac:dyDescent="0.25">
      <c r="A31" s="17"/>
    </row>
    <row r="32" spans="1:9" x14ac:dyDescent="0.25">
      <c r="A32" s="17"/>
    </row>
    <row r="33" spans="1:1" x14ac:dyDescent="0.25">
      <c r="A33" s="17"/>
    </row>
    <row r="34" spans="1:1" x14ac:dyDescent="0.25">
      <c r="A34" s="14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2"/>
  <dimension ref="A1:S34"/>
  <sheetViews>
    <sheetView workbookViewId="0">
      <selection activeCell="B11" sqref="B11:I11"/>
    </sheetView>
  </sheetViews>
  <sheetFormatPr defaultRowHeight="15" x14ac:dyDescent="0.25"/>
  <cols>
    <col min="1" max="1" width="19.5703125" customWidth="1"/>
    <col min="11" max="11" width="12.5703125" customWidth="1"/>
  </cols>
  <sheetData>
    <row r="1" spans="1:19" ht="17.25" x14ac:dyDescent="0.25">
      <c r="A1" s="32" t="s">
        <v>12</v>
      </c>
      <c r="B1" s="36">
        <v>2006</v>
      </c>
      <c r="C1" s="36">
        <v>2007</v>
      </c>
      <c r="D1" s="36">
        <v>2008</v>
      </c>
      <c r="E1" s="36">
        <v>2009</v>
      </c>
      <c r="F1" s="36">
        <v>2010</v>
      </c>
      <c r="G1" s="36">
        <v>2011</v>
      </c>
      <c r="H1" s="36">
        <v>2012</v>
      </c>
      <c r="I1" s="36">
        <v>2013</v>
      </c>
      <c r="K1" s="5"/>
      <c r="L1" s="36">
        <v>2006</v>
      </c>
      <c r="M1" s="36">
        <v>2007</v>
      </c>
      <c r="N1" s="36">
        <v>2008</v>
      </c>
      <c r="O1" s="36">
        <v>2009</v>
      </c>
      <c r="P1" s="36">
        <v>2010</v>
      </c>
      <c r="Q1" s="36">
        <v>2011</v>
      </c>
      <c r="R1" s="36">
        <v>2012</v>
      </c>
      <c r="S1" s="36">
        <v>2013</v>
      </c>
    </row>
    <row r="2" spans="1:19" ht="15.75" x14ac:dyDescent="0.25">
      <c r="A2" s="33" t="s">
        <v>24</v>
      </c>
      <c r="K2" s="34" t="s">
        <v>33</v>
      </c>
      <c r="L2">
        <v>2300</v>
      </c>
      <c r="M2">
        <v>2796</v>
      </c>
      <c r="N2">
        <v>3609</v>
      </c>
      <c r="O2">
        <v>3583</v>
      </c>
      <c r="P2">
        <v>3950</v>
      </c>
      <c r="Q2">
        <v>4123</v>
      </c>
      <c r="R2">
        <v>7516</v>
      </c>
      <c r="S2">
        <v>7074</v>
      </c>
    </row>
    <row r="3" spans="1:19" x14ac:dyDescent="0.25">
      <c r="A3" s="34" t="s">
        <v>10</v>
      </c>
      <c r="B3" s="25">
        <f>LN(L2)</f>
        <v>7.7406644019172415</v>
      </c>
      <c r="C3" s="25">
        <f t="shared" ref="C3:I3" si="0">LN(M2)</f>
        <v>7.935945103353701</v>
      </c>
      <c r="D3" s="25">
        <f t="shared" si="0"/>
        <v>8.1911860046427893</v>
      </c>
      <c r="E3" s="25">
        <f t="shared" si="0"/>
        <v>8.1839557173049542</v>
      </c>
      <c r="F3" s="25">
        <f t="shared" si="0"/>
        <v>8.281470857895167</v>
      </c>
      <c r="G3" s="25">
        <f t="shared" si="0"/>
        <v>8.3243363327069009</v>
      </c>
      <c r="H3" s="25">
        <f t="shared" si="0"/>
        <v>8.9247893605333566</v>
      </c>
      <c r="I3" s="25">
        <f t="shared" si="0"/>
        <v>8.8641813697654257</v>
      </c>
      <c r="K3" s="34" t="s">
        <v>27</v>
      </c>
      <c r="L3">
        <v>823</v>
      </c>
      <c r="M3">
        <v>947</v>
      </c>
      <c r="N3">
        <v>1368</v>
      </c>
      <c r="O3">
        <v>1623</v>
      </c>
      <c r="P3">
        <v>1406</v>
      </c>
      <c r="Q3">
        <v>1753</v>
      </c>
      <c r="R3">
        <v>1748</v>
      </c>
      <c r="S3">
        <v>2098</v>
      </c>
    </row>
    <row r="4" spans="1:19" x14ac:dyDescent="0.25">
      <c r="A4" s="34" t="s">
        <v>13</v>
      </c>
      <c r="B4">
        <v>3114</v>
      </c>
      <c r="C4">
        <v>3862</v>
      </c>
      <c r="D4">
        <v>4569</v>
      </c>
      <c r="E4">
        <v>4678</v>
      </c>
      <c r="F4">
        <v>4334</v>
      </c>
      <c r="G4">
        <v>5124</v>
      </c>
      <c r="H4">
        <v>5796</v>
      </c>
      <c r="I4">
        <v>8337</v>
      </c>
      <c r="K4" s="34" t="s">
        <v>28</v>
      </c>
      <c r="L4">
        <v>1092</v>
      </c>
      <c r="M4">
        <v>1339</v>
      </c>
      <c r="N4">
        <v>1699</v>
      </c>
      <c r="O4">
        <v>1827</v>
      </c>
      <c r="P4">
        <v>2361</v>
      </c>
      <c r="Q4">
        <v>2450</v>
      </c>
      <c r="R4">
        <v>3422</v>
      </c>
      <c r="S4">
        <v>3674</v>
      </c>
    </row>
    <row r="5" spans="1:19" x14ac:dyDescent="0.25">
      <c r="A5" s="34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34" t="s">
        <v>53</v>
      </c>
      <c r="L5">
        <v>257</v>
      </c>
      <c r="M5">
        <v>310</v>
      </c>
      <c r="N5">
        <v>290</v>
      </c>
      <c r="O5">
        <v>345</v>
      </c>
      <c r="P5">
        <v>328</v>
      </c>
      <c r="Q5">
        <v>345</v>
      </c>
      <c r="R5">
        <v>488</v>
      </c>
      <c r="S5">
        <v>188</v>
      </c>
    </row>
    <row r="6" spans="1:19" x14ac:dyDescent="0.25">
      <c r="A6" s="34" t="s">
        <v>11</v>
      </c>
      <c r="B6" s="9">
        <f>L3/B4</f>
        <v>0.2642903018625562</v>
      </c>
      <c r="C6" s="9">
        <f t="shared" ref="C6:I6" si="1">M3/C4</f>
        <v>0.24520973588814085</v>
      </c>
      <c r="D6" s="9">
        <f t="shared" si="1"/>
        <v>0.29940906106369009</v>
      </c>
      <c r="E6" s="9">
        <f t="shared" si="1"/>
        <v>0.34694313809320221</v>
      </c>
      <c r="F6" s="9">
        <f t="shared" si="1"/>
        <v>0.32441162898015691</v>
      </c>
      <c r="G6" s="9">
        <f t="shared" si="1"/>
        <v>0.34211553473848555</v>
      </c>
      <c r="H6" s="9">
        <f t="shared" si="1"/>
        <v>0.30158730158730157</v>
      </c>
      <c r="I6" s="9">
        <f t="shared" si="1"/>
        <v>0.25164927431929951</v>
      </c>
      <c r="K6" s="37" t="s">
        <v>62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ht="15.75" x14ac:dyDescent="0.25">
      <c r="A7" s="33" t="s">
        <v>21</v>
      </c>
      <c r="K7" s="34" t="s">
        <v>30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25">
      <c r="A8" s="34" t="s">
        <v>8</v>
      </c>
      <c r="B8" s="9">
        <f>(L2+L14-L4)/L2</f>
        <v>1.558695652173913</v>
      </c>
      <c r="C8" s="9">
        <f t="shared" ref="C8:I8" si="2">(M2+M14-M4)/M2</f>
        <v>1.5447067238912733</v>
      </c>
      <c r="D8" s="9">
        <f t="shared" si="2"/>
        <v>1.0908839013577167</v>
      </c>
      <c r="E8" s="9">
        <f t="shared" si="2"/>
        <v>1.4192017862126709</v>
      </c>
      <c r="F8" s="9">
        <f t="shared" si="2"/>
        <v>1.6030379746835444</v>
      </c>
      <c r="G8" s="9">
        <f t="shared" si="2"/>
        <v>1.3228231869997575</v>
      </c>
      <c r="H8" s="9">
        <f t="shared" si="2"/>
        <v>1.3520489622139436</v>
      </c>
      <c r="I8" s="9">
        <f t="shared" si="2"/>
        <v>1.7109132032796155</v>
      </c>
      <c r="K8" s="34" t="s">
        <v>34</v>
      </c>
      <c r="L8">
        <v>303</v>
      </c>
      <c r="M8">
        <v>390</v>
      </c>
      <c r="N8">
        <v>462</v>
      </c>
      <c r="O8">
        <v>391</v>
      </c>
      <c r="P8">
        <v>294</v>
      </c>
      <c r="Q8">
        <v>215</v>
      </c>
      <c r="R8">
        <v>1375</v>
      </c>
      <c r="S8">
        <v>1487</v>
      </c>
    </row>
    <row r="9" spans="1:19" x14ac:dyDescent="0.25">
      <c r="A9" s="34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 s="34" t="s">
        <v>31</v>
      </c>
      <c r="L9">
        <v>44</v>
      </c>
      <c r="M9">
        <v>46</v>
      </c>
      <c r="N9">
        <v>126</v>
      </c>
      <c r="O9">
        <v>28</v>
      </c>
      <c r="P9">
        <v>34</v>
      </c>
      <c r="Q9">
        <v>51</v>
      </c>
      <c r="R9">
        <v>36</v>
      </c>
      <c r="S9">
        <v>63</v>
      </c>
    </row>
    <row r="10" spans="1:19" x14ac:dyDescent="0.25">
      <c r="A10" s="34" t="s"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K10" s="34" t="s">
        <v>32</v>
      </c>
      <c r="L10">
        <v>108</v>
      </c>
      <c r="M10">
        <v>220</v>
      </c>
      <c r="N10">
        <v>328</v>
      </c>
      <c r="O10">
        <v>275</v>
      </c>
      <c r="P10">
        <v>717</v>
      </c>
      <c r="Q10">
        <v>312</v>
      </c>
      <c r="R10">
        <v>353</v>
      </c>
      <c r="S10">
        <v>525</v>
      </c>
    </row>
    <row r="11" spans="1:19" x14ac:dyDescent="0.25">
      <c r="A11" s="34" t="s">
        <v>7</v>
      </c>
      <c r="B11" s="9">
        <f>B10/B4</f>
        <v>0</v>
      </c>
      <c r="C11" s="9">
        <f t="shared" ref="C11:I11" si="3">C10/C4</f>
        <v>0</v>
      </c>
      <c r="D11" s="9">
        <f t="shared" si="3"/>
        <v>0</v>
      </c>
      <c r="E11" s="9">
        <f t="shared" si="3"/>
        <v>0</v>
      </c>
      <c r="F11" s="9">
        <f t="shared" si="3"/>
        <v>0</v>
      </c>
      <c r="G11" s="9">
        <f t="shared" si="3"/>
        <v>0</v>
      </c>
      <c r="H11" s="9">
        <f t="shared" si="3"/>
        <v>0</v>
      </c>
      <c r="I11" s="9">
        <f t="shared" si="3"/>
        <v>0</v>
      </c>
      <c r="K11" s="34" t="s">
        <v>54</v>
      </c>
      <c r="L11">
        <v>994</v>
      </c>
      <c r="M11">
        <v>1180</v>
      </c>
      <c r="N11">
        <v>1538</v>
      </c>
      <c r="O11">
        <v>1595</v>
      </c>
      <c r="P11">
        <v>1405</v>
      </c>
      <c r="Q11">
        <v>1376</v>
      </c>
      <c r="R11">
        <v>2395</v>
      </c>
      <c r="S11">
        <v>2230</v>
      </c>
    </row>
    <row r="12" spans="1:19" ht="15.75" x14ac:dyDescent="0.25">
      <c r="A12" s="33" t="s">
        <v>0</v>
      </c>
      <c r="K12" s="34" t="s">
        <v>51</v>
      </c>
    </row>
    <row r="13" spans="1:19" x14ac:dyDescent="0.25">
      <c r="A13" s="34" t="s">
        <v>16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K13" s="34" t="s">
        <v>52</v>
      </c>
    </row>
    <row r="14" spans="1:19" x14ac:dyDescent="0.25">
      <c r="A14" s="34" t="s">
        <v>14</v>
      </c>
      <c r="B14" s="9">
        <f>L8/L4</f>
        <v>0.27747252747252749</v>
      </c>
      <c r="C14" s="9">
        <f t="shared" ref="C14:I14" si="4">M8/M4</f>
        <v>0.29126213592233008</v>
      </c>
      <c r="D14" s="9">
        <f t="shared" si="4"/>
        <v>0.27192466156562684</v>
      </c>
      <c r="E14" s="9">
        <f t="shared" si="4"/>
        <v>0.21401204159824849</v>
      </c>
      <c r="F14" s="9">
        <f t="shared" si="4"/>
        <v>0.12452350698856417</v>
      </c>
      <c r="G14" s="9">
        <f t="shared" si="4"/>
        <v>8.7755102040816324E-2</v>
      </c>
      <c r="H14" s="9">
        <f t="shared" si="4"/>
        <v>0.40181180596142607</v>
      </c>
      <c r="I14" s="9">
        <f t="shared" si="4"/>
        <v>0.40473598258029397</v>
      </c>
      <c r="K14" s="34" t="s">
        <v>29</v>
      </c>
      <c r="L14">
        <v>2377</v>
      </c>
      <c r="M14">
        <v>2862</v>
      </c>
      <c r="N14">
        <v>2027</v>
      </c>
      <c r="O14">
        <v>3329</v>
      </c>
      <c r="P14">
        <v>4743</v>
      </c>
      <c r="Q14">
        <v>3781</v>
      </c>
      <c r="R14">
        <v>6068</v>
      </c>
      <c r="S14">
        <v>8703</v>
      </c>
    </row>
    <row r="15" spans="1:19" x14ac:dyDescent="0.25">
      <c r="A15" s="34" t="s">
        <v>40</v>
      </c>
      <c r="B15" s="9">
        <f>L5/L11</f>
        <v>0.25855130784708247</v>
      </c>
      <c r="C15" s="9">
        <f t="shared" ref="C15:I15" si="5">M5/M11</f>
        <v>0.26271186440677968</v>
      </c>
      <c r="D15" s="9">
        <f t="shared" si="5"/>
        <v>0.18855656697009102</v>
      </c>
      <c r="E15" s="9">
        <f t="shared" si="5"/>
        <v>0.21630094043887146</v>
      </c>
      <c r="F15" s="9">
        <f t="shared" si="5"/>
        <v>0.23345195729537366</v>
      </c>
      <c r="G15" s="9">
        <f t="shared" si="5"/>
        <v>0.25072674418604651</v>
      </c>
      <c r="H15" s="9">
        <f t="shared" si="5"/>
        <v>0.20375782881002089</v>
      </c>
      <c r="I15" s="9">
        <f t="shared" si="5"/>
        <v>8.4304932735426011E-2</v>
      </c>
      <c r="K15" s="22"/>
    </row>
    <row r="16" spans="1:19" x14ac:dyDescent="0.25">
      <c r="A16" s="34" t="s">
        <v>15</v>
      </c>
      <c r="B16" s="8">
        <f>L9/B4</f>
        <v>1.4129736673089274E-2</v>
      </c>
      <c r="C16" s="8">
        <f t="shared" ref="C16:I16" si="6">M9/C4</f>
        <v>1.1910926980838944E-2</v>
      </c>
      <c r="D16" s="8">
        <f t="shared" si="6"/>
        <v>2.757715036112935E-2</v>
      </c>
      <c r="E16" s="8">
        <f t="shared" si="6"/>
        <v>5.9854638734501923E-3</v>
      </c>
      <c r="F16" s="8">
        <f t="shared" si="6"/>
        <v>7.8449469312413481E-3</v>
      </c>
      <c r="G16" s="8">
        <f t="shared" si="6"/>
        <v>9.9531615925058554E-3</v>
      </c>
      <c r="H16" s="8">
        <f t="shared" si="6"/>
        <v>6.2111801242236021E-3</v>
      </c>
      <c r="I16" s="8">
        <f t="shared" si="6"/>
        <v>7.556675062972292E-3</v>
      </c>
    </row>
    <row r="17" spans="1:9" x14ac:dyDescent="0.25">
      <c r="A17" s="34" t="s">
        <v>9</v>
      </c>
      <c r="B17" s="8">
        <f>L10/L2</f>
        <v>4.6956521739130432E-2</v>
      </c>
      <c r="C17" s="8">
        <f t="shared" ref="C17:I17" si="7">M10/M2</f>
        <v>7.8683834048640919E-2</v>
      </c>
      <c r="D17" s="8">
        <f t="shared" si="7"/>
        <v>9.0883901357716818E-2</v>
      </c>
      <c r="E17" s="8">
        <f t="shared" si="7"/>
        <v>7.6751325704716725E-2</v>
      </c>
      <c r="F17" s="8">
        <f t="shared" si="7"/>
        <v>0.18151898734177216</v>
      </c>
      <c r="G17" s="8">
        <f t="shared" si="7"/>
        <v>7.5673053601746296E-2</v>
      </c>
      <c r="H17" s="8">
        <f t="shared" si="7"/>
        <v>4.6966471527408196E-2</v>
      </c>
      <c r="I17" s="8">
        <f t="shared" si="7"/>
        <v>7.4215436810856655E-2</v>
      </c>
    </row>
    <row r="18" spans="1:9" x14ac:dyDescent="0.25">
      <c r="A18" s="34" t="s">
        <v>44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s="34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s="34" t="s">
        <v>57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s="35" t="s">
        <v>58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5">
      <c r="A22" s="17"/>
    </row>
    <row r="23" spans="1:9" x14ac:dyDescent="0.25">
      <c r="A23" s="17"/>
    </row>
    <row r="24" spans="1:9" x14ac:dyDescent="0.25">
      <c r="A24" s="17"/>
    </row>
    <row r="25" spans="1:9" x14ac:dyDescent="0.25">
      <c r="A25" s="18"/>
    </row>
    <row r="26" spans="1:9" x14ac:dyDescent="0.25">
      <c r="A26" s="17"/>
    </row>
    <row r="27" spans="1:9" x14ac:dyDescent="0.25">
      <c r="A27" s="17"/>
    </row>
    <row r="28" spans="1:9" x14ac:dyDescent="0.25">
      <c r="A28" s="17"/>
    </row>
    <row r="29" spans="1:9" x14ac:dyDescent="0.25">
      <c r="A29" s="17"/>
    </row>
    <row r="30" spans="1:9" x14ac:dyDescent="0.25">
      <c r="A30" s="17"/>
    </row>
    <row r="31" spans="1:9" x14ac:dyDescent="0.25">
      <c r="A31" s="17"/>
    </row>
    <row r="32" spans="1:9" x14ac:dyDescent="0.25">
      <c r="A32" s="17"/>
    </row>
    <row r="33" spans="1:1" x14ac:dyDescent="0.25">
      <c r="A33" s="17"/>
    </row>
    <row r="34" spans="1:1" x14ac:dyDescent="0.25">
      <c r="A34" s="14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3"/>
  <dimension ref="A1:S21"/>
  <sheetViews>
    <sheetView workbookViewId="0">
      <selection activeCell="B11" sqref="B11:I11"/>
    </sheetView>
  </sheetViews>
  <sheetFormatPr defaultRowHeight="15" x14ac:dyDescent="0.25"/>
  <cols>
    <col min="1" max="1" width="15" customWidth="1"/>
    <col min="11" max="11" width="12.42578125" customWidth="1"/>
  </cols>
  <sheetData>
    <row r="1" spans="1:19" ht="17.25" x14ac:dyDescent="0.25">
      <c r="A1" s="32" t="s">
        <v>12</v>
      </c>
      <c r="B1" s="36">
        <v>2006</v>
      </c>
      <c r="C1" s="36">
        <v>2007</v>
      </c>
      <c r="D1" s="36">
        <v>2008</v>
      </c>
      <c r="E1" s="36">
        <v>2009</v>
      </c>
      <c r="F1" s="36">
        <v>2010</v>
      </c>
      <c r="G1" s="36">
        <v>2011</v>
      </c>
      <c r="H1" s="36">
        <v>2012</v>
      </c>
      <c r="I1" s="36">
        <v>2013</v>
      </c>
      <c r="L1" s="36">
        <v>2006</v>
      </c>
      <c r="M1" s="36">
        <v>2007</v>
      </c>
      <c r="N1" s="36">
        <v>2008</v>
      </c>
      <c r="O1" s="36">
        <v>2009</v>
      </c>
      <c r="P1" s="36">
        <v>2010</v>
      </c>
      <c r="Q1" s="36">
        <v>2011</v>
      </c>
      <c r="R1" s="36">
        <v>2012</v>
      </c>
      <c r="S1" s="36">
        <v>2013</v>
      </c>
    </row>
    <row r="2" spans="1:19" ht="15.75" x14ac:dyDescent="0.25">
      <c r="A2" s="33" t="s">
        <v>24</v>
      </c>
      <c r="K2" s="34" t="s">
        <v>33</v>
      </c>
      <c r="L2">
        <v>47733</v>
      </c>
      <c r="M2">
        <v>62818</v>
      </c>
      <c r="N2">
        <v>35871</v>
      </c>
      <c r="O2">
        <v>53240</v>
      </c>
      <c r="P2">
        <v>64833</v>
      </c>
      <c r="Q2">
        <v>70068</v>
      </c>
      <c r="R2">
        <v>62632</v>
      </c>
      <c r="S2">
        <v>67402</v>
      </c>
    </row>
    <row r="3" spans="1:19" x14ac:dyDescent="0.25">
      <c r="A3" s="34" t="s">
        <v>10</v>
      </c>
      <c r="B3" s="25">
        <f>LN(L2)</f>
        <v>10.773378261575965</v>
      </c>
      <c r="C3" s="25">
        <f t="shared" ref="C3:I3" si="0">LN(M2)</f>
        <v>11.047996935591241</v>
      </c>
      <c r="D3" s="25">
        <f t="shared" si="0"/>
        <v>10.487684448587689</v>
      </c>
      <c r="E3" s="25">
        <f t="shared" si="0"/>
        <v>10.882565272509048</v>
      </c>
      <c r="F3" s="25">
        <f t="shared" si="0"/>
        <v>11.079570011971137</v>
      </c>
      <c r="G3" s="25">
        <f t="shared" si="0"/>
        <v>11.157221478071538</v>
      </c>
      <c r="H3" s="25">
        <f t="shared" si="0"/>
        <v>11.045031608587751</v>
      </c>
      <c r="I3" s="25">
        <f t="shared" si="0"/>
        <v>11.11842997005065</v>
      </c>
      <c r="K3" s="34" t="s">
        <v>27</v>
      </c>
      <c r="L3">
        <v>799</v>
      </c>
      <c r="M3">
        <v>805</v>
      </c>
      <c r="N3">
        <v>1301</v>
      </c>
      <c r="O3">
        <v>1704</v>
      </c>
      <c r="P3">
        <v>2001</v>
      </c>
      <c r="Q3">
        <v>2410</v>
      </c>
      <c r="R3">
        <v>2231</v>
      </c>
      <c r="S3">
        <v>2099</v>
      </c>
    </row>
    <row r="4" spans="1:19" x14ac:dyDescent="0.25">
      <c r="A4" s="34" t="s">
        <v>13</v>
      </c>
      <c r="B4">
        <v>6305</v>
      </c>
      <c r="C4">
        <v>7673</v>
      </c>
      <c r="D4">
        <v>7719</v>
      </c>
      <c r="E4">
        <v>8397</v>
      </c>
      <c r="F4">
        <v>8593</v>
      </c>
      <c r="G4">
        <v>8789</v>
      </c>
      <c r="H4">
        <v>8855</v>
      </c>
      <c r="I4">
        <v>8880</v>
      </c>
      <c r="K4" s="34" t="s">
        <v>28</v>
      </c>
      <c r="L4">
        <v>34422</v>
      </c>
      <c r="M4">
        <v>50267</v>
      </c>
      <c r="N4">
        <v>23530</v>
      </c>
      <c r="O4">
        <v>41675</v>
      </c>
      <c r="P4">
        <v>54425</v>
      </c>
      <c r="Q4">
        <v>59687</v>
      </c>
      <c r="R4">
        <v>58640</v>
      </c>
      <c r="S4">
        <v>65319</v>
      </c>
    </row>
    <row r="5" spans="1:19" x14ac:dyDescent="0.25">
      <c r="A5" s="34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34" t="s">
        <v>53</v>
      </c>
      <c r="L5">
        <v>106</v>
      </c>
      <c r="M5">
        <v>72</v>
      </c>
      <c r="N5">
        <v>505</v>
      </c>
      <c r="O5">
        <v>186</v>
      </c>
      <c r="P5">
        <v>145</v>
      </c>
      <c r="Q5">
        <v>182</v>
      </c>
      <c r="R5">
        <v>453</v>
      </c>
      <c r="S5">
        <v>465</v>
      </c>
    </row>
    <row r="6" spans="1:19" x14ac:dyDescent="0.25">
      <c r="A6" s="34" t="s">
        <v>11</v>
      </c>
      <c r="B6" s="9">
        <f>L3/B4</f>
        <v>0.12672482157018239</v>
      </c>
      <c r="C6" s="9">
        <f t="shared" ref="C6:I6" si="1">M3/C4</f>
        <v>0.10491333246448586</v>
      </c>
      <c r="D6" s="9">
        <f t="shared" si="1"/>
        <v>0.16854514833527659</v>
      </c>
      <c r="E6" s="9">
        <f t="shared" si="1"/>
        <v>0.20292961772061449</v>
      </c>
      <c r="F6" s="9">
        <f t="shared" si="1"/>
        <v>0.23286395903642498</v>
      </c>
      <c r="G6" s="9">
        <f t="shared" si="1"/>
        <v>0.27420639435658212</v>
      </c>
      <c r="H6" s="9">
        <f t="shared" si="1"/>
        <v>0.25194805194805192</v>
      </c>
      <c r="I6" s="9">
        <f t="shared" si="1"/>
        <v>0.23637387387387387</v>
      </c>
      <c r="K6" s="37" t="s">
        <v>62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ht="15.75" x14ac:dyDescent="0.25">
      <c r="A7" s="33" t="s">
        <v>21</v>
      </c>
      <c r="K7" s="34" t="s">
        <v>30</v>
      </c>
      <c r="L7">
        <v>74</v>
      </c>
      <c r="M7">
        <v>58</v>
      </c>
      <c r="N7">
        <v>58</v>
      </c>
      <c r="O7">
        <v>49</v>
      </c>
      <c r="P7">
        <v>76</v>
      </c>
      <c r="Q7">
        <v>76</v>
      </c>
      <c r="R7">
        <v>53</v>
      </c>
      <c r="S7">
        <v>105</v>
      </c>
    </row>
    <row r="8" spans="1:19" x14ac:dyDescent="0.25">
      <c r="A8" s="34" t="s">
        <v>8</v>
      </c>
      <c r="B8" s="9">
        <f>(L2+L14-L4)/L2</f>
        <v>0.9148597406406469</v>
      </c>
      <c r="C8" s="9">
        <f t="shared" ref="C8:I8" si="2">(M2+M14-M4)/M2</f>
        <v>0.81648572065331593</v>
      </c>
      <c r="D8" s="9">
        <f t="shared" si="2"/>
        <v>0.80151096986423576</v>
      </c>
      <c r="E8" s="9">
        <f t="shared" si="2"/>
        <v>0.7742486851990984</v>
      </c>
      <c r="F8" s="9">
        <f t="shared" si="2"/>
        <v>0.74620949207965082</v>
      </c>
      <c r="G8" s="9">
        <f t="shared" si="2"/>
        <v>0.67745618541987784</v>
      </c>
      <c r="H8" s="9">
        <f t="shared" si="2"/>
        <v>0.66252075616298378</v>
      </c>
      <c r="I8" s="9">
        <f t="shared" si="2"/>
        <v>1.2569953413845287</v>
      </c>
      <c r="K8" s="34" t="s">
        <v>34</v>
      </c>
      <c r="L8">
        <v>10207</v>
      </c>
      <c r="M8">
        <v>9511</v>
      </c>
      <c r="N8">
        <v>9537</v>
      </c>
      <c r="O8">
        <v>8836</v>
      </c>
      <c r="P8">
        <v>7725</v>
      </c>
      <c r="Q8">
        <v>7230</v>
      </c>
      <c r="R8">
        <v>3322</v>
      </c>
      <c r="S8">
        <v>1251</v>
      </c>
    </row>
    <row r="9" spans="1:19" x14ac:dyDescent="0.25">
      <c r="A9" s="34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 s="34" t="s">
        <v>31</v>
      </c>
      <c r="L9">
        <v>3926</v>
      </c>
      <c r="M9">
        <v>530</v>
      </c>
      <c r="N9">
        <v>441</v>
      </c>
      <c r="O9">
        <v>535</v>
      </c>
      <c r="P9">
        <v>1563</v>
      </c>
      <c r="Q9">
        <v>2892</v>
      </c>
      <c r="R9">
        <v>7994</v>
      </c>
      <c r="S9">
        <v>2088</v>
      </c>
    </row>
    <row r="10" spans="1:19" x14ac:dyDescent="0.25">
      <c r="A10" s="34" t="s"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K10" s="34" t="s">
        <v>32</v>
      </c>
      <c r="L10">
        <v>11549</v>
      </c>
      <c r="M10">
        <v>16179</v>
      </c>
      <c r="N10">
        <v>-25762</v>
      </c>
      <c r="O10">
        <v>16373</v>
      </c>
      <c r="P10">
        <v>12664</v>
      </c>
      <c r="Q10">
        <v>5853</v>
      </c>
      <c r="R10">
        <v>-2991</v>
      </c>
      <c r="S10">
        <v>8429</v>
      </c>
    </row>
    <row r="11" spans="1:19" x14ac:dyDescent="0.25">
      <c r="A11" s="34" t="s">
        <v>7</v>
      </c>
      <c r="B11" s="9">
        <f>B10/B4</f>
        <v>0</v>
      </c>
      <c r="C11" s="9">
        <f t="shared" ref="C11:I11" si="3">C10/C4</f>
        <v>0</v>
      </c>
      <c r="D11" s="9">
        <f t="shared" si="3"/>
        <v>0</v>
      </c>
      <c r="E11" s="9">
        <f t="shared" si="3"/>
        <v>0</v>
      </c>
      <c r="F11" s="9">
        <f t="shared" si="3"/>
        <v>0</v>
      </c>
      <c r="G11" s="9">
        <f t="shared" si="3"/>
        <v>0</v>
      </c>
      <c r="H11" s="9">
        <f t="shared" si="3"/>
        <v>0</v>
      </c>
      <c r="I11" s="9">
        <f t="shared" si="3"/>
        <v>0</v>
      </c>
      <c r="K11" s="34" t="s">
        <v>54</v>
      </c>
      <c r="L11">
        <v>2923</v>
      </c>
      <c r="M11">
        <v>1698</v>
      </c>
      <c r="N11">
        <v>2555</v>
      </c>
      <c r="O11">
        <v>2173</v>
      </c>
      <c r="P11">
        <v>1648</v>
      </c>
      <c r="Q11">
        <v>3830</v>
      </c>
      <c r="R11">
        <v>2763</v>
      </c>
      <c r="S11">
        <v>827</v>
      </c>
    </row>
    <row r="12" spans="1:19" ht="15.75" x14ac:dyDescent="0.25">
      <c r="A12" s="33" t="s">
        <v>0</v>
      </c>
      <c r="K12" s="34" t="s">
        <v>51</v>
      </c>
    </row>
    <row r="13" spans="1:19" x14ac:dyDescent="0.25">
      <c r="A13" s="34" t="s">
        <v>16</v>
      </c>
      <c r="B13" s="8">
        <f>L7/B4</f>
        <v>1.1736716891356067E-2</v>
      </c>
      <c r="C13" s="8">
        <f t="shared" ref="C13:I13" si="4">M7/C4</f>
        <v>7.5589730222859379E-3</v>
      </c>
      <c r="D13" s="8">
        <f t="shared" si="4"/>
        <v>7.513926674439694E-3</v>
      </c>
      <c r="E13" s="8">
        <f t="shared" si="4"/>
        <v>5.8354174109801118E-3</v>
      </c>
      <c r="F13" s="8">
        <f t="shared" si="4"/>
        <v>8.8444082392645177E-3</v>
      </c>
      <c r="G13" s="8">
        <f t="shared" si="4"/>
        <v>8.647172602116282E-3</v>
      </c>
      <c r="H13" s="8">
        <f t="shared" si="4"/>
        <v>5.9853190287972894E-3</v>
      </c>
      <c r="I13" s="8">
        <f t="shared" si="4"/>
        <v>1.1824324324324325E-2</v>
      </c>
      <c r="K13" s="34" t="s">
        <v>52</v>
      </c>
    </row>
    <row r="14" spans="1:19" x14ac:dyDescent="0.25">
      <c r="A14" s="34" t="s">
        <v>14</v>
      </c>
      <c r="B14" s="8">
        <f>L8/L4</f>
        <v>0.29652547789204581</v>
      </c>
      <c r="C14" s="8">
        <f t="shared" ref="C14:I14" si="5">M8/M4</f>
        <v>0.18920962062585792</v>
      </c>
      <c r="D14" s="8">
        <f t="shared" si="5"/>
        <v>0.40531236719082026</v>
      </c>
      <c r="E14" s="8">
        <f t="shared" si="5"/>
        <v>0.21202159568086382</v>
      </c>
      <c r="F14" s="8">
        <f t="shared" si="5"/>
        <v>0.14193844740468534</v>
      </c>
      <c r="G14" s="8">
        <f t="shared" si="5"/>
        <v>0.12113190476988289</v>
      </c>
      <c r="H14" s="8">
        <f t="shared" si="5"/>
        <v>5.6650750341064121E-2</v>
      </c>
      <c r="I14" s="8">
        <f t="shared" si="5"/>
        <v>1.9152160933265973E-2</v>
      </c>
      <c r="K14" s="34" t="s">
        <v>29</v>
      </c>
      <c r="L14">
        <v>30358</v>
      </c>
      <c r="M14">
        <v>38739</v>
      </c>
      <c r="N14">
        <v>16410</v>
      </c>
      <c r="O14">
        <v>29656</v>
      </c>
      <c r="P14">
        <v>37971</v>
      </c>
      <c r="Q14">
        <v>37087</v>
      </c>
      <c r="R14">
        <v>37503</v>
      </c>
      <c r="S14">
        <v>82641</v>
      </c>
    </row>
    <row r="15" spans="1:19" x14ac:dyDescent="0.25">
      <c r="A15" s="34" t="s">
        <v>40</v>
      </c>
      <c r="B15" s="9">
        <f>L5/L11</f>
        <v>3.6264112213479305E-2</v>
      </c>
      <c r="C15" s="9">
        <f t="shared" ref="C15:I15" si="6">M5/M11</f>
        <v>4.2402826855123678E-2</v>
      </c>
      <c r="D15" s="9">
        <f t="shared" si="6"/>
        <v>0.19765166340508805</v>
      </c>
      <c r="E15" s="9">
        <f t="shared" si="6"/>
        <v>8.5595950299125631E-2</v>
      </c>
      <c r="F15" s="9">
        <f t="shared" si="6"/>
        <v>8.7985436893203886E-2</v>
      </c>
      <c r="G15" s="9">
        <f t="shared" si="6"/>
        <v>4.7519582245430812E-2</v>
      </c>
      <c r="H15" s="9">
        <f t="shared" si="6"/>
        <v>0.16395222584147665</v>
      </c>
      <c r="I15" s="9">
        <f t="shared" si="6"/>
        <v>0.56227327690447404</v>
      </c>
    </row>
    <row r="16" spans="1:19" x14ac:dyDescent="0.25">
      <c r="A16" s="34" t="s">
        <v>15</v>
      </c>
      <c r="B16" s="9">
        <f>L9/B4</f>
        <v>0.62268041237113403</v>
      </c>
      <c r="C16" s="9">
        <f t="shared" ref="C16:I16" si="7">M9/C4</f>
        <v>6.9073374169164606E-2</v>
      </c>
      <c r="D16" s="9">
        <f t="shared" si="7"/>
        <v>5.7131752817722502E-2</v>
      </c>
      <c r="E16" s="9">
        <f t="shared" si="7"/>
        <v>6.3713230915803262E-2</v>
      </c>
      <c r="F16" s="9">
        <f t="shared" si="7"/>
        <v>0.18189223786803213</v>
      </c>
      <c r="G16" s="9">
        <f t="shared" si="7"/>
        <v>0.32904767322789852</v>
      </c>
      <c r="H16" s="9">
        <f t="shared" si="7"/>
        <v>0.90276679841897234</v>
      </c>
      <c r="I16" s="9">
        <f t="shared" si="7"/>
        <v>0.23513513513513515</v>
      </c>
    </row>
    <row r="17" spans="1:9" x14ac:dyDescent="0.25">
      <c r="A17" s="34" t="s">
        <v>9</v>
      </c>
      <c r="B17" s="9">
        <f>L10/L2</f>
        <v>0.24195001361741353</v>
      </c>
      <c r="C17" s="9">
        <f t="shared" ref="C17:I17" si="8">M10/M2</f>
        <v>0.25755356744882041</v>
      </c>
      <c r="D17" s="9">
        <f t="shared" si="8"/>
        <v>-0.71818460594909539</v>
      </c>
      <c r="E17" s="9">
        <f t="shared" si="8"/>
        <v>0.3075319308790383</v>
      </c>
      <c r="F17" s="9">
        <f t="shared" si="8"/>
        <v>0.19533262381811731</v>
      </c>
      <c r="G17" s="9">
        <f t="shared" si="8"/>
        <v>8.3533139236170575E-2</v>
      </c>
      <c r="H17" s="9">
        <f t="shared" si="8"/>
        <v>-4.7755141141908292E-2</v>
      </c>
      <c r="I17" s="9">
        <f t="shared" si="8"/>
        <v>0.12505563633126612</v>
      </c>
    </row>
    <row r="18" spans="1:9" x14ac:dyDescent="0.25">
      <c r="A18" s="34" t="s">
        <v>44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s="34" t="s">
        <v>48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25">
      <c r="A20" s="34" t="s">
        <v>57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s="35" t="s">
        <v>58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4"/>
  <dimension ref="A1:S21"/>
  <sheetViews>
    <sheetView workbookViewId="0">
      <selection activeCell="B11" sqref="B11:I11"/>
    </sheetView>
  </sheetViews>
  <sheetFormatPr defaultRowHeight="15" x14ac:dyDescent="0.25"/>
  <cols>
    <col min="2" max="9" width="9.5703125" bestFit="1" customWidth="1"/>
  </cols>
  <sheetData>
    <row r="1" spans="1:19" ht="17.25" x14ac:dyDescent="0.25">
      <c r="A1" s="32" t="s">
        <v>12</v>
      </c>
      <c r="B1" s="36">
        <v>2006</v>
      </c>
      <c r="C1" s="36">
        <v>2007</v>
      </c>
      <c r="D1" s="36">
        <v>2008</v>
      </c>
      <c r="E1" s="36">
        <v>2009</v>
      </c>
      <c r="F1" s="36">
        <v>2010</v>
      </c>
      <c r="G1" s="36">
        <v>2011</v>
      </c>
      <c r="H1" s="36">
        <v>2012</v>
      </c>
      <c r="I1" s="36">
        <v>2013</v>
      </c>
      <c r="L1" s="36">
        <v>2006</v>
      </c>
      <c r="M1" s="36">
        <v>2007</v>
      </c>
      <c r="N1" s="36">
        <v>2008</v>
      </c>
      <c r="O1" s="36">
        <v>2009</v>
      </c>
      <c r="P1" s="36">
        <v>2010</v>
      </c>
      <c r="Q1" s="36">
        <v>2011</v>
      </c>
      <c r="R1" s="36">
        <v>2012</v>
      </c>
      <c r="S1" s="36">
        <v>2013</v>
      </c>
    </row>
    <row r="2" spans="1:19" ht="15.75" x14ac:dyDescent="0.25">
      <c r="A2" s="33" t="s">
        <v>24</v>
      </c>
      <c r="K2" s="34" t="s">
        <v>33</v>
      </c>
      <c r="L2" s="16">
        <v>14505.666591876376</v>
      </c>
      <c r="M2" s="16">
        <v>13753.074084086511</v>
      </c>
      <c r="N2" s="16">
        <v>16662.407624500003</v>
      </c>
      <c r="O2" s="16">
        <v>14415.281017037545</v>
      </c>
      <c r="P2" s="16">
        <v>15280.533760596258</v>
      </c>
      <c r="Q2" s="16">
        <v>13781.935614551958</v>
      </c>
      <c r="R2" s="16">
        <v>16760.283180100894</v>
      </c>
      <c r="S2" s="16">
        <v>11273.940717799172</v>
      </c>
    </row>
    <row r="3" spans="1:19" x14ac:dyDescent="0.25">
      <c r="A3" s="34" t="s">
        <v>10</v>
      </c>
      <c r="B3" s="9">
        <f>LN(L2)</f>
        <v>9.5822946515062046</v>
      </c>
      <c r="C3" s="9">
        <f t="shared" ref="C3:I3" si="0">LN(M2)</f>
        <v>9.5290176478584705</v>
      </c>
      <c r="D3" s="9">
        <f t="shared" si="0"/>
        <v>9.7209104205556169</v>
      </c>
      <c r="E3" s="9">
        <f t="shared" si="0"/>
        <v>9.5760441046474867</v>
      </c>
      <c r="F3" s="9">
        <f t="shared" si="0"/>
        <v>9.6343349940865988</v>
      </c>
      <c r="G3" s="9">
        <f t="shared" si="0"/>
        <v>9.5311140002005352</v>
      </c>
      <c r="H3" s="9">
        <f t="shared" si="0"/>
        <v>9.7267672700807388</v>
      </c>
      <c r="I3" s="9">
        <f t="shared" si="0"/>
        <v>9.3302492103164631</v>
      </c>
      <c r="K3" s="34" t="s">
        <v>27</v>
      </c>
      <c r="L3" s="16">
        <v>10763.481227386228</v>
      </c>
      <c r="M3" s="16">
        <v>10645.707565268129</v>
      </c>
      <c r="N3" s="16">
        <v>10225.363217770928</v>
      </c>
      <c r="O3" s="16">
        <v>10995.847301221847</v>
      </c>
      <c r="P3" s="16">
        <v>9981.4993864381067</v>
      </c>
      <c r="Q3" s="16">
        <v>9911.7423487194228</v>
      </c>
      <c r="R3" s="16">
        <v>9125.2937848585934</v>
      </c>
      <c r="S3" s="16">
        <v>9793.2278228529376</v>
      </c>
    </row>
    <row r="4" spans="1:19" x14ac:dyDescent="0.25">
      <c r="A4" s="34" t="s">
        <v>13</v>
      </c>
      <c r="B4" s="16">
        <v>12131.704015970439</v>
      </c>
      <c r="C4" s="16">
        <v>12365.401714287094</v>
      </c>
      <c r="D4" s="16">
        <v>12346.518654143201</v>
      </c>
      <c r="E4" s="16">
        <v>12157.026932700704</v>
      </c>
      <c r="F4" s="16">
        <v>13514.02366079169</v>
      </c>
      <c r="G4" s="16">
        <v>11498.156860254932</v>
      </c>
      <c r="H4" s="16">
        <v>11647.97391406</v>
      </c>
      <c r="I4" s="16">
        <v>13069.343619353389</v>
      </c>
      <c r="K4" s="34" t="s">
        <v>28</v>
      </c>
      <c r="L4" s="16">
        <v>4394.3553964642051</v>
      </c>
      <c r="M4" s="16">
        <v>5161.5578971479563</v>
      </c>
      <c r="N4" s="16">
        <v>4821.6142319817482</v>
      </c>
      <c r="O4" s="16">
        <v>5479.0852985335223</v>
      </c>
      <c r="P4" s="16">
        <v>6692.7702129666941</v>
      </c>
      <c r="Q4" s="16">
        <v>6141.1267662612418</v>
      </c>
      <c r="R4" s="16">
        <v>4799.8716202092746</v>
      </c>
      <c r="S4" s="16">
        <v>6652.3854542079462</v>
      </c>
    </row>
    <row r="5" spans="1:19" x14ac:dyDescent="0.25">
      <c r="A5" s="34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34" t="s">
        <v>53</v>
      </c>
      <c r="L5" s="16">
        <v>427.19035230075519</v>
      </c>
      <c r="M5" s="16">
        <v>660.68352379542216</v>
      </c>
      <c r="N5" s="16">
        <v>504.8732904109504</v>
      </c>
      <c r="O5" s="16">
        <v>515.39092852035844</v>
      </c>
      <c r="P5" s="16">
        <v>599.25550030930685</v>
      </c>
      <c r="Q5" s="16">
        <v>458.25448007824798</v>
      </c>
      <c r="R5" s="16">
        <v>605.13505588117562</v>
      </c>
      <c r="S5" s="16">
        <v>504.46345922945272</v>
      </c>
    </row>
    <row r="6" spans="1:19" x14ac:dyDescent="0.25">
      <c r="A6" s="34" t="s">
        <v>11</v>
      </c>
      <c r="B6" s="9">
        <f>L3/B4</f>
        <v>0.88721924085989468</v>
      </c>
      <c r="C6" s="9">
        <f t="shared" ref="C6:I6" si="1">M3/C4</f>
        <v>0.86092694853317897</v>
      </c>
      <c r="D6" s="9">
        <f t="shared" si="1"/>
        <v>0.82819809407079592</v>
      </c>
      <c r="E6" s="9">
        <f t="shared" si="1"/>
        <v>0.90448490096246759</v>
      </c>
      <c r="F6" s="9">
        <f t="shared" si="1"/>
        <v>0.73860307166676675</v>
      </c>
      <c r="G6" s="9">
        <f t="shared" si="1"/>
        <v>0.86202879897914908</v>
      </c>
      <c r="H6" s="9">
        <f t="shared" si="1"/>
        <v>0.78342326761598102</v>
      </c>
      <c r="I6" s="9">
        <f t="shared" si="1"/>
        <v>0.7493282071450702</v>
      </c>
      <c r="K6" s="37" t="s">
        <v>62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ht="15.75" x14ac:dyDescent="0.25">
      <c r="A7" s="33" t="s">
        <v>21</v>
      </c>
      <c r="K7" s="34" t="s">
        <v>30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25">
      <c r="A8" s="34" t="s">
        <v>8</v>
      </c>
      <c r="B8" s="9">
        <f>(L2+L14-L4)/L2</f>
        <v>2.258084838537803</v>
      </c>
      <c r="C8" s="9">
        <f t="shared" ref="C8:I8" si="2">(M2+M14-M4)/M2</f>
        <v>2.1178771622636927</v>
      </c>
      <c r="D8" s="9">
        <f t="shared" si="2"/>
        <v>2.2459142923771309</v>
      </c>
      <c r="E8" s="9">
        <f t="shared" si="2"/>
        <v>1.8808694927168013</v>
      </c>
      <c r="F8" s="9">
        <f t="shared" si="2"/>
        <v>2.453147038431859</v>
      </c>
      <c r="G8" s="9">
        <f t="shared" si="2"/>
        <v>2.5287533447629809</v>
      </c>
      <c r="H8" s="9">
        <f t="shared" si="2"/>
        <v>2.1310428989204664</v>
      </c>
      <c r="I8" s="9">
        <f t="shared" si="2"/>
        <v>2.4896947062030401</v>
      </c>
      <c r="K8" s="34" t="s">
        <v>34</v>
      </c>
      <c r="L8" s="16">
        <v>2405.3139320226464</v>
      </c>
      <c r="M8" s="16">
        <v>1490.416574138138</v>
      </c>
      <c r="N8" s="16">
        <v>1519.2233713270352</v>
      </c>
      <c r="O8" s="16">
        <v>1797.7567941109523</v>
      </c>
      <c r="P8" s="16">
        <v>1615.0712056413477</v>
      </c>
      <c r="Q8" s="16">
        <v>3265.6352183423128</v>
      </c>
      <c r="R8" s="16">
        <v>2357.7339718378125</v>
      </c>
      <c r="S8" s="16">
        <v>2071.8706696062063</v>
      </c>
    </row>
    <row r="9" spans="1:19" x14ac:dyDescent="0.25">
      <c r="A9" s="34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 s="34" t="s">
        <v>31</v>
      </c>
      <c r="L9" s="16">
        <v>205</v>
      </c>
      <c r="M9" s="31">
        <v>244.15768379282511</v>
      </c>
      <c r="N9" s="31">
        <v>139.27520339564995</v>
      </c>
      <c r="O9" s="31">
        <v>208.22405094131494</v>
      </c>
      <c r="P9" s="31">
        <v>229.72686096598429</v>
      </c>
      <c r="Q9" s="31">
        <v>283.34328064051448</v>
      </c>
      <c r="R9" s="31">
        <v>190.64235765767191</v>
      </c>
      <c r="S9" s="31">
        <v>130.32311041546751</v>
      </c>
    </row>
    <row r="10" spans="1:19" x14ac:dyDescent="0.25">
      <c r="A10" s="34" t="s"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K10" s="34" t="s">
        <v>32</v>
      </c>
      <c r="L10" s="16">
        <v>1907.6475098050757</v>
      </c>
      <c r="M10" s="16">
        <v>1990.3204336885683</v>
      </c>
      <c r="N10" s="16">
        <v>1726.2697799690741</v>
      </c>
      <c r="O10" s="16">
        <v>2060.7976343588934</v>
      </c>
      <c r="P10" s="16">
        <v>1825.1865207648043</v>
      </c>
      <c r="Q10" s="16">
        <v>1955.427848825617</v>
      </c>
      <c r="R10" s="16">
        <v>2294.6520578818904</v>
      </c>
      <c r="S10" s="16">
        <v>2159.5775388030488</v>
      </c>
    </row>
    <row r="11" spans="1:19" x14ac:dyDescent="0.25">
      <c r="A11" s="34" t="s">
        <v>7</v>
      </c>
      <c r="B11" s="9">
        <f>B10/B4</f>
        <v>0</v>
      </c>
      <c r="C11" s="9">
        <f t="shared" ref="C11:I11" si="3">C10/C4</f>
        <v>0</v>
      </c>
      <c r="D11" s="9">
        <f t="shared" si="3"/>
        <v>0</v>
      </c>
      <c r="E11" s="9">
        <f t="shared" si="3"/>
        <v>0</v>
      </c>
      <c r="F11" s="9">
        <f t="shared" si="3"/>
        <v>0</v>
      </c>
      <c r="G11" s="9">
        <f t="shared" si="3"/>
        <v>0</v>
      </c>
      <c r="H11" s="9">
        <f t="shared" si="3"/>
        <v>0</v>
      </c>
      <c r="I11" s="9">
        <f t="shared" si="3"/>
        <v>0</v>
      </c>
      <c r="K11" s="34" t="s">
        <v>54</v>
      </c>
      <c r="L11" s="16">
        <v>4430.7427373533346</v>
      </c>
      <c r="M11" s="16">
        <v>4476.7727935252615</v>
      </c>
      <c r="N11" s="16">
        <v>4410.3875713057878</v>
      </c>
      <c r="O11" s="16">
        <v>4337.0935395598617</v>
      </c>
      <c r="P11" s="16">
        <v>5204.8239782444125</v>
      </c>
      <c r="Q11" s="16">
        <v>5370.255695980235</v>
      </c>
      <c r="R11" s="16">
        <v>5103.194145125186</v>
      </c>
      <c r="S11" s="16">
        <v>4817.8604076812162</v>
      </c>
    </row>
    <row r="12" spans="1:19" ht="15.75" x14ac:dyDescent="0.25">
      <c r="A12" s="33" t="s">
        <v>0</v>
      </c>
      <c r="K12" s="34" t="s">
        <v>51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25">
      <c r="A13" s="34" t="s">
        <v>16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K13" s="34" t="s">
        <v>52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 s="34" t="s">
        <v>14</v>
      </c>
      <c r="B14" s="9">
        <f>L8/L4</f>
        <v>0.54736445166861447</v>
      </c>
      <c r="C14" s="9">
        <f t="shared" ref="C14:I14" si="4">M8/M4</f>
        <v>0.28875324152842979</v>
      </c>
      <c r="D14" s="9">
        <f t="shared" si="4"/>
        <v>0.31508604758340736</v>
      </c>
      <c r="E14" s="9">
        <f t="shared" si="4"/>
        <v>0.32811257649011638</v>
      </c>
      <c r="F14" s="9">
        <f t="shared" si="4"/>
        <v>0.24131580111809001</v>
      </c>
      <c r="G14" s="9">
        <f t="shared" si="4"/>
        <v>0.5317648279601388</v>
      </c>
      <c r="H14" s="9">
        <f t="shared" si="4"/>
        <v>0.49120771520447776</v>
      </c>
      <c r="I14" s="9">
        <f t="shared" si="4"/>
        <v>0.31144777822452407</v>
      </c>
      <c r="K14" s="34" t="s">
        <v>29</v>
      </c>
      <c r="L14" s="16">
        <v>22643.714608588201</v>
      </c>
      <c r="M14" s="16">
        <v>20535.80532666892</v>
      </c>
      <c r="N14" s="16">
        <v>25581.546036759977</v>
      </c>
      <c r="O14" s="16">
        <v>18177.066575381519</v>
      </c>
      <c r="P14" s="16">
        <v>28897.632592835183</v>
      </c>
      <c r="Q14" s="16">
        <v>27210.306934315602</v>
      </c>
      <c r="R14" s="16">
        <v>23756.470894958529</v>
      </c>
      <c r="S14" s="16">
        <v>23447.115259560276</v>
      </c>
    </row>
    <row r="15" spans="1:19" x14ac:dyDescent="0.25">
      <c r="A15" s="34" t="s">
        <v>40</v>
      </c>
      <c r="B15" s="8">
        <f>L5/L11</f>
        <v>9.6415065740407577E-2</v>
      </c>
      <c r="C15" s="8">
        <f t="shared" ref="C15:I15" si="5">M5/M11</f>
        <v>0.14758031159208393</v>
      </c>
      <c r="D15" s="8">
        <f t="shared" si="5"/>
        <v>0.11447367884303013</v>
      </c>
      <c r="E15" s="8">
        <f t="shared" si="5"/>
        <v>0.118833251766265</v>
      </c>
      <c r="F15" s="8">
        <f t="shared" si="5"/>
        <v>0.11513463333517683</v>
      </c>
      <c r="G15" s="8">
        <f t="shared" si="5"/>
        <v>8.5331966673628301E-2</v>
      </c>
      <c r="H15" s="8">
        <f t="shared" si="5"/>
        <v>0.11857966572939997</v>
      </c>
      <c r="I15" s="8">
        <f t="shared" si="5"/>
        <v>0.10470694801060985</v>
      </c>
    </row>
    <row r="16" spans="1:19" x14ac:dyDescent="0.25">
      <c r="A16" s="34" t="s">
        <v>15</v>
      </c>
      <c r="B16" s="8">
        <f>L9/B4</f>
        <v>1.6897873516377712E-2</v>
      </c>
      <c r="C16" s="8">
        <f t="shared" ref="C16:I16" si="6">M9/C4</f>
        <v>1.9745228617257388E-2</v>
      </c>
      <c r="D16" s="8">
        <f t="shared" si="6"/>
        <v>1.1280524275473594E-2</v>
      </c>
      <c r="E16" s="8">
        <f t="shared" si="6"/>
        <v>1.7127876091252322E-2</v>
      </c>
      <c r="F16" s="8">
        <f t="shared" si="6"/>
        <v>1.6999145978446973E-2</v>
      </c>
      <c r="G16" s="8">
        <f t="shared" si="6"/>
        <v>2.464249566988707E-2</v>
      </c>
      <c r="H16" s="8">
        <f t="shared" si="6"/>
        <v>1.6366997304788942E-2</v>
      </c>
      <c r="I16" s="8">
        <f t="shared" si="6"/>
        <v>9.9716645465256579E-3</v>
      </c>
    </row>
    <row r="17" spans="1:9" x14ac:dyDescent="0.25">
      <c r="A17" s="34" t="s">
        <v>9</v>
      </c>
      <c r="B17" s="9">
        <f>L10/L2</f>
        <v>0.13151050299704375</v>
      </c>
      <c r="C17" s="9">
        <f t="shared" ref="C17:I17" si="7">M10/M2</f>
        <v>0.14471822237848192</v>
      </c>
      <c r="D17" s="9">
        <f t="shared" si="7"/>
        <v>0.103602661684426</v>
      </c>
      <c r="E17" s="9">
        <f t="shared" si="7"/>
        <v>0.14295924109444824</v>
      </c>
      <c r="F17" s="9">
        <f t="shared" si="7"/>
        <v>0.11944520717407087</v>
      </c>
      <c r="G17" s="9">
        <f t="shared" si="7"/>
        <v>0.14188339747872106</v>
      </c>
      <c r="H17" s="9">
        <f t="shared" si="7"/>
        <v>0.13691010069604784</v>
      </c>
      <c r="I17" s="9">
        <f t="shared" si="7"/>
        <v>0.19155480704218461</v>
      </c>
    </row>
    <row r="18" spans="1:9" x14ac:dyDescent="0.25">
      <c r="A18" s="34" t="s">
        <v>44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s="34" t="s">
        <v>48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25">
      <c r="A20" s="34" t="s">
        <v>57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s="35" t="s">
        <v>58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5"/>
  <dimension ref="A1:S21"/>
  <sheetViews>
    <sheetView workbookViewId="0">
      <selection activeCell="B11" sqref="B11:I11"/>
    </sheetView>
  </sheetViews>
  <sheetFormatPr defaultRowHeight="15" x14ac:dyDescent="0.25"/>
  <sheetData>
    <row r="1" spans="1:19" ht="17.25" x14ac:dyDescent="0.25">
      <c r="A1" s="32" t="s">
        <v>12</v>
      </c>
      <c r="B1" s="36">
        <v>2006</v>
      </c>
      <c r="C1" s="36">
        <v>2007</v>
      </c>
      <c r="D1" s="36">
        <v>2008</v>
      </c>
      <c r="E1" s="36">
        <v>2009</v>
      </c>
      <c r="F1" s="36">
        <v>2010</v>
      </c>
      <c r="G1" s="36">
        <v>2011</v>
      </c>
      <c r="H1" s="36">
        <v>2012</v>
      </c>
      <c r="I1" s="36">
        <v>2013</v>
      </c>
      <c r="L1" s="36">
        <v>2006</v>
      </c>
      <c r="M1" s="36">
        <v>2007</v>
      </c>
      <c r="N1" s="36">
        <v>2008</v>
      </c>
      <c r="O1" s="36">
        <v>2009</v>
      </c>
      <c r="P1" s="36">
        <v>2010</v>
      </c>
      <c r="Q1" s="36">
        <v>2011</v>
      </c>
      <c r="R1" s="36">
        <v>2012</v>
      </c>
      <c r="S1" s="36">
        <v>2013</v>
      </c>
    </row>
    <row r="2" spans="1:19" ht="15.75" x14ac:dyDescent="0.25">
      <c r="A2" s="33" t="s">
        <v>24</v>
      </c>
      <c r="K2" s="34" t="s">
        <v>33</v>
      </c>
      <c r="L2">
        <v>6064</v>
      </c>
      <c r="M2">
        <v>7043</v>
      </c>
      <c r="N2">
        <v>5414</v>
      </c>
      <c r="O2">
        <v>4717</v>
      </c>
      <c r="P2">
        <v>5078</v>
      </c>
      <c r="Q2">
        <v>5506</v>
      </c>
      <c r="R2">
        <v>5842</v>
      </c>
      <c r="S2">
        <v>6095</v>
      </c>
    </row>
    <row r="3" spans="1:19" x14ac:dyDescent="0.25">
      <c r="A3" s="34" t="s">
        <v>10</v>
      </c>
      <c r="B3" s="25">
        <f>LN(L2)</f>
        <v>8.710124927322207</v>
      </c>
      <c r="C3" s="25">
        <f t="shared" ref="C3:I3" si="0">LN(M2)</f>
        <v>8.8597894947454101</v>
      </c>
      <c r="D3" s="25">
        <f t="shared" si="0"/>
        <v>8.5967434701742462</v>
      </c>
      <c r="E3" s="25">
        <f t="shared" si="0"/>
        <v>8.4589282832842621</v>
      </c>
      <c r="F3" s="25">
        <f t="shared" si="0"/>
        <v>8.5326727622646246</v>
      </c>
      <c r="G3" s="25">
        <f t="shared" si="0"/>
        <v>8.6135936857025523</v>
      </c>
      <c r="H3" s="25">
        <f t="shared" si="0"/>
        <v>8.6728284829476863</v>
      </c>
      <c r="I3" s="25">
        <f t="shared" si="0"/>
        <v>8.7152240419153717</v>
      </c>
      <c r="K3" s="34" t="s">
        <v>27</v>
      </c>
      <c r="L3">
        <v>5339</v>
      </c>
      <c r="M3">
        <v>5622</v>
      </c>
      <c r="N3">
        <v>5490</v>
      </c>
      <c r="O3">
        <v>5330</v>
      </c>
      <c r="P3">
        <v>5800</v>
      </c>
      <c r="Q3">
        <v>5929</v>
      </c>
      <c r="R3">
        <v>6520</v>
      </c>
      <c r="S3">
        <v>6082</v>
      </c>
    </row>
    <row r="4" spans="1:19" x14ac:dyDescent="0.25">
      <c r="A4" s="34" t="s">
        <v>13</v>
      </c>
      <c r="B4">
        <v>14056</v>
      </c>
      <c r="C4">
        <v>15402</v>
      </c>
      <c r="D4">
        <v>14280</v>
      </c>
      <c r="E4">
        <v>13700</v>
      </c>
      <c r="F4">
        <v>16257</v>
      </c>
      <c r="G4">
        <v>18160</v>
      </c>
      <c r="H4">
        <v>17662</v>
      </c>
      <c r="I4">
        <v>17656</v>
      </c>
      <c r="K4" s="34" t="s">
        <v>28</v>
      </c>
      <c r="L4">
        <v>1684</v>
      </c>
      <c r="M4">
        <v>1507</v>
      </c>
      <c r="N4">
        <v>1229</v>
      </c>
      <c r="O4">
        <v>1425</v>
      </c>
      <c r="P4">
        <v>1739</v>
      </c>
      <c r="Q4">
        <v>1813</v>
      </c>
      <c r="R4">
        <v>1586</v>
      </c>
      <c r="S4">
        <v>1823</v>
      </c>
    </row>
    <row r="5" spans="1:19" x14ac:dyDescent="0.25">
      <c r="A5" s="34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34" t="s">
        <v>53</v>
      </c>
      <c r="L5">
        <v>121</v>
      </c>
      <c r="M5">
        <v>97</v>
      </c>
      <c r="N5">
        <v>98</v>
      </c>
      <c r="O5">
        <v>119</v>
      </c>
      <c r="P5">
        <v>68</v>
      </c>
      <c r="Q5">
        <v>97</v>
      </c>
      <c r="R5">
        <v>62</v>
      </c>
      <c r="S5">
        <v>155</v>
      </c>
    </row>
    <row r="6" spans="1:19" x14ac:dyDescent="0.25">
      <c r="A6" s="34" t="s">
        <v>11</v>
      </c>
      <c r="B6" s="9">
        <f>L3/B4</f>
        <v>0.37983779169038134</v>
      </c>
      <c r="C6" s="9">
        <f t="shared" ref="C6:I6" si="1">M3/C4</f>
        <v>0.36501753019088429</v>
      </c>
      <c r="D6" s="9">
        <f t="shared" si="1"/>
        <v>0.38445378151260506</v>
      </c>
      <c r="E6" s="9">
        <f t="shared" si="1"/>
        <v>0.38905109489051093</v>
      </c>
      <c r="F6" s="9">
        <f t="shared" si="1"/>
        <v>0.35676939164667526</v>
      </c>
      <c r="G6" s="9">
        <f t="shared" si="1"/>
        <v>0.32648678414096916</v>
      </c>
      <c r="H6" s="9">
        <f t="shared" si="1"/>
        <v>0.36915411618163291</v>
      </c>
      <c r="I6" s="9">
        <f t="shared" si="1"/>
        <v>0.34447213411871319</v>
      </c>
      <c r="K6" s="37" t="s">
        <v>62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ht="15.75" x14ac:dyDescent="0.25">
      <c r="A7" s="33" t="s">
        <v>21</v>
      </c>
      <c r="K7" s="34" t="s">
        <v>30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25">
      <c r="A8" s="34" t="s">
        <v>8</v>
      </c>
      <c r="B8" s="25">
        <f>(L2+L14-L4)/L2</f>
        <v>1.1428100263852243</v>
      </c>
      <c r="C8" s="25">
        <f t="shared" ref="C8:I8" si="2">(M2+M14-M4)/M2</f>
        <v>1.0983955700695727</v>
      </c>
      <c r="D8" s="25">
        <f t="shared" si="2"/>
        <v>0.83671961581086074</v>
      </c>
      <c r="E8" s="25">
        <f t="shared" si="2"/>
        <v>1.0718677125291498</v>
      </c>
      <c r="F8" s="25">
        <f t="shared" si="2"/>
        <v>1.292044111855061</v>
      </c>
      <c r="G8" s="25">
        <f t="shared" si="2"/>
        <v>1.1113330911732655</v>
      </c>
      <c r="H8" s="25">
        <f t="shared" si="2"/>
        <v>1.1304347826086956</v>
      </c>
      <c r="I8" s="25">
        <f t="shared" si="2"/>
        <v>1.3773584905660377</v>
      </c>
      <c r="K8" s="34" t="s">
        <v>34</v>
      </c>
      <c r="L8">
        <v>491</v>
      </c>
      <c r="M8">
        <v>1683</v>
      </c>
      <c r="N8">
        <v>1167</v>
      </c>
      <c r="O8">
        <v>579</v>
      </c>
      <c r="P8">
        <v>603</v>
      </c>
      <c r="Q8">
        <v>880</v>
      </c>
      <c r="R8">
        <v>624</v>
      </c>
      <c r="S8">
        <v>720</v>
      </c>
    </row>
    <row r="9" spans="1:19" x14ac:dyDescent="0.25">
      <c r="A9" s="34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 s="34" t="s">
        <v>31</v>
      </c>
      <c r="L9">
        <v>74</v>
      </c>
      <c r="M9">
        <v>135</v>
      </c>
      <c r="N9">
        <v>49</v>
      </c>
      <c r="O9">
        <v>103</v>
      </c>
      <c r="P9">
        <v>253</v>
      </c>
      <c r="Q9">
        <v>333</v>
      </c>
      <c r="R9">
        <v>643</v>
      </c>
      <c r="S9">
        <v>805</v>
      </c>
    </row>
    <row r="10" spans="1:19" x14ac:dyDescent="0.25">
      <c r="A10" s="34" t="s"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K10" s="34" t="s">
        <v>32</v>
      </c>
      <c r="L10">
        <v>93</v>
      </c>
      <c r="M10">
        <v>100</v>
      </c>
      <c r="N10">
        <v>-110</v>
      </c>
      <c r="O10">
        <v>114</v>
      </c>
      <c r="P10">
        <v>407</v>
      </c>
      <c r="Q10">
        <v>420</v>
      </c>
      <c r="R10">
        <v>156</v>
      </c>
      <c r="S10">
        <v>290</v>
      </c>
    </row>
    <row r="11" spans="1:19" x14ac:dyDescent="0.25">
      <c r="A11" s="34" t="s">
        <v>7</v>
      </c>
      <c r="B11" s="9">
        <f>B10/B4</f>
        <v>0</v>
      </c>
      <c r="C11" s="9">
        <f t="shared" ref="C11:I11" si="3">C10/C4</f>
        <v>0</v>
      </c>
      <c r="D11" s="9">
        <f t="shared" si="3"/>
        <v>0</v>
      </c>
      <c r="E11" s="9">
        <f t="shared" si="3"/>
        <v>0</v>
      </c>
      <c r="F11" s="9">
        <f t="shared" si="3"/>
        <v>0</v>
      </c>
      <c r="G11" s="9">
        <f t="shared" si="3"/>
        <v>0</v>
      </c>
      <c r="H11" s="9">
        <f t="shared" si="3"/>
        <v>0</v>
      </c>
      <c r="I11" s="9">
        <f t="shared" si="3"/>
        <v>0</v>
      </c>
      <c r="K11" s="34" t="s">
        <v>54</v>
      </c>
      <c r="L11">
        <v>2848</v>
      </c>
      <c r="M11">
        <v>3382</v>
      </c>
      <c r="N11">
        <v>2886</v>
      </c>
      <c r="O11">
        <v>2203</v>
      </c>
      <c r="P11">
        <v>2230</v>
      </c>
      <c r="Q11">
        <v>2433</v>
      </c>
      <c r="R11">
        <v>2741</v>
      </c>
      <c r="S11">
        <v>2861</v>
      </c>
    </row>
    <row r="12" spans="1:19" ht="15.75" x14ac:dyDescent="0.25">
      <c r="A12" s="33" t="s">
        <v>0</v>
      </c>
      <c r="K12" s="34" t="s">
        <v>51</v>
      </c>
    </row>
    <row r="13" spans="1:19" x14ac:dyDescent="0.25">
      <c r="A13" s="34" t="s">
        <v>16</v>
      </c>
      <c r="B13">
        <f>L7/B4</f>
        <v>0</v>
      </c>
      <c r="C13">
        <f t="shared" ref="C13:I13" si="4">M7/C4</f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K13" s="34" t="s">
        <v>52</v>
      </c>
    </row>
    <row r="14" spans="1:19" x14ac:dyDescent="0.25">
      <c r="A14" s="34" t="s">
        <v>14</v>
      </c>
      <c r="B14" s="9">
        <f>L8/L4</f>
        <v>0.29156769596199528</v>
      </c>
      <c r="C14" s="9">
        <f t="shared" ref="C14:I14" si="5">M8/M4</f>
        <v>1.1167883211678833</v>
      </c>
      <c r="D14" s="9">
        <f t="shared" si="5"/>
        <v>0.94955248169243289</v>
      </c>
      <c r="E14" s="9">
        <f t="shared" si="5"/>
        <v>0.40631578947368419</v>
      </c>
      <c r="F14" s="9">
        <f t="shared" si="5"/>
        <v>0.3467510063254744</v>
      </c>
      <c r="G14" s="9">
        <f t="shared" si="5"/>
        <v>0.48538334252619969</v>
      </c>
      <c r="H14" s="9">
        <f t="shared" si="5"/>
        <v>0.39344262295081966</v>
      </c>
      <c r="I14" s="9">
        <f t="shared" si="5"/>
        <v>0.39495337356006582</v>
      </c>
      <c r="K14" s="34" t="s">
        <v>29</v>
      </c>
      <c r="L14">
        <v>2550</v>
      </c>
      <c r="M14">
        <v>2200</v>
      </c>
      <c r="N14">
        <v>345</v>
      </c>
      <c r="O14">
        <v>1764</v>
      </c>
      <c r="P14">
        <v>3222</v>
      </c>
      <c r="Q14">
        <v>2426</v>
      </c>
      <c r="R14">
        <v>2348</v>
      </c>
      <c r="S14">
        <v>4123</v>
      </c>
    </row>
    <row r="15" spans="1:19" x14ac:dyDescent="0.25">
      <c r="A15" s="34" t="s">
        <v>40</v>
      </c>
      <c r="B15" s="9">
        <f>L5/L11</f>
        <v>4.2485955056179775E-2</v>
      </c>
      <c r="C15" s="9">
        <f t="shared" ref="C15:I15" si="6">M5/M11</f>
        <v>2.8681253696037846E-2</v>
      </c>
      <c r="D15" s="9">
        <f t="shared" si="6"/>
        <v>3.3957033957033957E-2</v>
      </c>
      <c r="E15" s="9">
        <f t="shared" si="6"/>
        <v>5.4017249205628691E-2</v>
      </c>
      <c r="F15" s="9">
        <f t="shared" si="6"/>
        <v>3.0493273542600896E-2</v>
      </c>
      <c r="G15" s="9">
        <f t="shared" si="6"/>
        <v>3.9868475133579939E-2</v>
      </c>
      <c r="H15" s="9">
        <f t="shared" si="6"/>
        <v>2.2619481940897482E-2</v>
      </c>
      <c r="I15" s="9">
        <f t="shared" si="6"/>
        <v>5.4176861237329607E-2</v>
      </c>
    </row>
    <row r="16" spans="1:19" x14ac:dyDescent="0.25">
      <c r="A16" s="34" t="s">
        <v>15</v>
      </c>
      <c r="B16" s="8">
        <f>L9/B4</f>
        <v>5.2646556630620376E-3</v>
      </c>
      <c r="C16" s="8">
        <f t="shared" ref="C16:I16" si="7">M9/C4</f>
        <v>8.7650954421503707E-3</v>
      </c>
      <c r="D16" s="8">
        <f t="shared" si="7"/>
        <v>3.4313725490196078E-3</v>
      </c>
      <c r="E16" s="8">
        <f t="shared" si="7"/>
        <v>7.5182481751824822E-3</v>
      </c>
      <c r="F16" s="8">
        <f t="shared" si="7"/>
        <v>1.5562526911484284E-2</v>
      </c>
      <c r="G16" s="8">
        <f t="shared" si="7"/>
        <v>1.8337004405286343E-2</v>
      </c>
      <c r="H16" s="8">
        <f t="shared" si="7"/>
        <v>3.6405843052881894E-2</v>
      </c>
      <c r="I16" s="8">
        <f t="shared" si="7"/>
        <v>4.559356592659719E-2</v>
      </c>
    </row>
    <row r="17" spans="1:9" x14ac:dyDescent="0.25">
      <c r="A17" s="34" t="s">
        <v>9</v>
      </c>
      <c r="B17" s="8">
        <f>L10/L2</f>
        <v>1.533641160949868E-2</v>
      </c>
      <c r="C17" s="8">
        <f t="shared" ref="C17:I17" si="8">M10/M2</f>
        <v>1.419849495953429E-2</v>
      </c>
      <c r="D17" s="8">
        <f t="shared" si="8"/>
        <v>-2.0317694865164389E-2</v>
      </c>
      <c r="E17" s="8">
        <f t="shared" si="8"/>
        <v>2.4167903328386687E-2</v>
      </c>
      <c r="F17" s="8">
        <f t="shared" si="8"/>
        <v>8.014966522252856E-2</v>
      </c>
      <c r="G17" s="8">
        <f t="shared" si="8"/>
        <v>7.628042135851798E-2</v>
      </c>
      <c r="H17" s="8">
        <f t="shared" si="8"/>
        <v>2.670318384115029E-2</v>
      </c>
      <c r="I17" s="8">
        <f t="shared" si="8"/>
        <v>4.7579983593109103E-2</v>
      </c>
    </row>
    <row r="18" spans="1:9" x14ac:dyDescent="0.25">
      <c r="A18" s="34" t="s">
        <v>44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s="34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s="34" t="s">
        <v>57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s="35" t="s">
        <v>58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6"/>
  <dimension ref="A1:S21"/>
  <sheetViews>
    <sheetView topLeftCell="A4" workbookViewId="0">
      <selection activeCell="B11" sqref="B11:I11"/>
    </sheetView>
  </sheetViews>
  <sheetFormatPr defaultRowHeight="15" x14ac:dyDescent="0.25"/>
  <cols>
    <col min="11" max="11" width="18.85546875" customWidth="1"/>
  </cols>
  <sheetData>
    <row r="1" spans="1:19" ht="17.25" x14ac:dyDescent="0.25">
      <c r="A1" s="32" t="s">
        <v>12</v>
      </c>
      <c r="B1" s="36">
        <v>2006</v>
      </c>
      <c r="C1" s="36">
        <v>2007</v>
      </c>
      <c r="D1" s="36">
        <v>2008</v>
      </c>
      <c r="E1" s="36">
        <v>2009</v>
      </c>
      <c r="F1" s="36">
        <v>2010</v>
      </c>
      <c r="G1" s="36">
        <v>2011</v>
      </c>
      <c r="H1" s="36">
        <v>2012</v>
      </c>
      <c r="I1" s="36">
        <v>2013</v>
      </c>
      <c r="L1" s="36">
        <v>2006</v>
      </c>
      <c r="M1" s="36">
        <v>2007</v>
      </c>
      <c r="N1" s="36">
        <v>2008</v>
      </c>
      <c r="O1" s="36">
        <v>2009</v>
      </c>
      <c r="P1" s="36">
        <v>2010</v>
      </c>
      <c r="Q1" s="36">
        <v>2011</v>
      </c>
      <c r="R1" s="36">
        <v>2012</v>
      </c>
      <c r="S1" s="36">
        <v>2013</v>
      </c>
    </row>
    <row r="2" spans="1:19" ht="15.75" x14ac:dyDescent="0.25">
      <c r="A2" s="33" t="s">
        <v>24</v>
      </c>
      <c r="K2" s="34" t="s">
        <v>33</v>
      </c>
      <c r="L2">
        <v>1542</v>
      </c>
      <c r="M2">
        <v>1985</v>
      </c>
      <c r="N2">
        <v>2219</v>
      </c>
      <c r="O2">
        <v>4007</v>
      </c>
      <c r="P2">
        <v>3969</v>
      </c>
      <c r="Q2">
        <v>5092</v>
      </c>
      <c r="R2">
        <v>5013</v>
      </c>
      <c r="S2">
        <v>5109</v>
      </c>
    </row>
    <row r="3" spans="1:19" x14ac:dyDescent="0.25">
      <c r="A3" s="34" t="s">
        <v>10</v>
      </c>
      <c r="B3" s="9">
        <f>LN(L2)</f>
        <v>7.3408355541232746</v>
      </c>
      <c r="C3" s="9">
        <f t="shared" ref="C3:I3" si="0">LN(M2)</f>
        <v>7.5933741931212904</v>
      </c>
      <c r="D3" s="9">
        <f t="shared" si="0"/>
        <v>7.7048119229325938</v>
      </c>
      <c r="E3" s="9">
        <f t="shared" si="0"/>
        <v>8.2957981106361451</v>
      </c>
      <c r="F3" s="9">
        <f t="shared" si="0"/>
        <v>8.2862694527830651</v>
      </c>
      <c r="G3" s="9">
        <f t="shared" si="0"/>
        <v>8.5354259596772977</v>
      </c>
      <c r="H3" s="9">
        <f t="shared" si="0"/>
        <v>8.5197898172635043</v>
      </c>
      <c r="I3" s="9">
        <f t="shared" si="0"/>
        <v>8.5387589693307984</v>
      </c>
      <c r="K3" s="34" t="s">
        <v>27</v>
      </c>
      <c r="L3">
        <v>1742</v>
      </c>
      <c r="M3">
        <v>2154</v>
      </c>
      <c r="N3">
        <v>2425</v>
      </c>
      <c r="O3">
        <v>4493</v>
      </c>
      <c r="P3">
        <v>4661</v>
      </c>
      <c r="Q3">
        <v>5510</v>
      </c>
      <c r="R3">
        <v>6537</v>
      </c>
      <c r="S3">
        <v>6270</v>
      </c>
    </row>
    <row r="4" spans="1:19" x14ac:dyDescent="0.25">
      <c r="A4" s="34" t="s">
        <v>13</v>
      </c>
      <c r="B4">
        <v>2592</v>
      </c>
      <c r="C4">
        <v>3136</v>
      </c>
      <c r="D4">
        <v>3357</v>
      </c>
      <c r="E4">
        <v>5263</v>
      </c>
      <c r="F4">
        <v>4992</v>
      </c>
      <c r="G4">
        <v>5846</v>
      </c>
      <c r="H4">
        <v>6758</v>
      </c>
      <c r="I4">
        <v>6595</v>
      </c>
      <c r="K4" s="34" t="s">
        <v>28</v>
      </c>
      <c r="L4">
        <v>536</v>
      </c>
      <c r="M4">
        <v>727</v>
      </c>
      <c r="N4">
        <v>990</v>
      </c>
      <c r="O4">
        <v>2176</v>
      </c>
      <c r="P4">
        <v>2359</v>
      </c>
      <c r="Q4">
        <v>2419</v>
      </c>
      <c r="R4">
        <v>2340</v>
      </c>
      <c r="S4">
        <v>2417</v>
      </c>
    </row>
    <row r="5" spans="1:19" x14ac:dyDescent="0.25">
      <c r="A5" s="34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34" t="s">
        <v>53</v>
      </c>
      <c r="L5">
        <v>78</v>
      </c>
      <c r="M5">
        <v>81</v>
      </c>
      <c r="N5">
        <v>104</v>
      </c>
      <c r="O5">
        <v>334</v>
      </c>
      <c r="P5">
        <v>174</v>
      </c>
      <c r="Q5">
        <v>237</v>
      </c>
      <c r="R5">
        <v>188</v>
      </c>
      <c r="S5">
        <v>181</v>
      </c>
    </row>
    <row r="6" spans="1:19" x14ac:dyDescent="0.25">
      <c r="A6" s="34" t="s">
        <v>11</v>
      </c>
      <c r="B6" s="9">
        <f>L3/B4</f>
        <v>0.67206790123456794</v>
      </c>
      <c r="C6" s="9">
        <f t="shared" ref="C6:I6" si="1">M3/C4</f>
        <v>0.68686224489795922</v>
      </c>
      <c r="D6" s="9">
        <f t="shared" si="1"/>
        <v>0.72237116473041407</v>
      </c>
      <c r="E6" s="9">
        <f t="shared" si="1"/>
        <v>0.85369561086832602</v>
      </c>
      <c r="F6" s="9">
        <f t="shared" si="1"/>
        <v>0.93369391025641024</v>
      </c>
      <c r="G6" s="9">
        <f t="shared" si="1"/>
        <v>0.942524803284297</v>
      </c>
      <c r="H6" s="9">
        <f t="shared" si="1"/>
        <v>0.96729801716484165</v>
      </c>
      <c r="I6" s="9">
        <f t="shared" si="1"/>
        <v>0.95072024260803634</v>
      </c>
      <c r="K6" s="37" t="s">
        <v>62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ht="15.75" x14ac:dyDescent="0.25">
      <c r="A7" s="33" t="s">
        <v>21</v>
      </c>
      <c r="K7" s="34" t="s">
        <v>30</v>
      </c>
      <c r="L7">
        <v>2.2999999999999998</v>
      </c>
      <c r="M7">
        <v>7</v>
      </c>
      <c r="N7">
        <v>1.9</v>
      </c>
      <c r="O7">
        <v>1</v>
      </c>
      <c r="P7">
        <v>1.2</v>
      </c>
      <c r="Q7">
        <v>0</v>
      </c>
      <c r="R7">
        <v>0</v>
      </c>
      <c r="S7">
        <v>0</v>
      </c>
    </row>
    <row r="8" spans="1:19" x14ac:dyDescent="0.25">
      <c r="A8" s="34" t="s">
        <v>8</v>
      </c>
      <c r="B8" s="25">
        <f>(L2+L14-L4)/L2</f>
        <v>1.5278858625162126</v>
      </c>
      <c r="C8" s="25">
        <f t="shared" ref="C8:I8" si="2">(M2+M14-M4)/M2</f>
        <v>2.7576826196473552</v>
      </c>
      <c r="D8" s="25">
        <f t="shared" si="2"/>
        <v>1.1649391617845877</v>
      </c>
      <c r="E8" s="25">
        <f t="shared" si="2"/>
        <v>1.366109308709758</v>
      </c>
      <c r="F8" s="25">
        <f t="shared" si="2"/>
        <v>1.9040060468631896</v>
      </c>
      <c r="G8" s="25">
        <f t="shared" si="2"/>
        <v>1.4363707776904948</v>
      </c>
      <c r="H8" s="25">
        <f t="shared" si="2"/>
        <v>1.4484340714143227</v>
      </c>
      <c r="I8" s="25">
        <f t="shared" si="2"/>
        <v>1.6003131728322568</v>
      </c>
      <c r="K8" s="34" t="s">
        <v>34</v>
      </c>
      <c r="L8">
        <v>565</v>
      </c>
      <c r="M8">
        <v>699</v>
      </c>
      <c r="N8">
        <v>722</v>
      </c>
      <c r="O8">
        <v>734</v>
      </c>
      <c r="P8">
        <v>570</v>
      </c>
      <c r="Q8">
        <v>1399</v>
      </c>
      <c r="R8">
        <v>1417</v>
      </c>
      <c r="S8">
        <v>1393</v>
      </c>
    </row>
    <row r="9" spans="1:19" x14ac:dyDescent="0.25">
      <c r="A9" s="34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 s="34" t="s">
        <v>31</v>
      </c>
      <c r="L9">
        <v>34</v>
      </c>
      <c r="M9">
        <v>290</v>
      </c>
      <c r="N9">
        <v>92</v>
      </c>
      <c r="O9">
        <v>1133</v>
      </c>
      <c r="P9">
        <v>36.299999999999997</v>
      </c>
      <c r="Q9">
        <v>1005</v>
      </c>
      <c r="R9">
        <v>88.3</v>
      </c>
      <c r="S9">
        <v>57.6</v>
      </c>
    </row>
    <row r="10" spans="1:19" x14ac:dyDescent="0.25">
      <c r="A10" s="34" t="s"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K10" s="34" t="s">
        <v>32</v>
      </c>
      <c r="L10">
        <v>109</v>
      </c>
      <c r="M10">
        <v>212</v>
      </c>
      <c r="N10">
        <v>255</v>
      </c>
      <c r="O10">
        <v>206</v>
      </c>
      <c r="P10">
        <v>259</v>
      </c>
      <c r="Q10">
        <v>374</v>
      </c>
      <c r="R10">
        <v>306</v>
      </c>
      <c r="S10">
        <v>244.2</v>
      </c>
    </row>
    <row r="11" spans="1:19" x14ac:dyDescent="0.25">
      <c r="A11" s="34" t="s">
        <v>7</v>
      </c>
      <c r="B11" s="9">
        <f>B10/B4</f>
        <v>0</v>
      </c>
      <c r="C11" s="9">
        <f t="shared" ref="C11:I11" si="3">C10/C4</f>
        <v>0</v>
      </c>
      <c r="D11" s="9">
        <f t="shared" si="3"/>
        <v>0</v>
      </c>
      <c r="E11" s="9">
        <f t="shared" si="3"/>
        <v>0</v>
      </c>
      <c r="F11" s="9">
        <f t="shared" si="3"/>
        <v>0</v>
      </c>
      <c r="G11" s="9">
        <f t="shared" si="3"/>
        <v>0</v>
      </c>
      <c r="H11" s="9">
        <f t="shared" si="3"/>
        <v>0</v>
      </c>
      <c r="I11" s="9">
        <f t="shared" si="3"/>
        <v>0</v>
      </c>
      <c r="K11" s="34" t="s">
        <v>54</v>
      </c>
      <c r="L11">
        <v>1006</v>
      </c>
      <c r="M11">
        <v>1258</v>
      </c>
      <c r="N11">
        <v>791</v>
      </c>
      <c r="O11">
        <v>1367</v>
      </c>
      <c r="P11">
        <v>1296</v>
      </c>
      <c r="Q11">
        <v>1667</v>
      </c>
      <c r="R11">
        <v>1634</v>
      </c>
      <c r="S11">
        <v>1704</v>
      </c>
    </row>
    <row r="12" spans="1:19" ht="15.75" x14ac:dyDescent="0.25">
      <c r="A12" s="33" t="s">
        <v>0</v>
      </c>
      <c r="K12" s="34" t="s">
        <v>51</v>
      </c>
    </row>
    <row r="13" spans="1:19" x14ac:dyDescent="0.25">
      <c r="A13" s="34" t="s">
        <v>16</v>
      </c>
      <c r="B13" s="23">
        <f>L7/B4</f>
        <v>8.8734567901234559E-4</v>
      </c>
      <c r="C13" s="23">
        <f t="shared" ref="C13:I13" si="4">M7/C4</f>
        <v>2.232142857142857E-3</v>
      </c>
      <c r="D13" s="23">
        <f t="shared" si="4"/>
        <v>5.6598153112898423E-4</v>
      </c>
      <c r="E13" s="23">
        <f t="shared" si="4"/>
        <v>1.9000570017100514E-4</v>
      </c>
      <c r="F13" s="23">
        <f t="shared" si="4"/>
        <v>2.4038461538461537E-4</v>
      </c>
      <c r="G13" s="23">
        <f t="shared" si="4"/>
        <v>0</v>
      </c>
      <c r="H13" s="23">
        <f t="shared" si="4"/>
        <v>0</v>
      </c>
      <c r="I13" s="23">
        <f t="shared" si="4"/>
        <v>0</v>
      </c>
      <c r="K13" s="34" t="s">
        <v>52</v>
      </c>
    </row>
    <row r="14" spans="1:19" x14ac:dyDescent="0.25">
      <c r="A14" s="34" t="s">
        <v>14</v>
      </c>
      <c r="B14" s="9">
        <f>L8/L4</f>
        <v>1.0541044776119404</v>
      </c>
      <c r="C14" s="9">
        <f t="shared" ref="C14:I14" si="5">M8/M4</f>
        <v>0.96148555708390648</v>
      </c>
      <c r="D14" s="9">
        <f t="shared" si="5"/>
        <v>0.72929292929292933</v>
      </c>
      <c r="E14" s="9">
        <f t="shared" si="5"/>
        <v>0.33731617647058826</v>
      </c>
      <c r="F14" s="9">
        <f t="shared" si="5"/>
        <v>0.24162780839338702</v>
      </c>
      <c r="G14" s="9">
        <f t="shared" si="5"/>
        <v>0.57833815626291851</v>
      </c>
      <c r="H14" s="9">
        <f t="shared" si="5"/>
        <v>0.60555555555555551</v>
      </c>
      <c r="I14" s="9">
        <f t="shared" si="5"/>
        <v>0.57633429871741826</v>
      </c>
      <c r="K14" s="34" t="s">
        <v>29</v>
      </c>
      <c r="L14">
        <v>1350</v>
      </c>
      <c r="M14">
        <v>4216</v>
      </c>
      <c r="N14">
        <v>1356</v>
      </c>
      <c r="O14">
        <v>3643</v>
      </c>
      <c r="P14">
        <v>5947</v>
      </c>
      <c r="Q14">
        <v>4641</v>
      </c>
      <c r="R14">
        <v>4588</v>
      </c>
      <c r="S14">
        <v>5484</v>
      </c>
    </row>
    <row r="15" spans="1:19" x14ac:dyDescent="0.25">
      <c r="A15" s="34" t="s">
        <v>40</v>
      </c>
      <c r="B15" s="9">
        <f>L5/L11</f>
        <v>7.7534791252485094E-2</v>
      </c>
      <c r="C15" s="9">
        <f t="shared" ref="C15:I15" si="6">M5/M11</f>
        <v>6.4387917329093797E-2</v>
      </c>
      <c r="D15" s="9">
        <f t="shared" si="6"/>
        <v>0.13147914032869784</v>
      </c>
      <c r="E15" s="9">
        <f t="shared" si="6"/>
        <v>0.24433065106071689</v>
      </c>
      <c r="F15" s="9">
        <f t="shared" si="6"/>
        <v>0.13425925925925927</v>
      </c>
      <c r="G15" s="9">
        <f t="shared" si="6"/>
        <v>0.14217156568686262</v>
      </c>
      <c r="H15" s="9">
        <f t="shared" si="6"/>
        <v>0.11505507955936352</v>
      </c>
      <c r="I15" s="9">
        <f t="shared" si="6"/>
        <v>0.10622065727699531</v>
      </c>
    </row>
    <row r="16" spans="1:19" x14ac:dyDescent="0.25">
      <c r="A16" s="34" t="s">
        <v>15</v>
      </c>
      <c r="B16" s="8">
        <f>L9/B4</f>
        <v>1.3117283950617283E-2</v>
      </c>
      <c r="C16" s="8">
        <f t="shared" ref="C16:I16" si="7">M9/C4</f>
        <v>9.2474489795918366E-2</v>
      </c>
      <c r="D16" s="8">
        <f t="shared" si="7"/>
        <v>2.7405421507298182E-2</v>
      </c>
      <c r="E16" s="8">
        <f t="shared" si="7"/>
        <v>0.21527645829374881</v>
      </c>
      <c r="F16" s="8">
        <f t="shared" si="7"/>
        <v>7.2716346153846147E-3</v>
      </c>
      <c r="G16" s="8">
        <f t="shared" si="7"/>
        <v>0.17191241874786178</v>
      </c>
      <c r="H16" s="8">
        <f t="shared" si="7"/>
        <v>1.3065995856762356E-2</v>
      </c>
      <c r="I16" s="8">
        <f t="shared" si="7"/>
        <v>8.7338893100833963E-3</v>
      </c>
    </row>
    <row r="17" spans="1:9" x14ac:dyDescent="0.25">
      <c r="A17" s="34" t="s">
        <v>9</v>
      </c>
      <c r="B17" s="8">
        <f>L10/L2</f>
        <v>7.0687418936446172E-2</v>
      </c>
      <c r="C17" s="8">
        <f t="shared" ref="C17:I17" si="8">M10/M2</f>
        <v>0.10680100755667506</v>
      </c>
      <c r="D17" s="8">
        <f t="shared" si="8"/>
        <v>0.1149166291122127</v>
      </c>
      <c r="E17" s="8">
        <f t="shared" si="8"/>
        <v>5.1410032443224354E-2</v>
      </c>
      <c r="F17" s="8">
        <f t="shared" si="8"/>
        <v>6.5255731922398585E-2</v>
      </c>
      <c r="G17" s="8">
        <f t="shared" si="8"/>
        <v>7.3448546739984286E-2</v>
      </c>
      <c r="H17" s="8">
        <f t="shared" si="8"/>
        <v>6.1041292639138239E-2</v>
      </c>
      <c r="I17" s="8">
        <f t="shared" si="8"/>
        <v>4.7798003523194361E-2</v>
      </c>
    </row>
    <row r="18" spans="1:9" x14ac:dyDescent="0.25">
      <c r="A18" s="34" t="s">
        <v>44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s="34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s="34" t="s">
        <v>57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s="35" t="s">
        <v>58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7"/>
  <dimension ref="A1:S21"/>
  <sheetViews>
    <sheetView workbookViewId="0">
      <selection activeCell="B11" sqref="B11:I11"/>
    </sheetView>
  </sheetViews>
  <sheetFormatPr defaultRowHeight="15" x14ac:dyDescent="0.25"/>
  <sheetData>
    <row r="1" spans="1:19" ht="17.25" x14ac:dyDescent="0.25">
      <c r="A1" s="32" t="s">
        <v>12</v>
      </c>
      <c r="B1" s="36">
        <v>2006</v>
      </c>
      <c r="C1" s="36">
        <v>2007</v>
      </c>
      <c r="D1" s="36">
        <v>2008</v>
      </c>
      <c r="E1" s="36">
        <v>2009</v>
      </c>
      <c r="F1" s="36">
        <v>2010</v>
      </c>
      <c r="G1" s="36">
        <v>2011</v>
      </c>
      <c r="H1" s="36">
        <v>2012</v>
      </c>
      <c r="I1" s="36">
        <v>2013</v>
      </c>
      <c r="L1" s="36">
        <v>2006</v>
      </c>
      <c r="M1" s="36">
        <v>2007</v>
      </c>
      <c r="N1" s="36">
        <v>2008</v>
      </c>
      <c r="O1" s="36">
        <v>2009</v>
      </c>
      <c r="P1" s="36">
        <v>2010</v>
      </c>
      <c r="Q1" s="36">
        <v>2011</v>
      </c>
      <c r="R1" s="36">
        <v>2012</v>
      </c>
      <c r="S1" s="36">
        <v>2013</v>
      </c>
    </row>
    <row r="2" spans="1:19" ht="15.75" x14ac:dyDescent="0.25">
      <c r="A2" s="33" t="s">
        <v>24</v>
      </c>
      <c r="K2" s="34" t="s">
        <v>33</v>
      </c>
      <c r="L2">
        <v>91</v>
      </c>
      <c r="M2">
        <v>111</v>
      </c>
      <c r="N2">
        <v>154</v>
      </c>
      <c r="O2">
        <v>180</v>
      </c>
      <c r="P2">
        <v>228</v>
      </c>
      <c r="Q2">
        <v>280</v>
      </c>
      <c r="R2">
        <v>517</v>
      </c>
      <c r="S2">
        <v>383</v>
      </c>
    </row>
    <row r="3" spans="1:19" x14ac:dyDescent="0.25">
      <c r="A3" s="34" t="s">
        <v>10</v>
      </c>
      <c r="B3" s="25">
        <f>LN(L2)</f>
        <v>4.5108595065168497</v>
      </c>
      <c r="C3" s="25">
        <f t="shared" ref="C3:I3" si="0">LN(M2)</f>
        <v>4.7095302013123339</v>
      </c>
      <c r="D3" s="25">
        <f t="shared" si="0"/>
        <v>5.0369526024136295</v>
      </c>
      <c r="E3" s="25">
        <f t="shared" si="0"/>
        <v>5.1929568508902104</v>
      </c>
      <c r="F3" s="25">
        <f t="shared" si="0"/>
        <v>5.4293456289544411</v>
      </c>
      <c r="G3" s="25">
        <f t="shared" si="0"/>
        <v>5.6347896031692493</v>
      </c>
      <c r="H3" s="25">
        <f t="shared" si="0"/>
        <v>6.2480428745084291</v>
      </c>
      <c r="I3" s="25">
        <f t="shared" si="0"/>
        <v>5.9480349891806457</v>
      </c>
      <c r="K3" s="34" t="s">
        <v>27</v>
      </c>
      <c r="L3">
        <v>39</v>
      </c>
      <c r="M3">
        <v>75</v>
      </c>
      <c r="N3">
        <v>89</v>
      </c>
      <c r="O3">
        <v>111</v>
      </c>
      <c r="P3">
        <v>184</v>
      </c>
      <c r="Q3">
        <v>213</v>
      </c>
      <c r="R3">
        <v>507</v>
      </c>
      <c r="S3">
        <v>228</v>
      </c>
    </row>
    <row r="4" spans="1:19" x14ac:dyDescent="0.25">
      <c r="A4" s="34" t="s">
        <v>13</v>
      </c>
      <c r="B4">
        <v>87</v>
      </c>
      <c r="C4">
        <v>107</v>
      </c>
      <c r="D4">
        <v>145</v>
      </c>
      <c r="E4">
        <v>203.5</v>
      </c>
      <c r="F4">
        <v>236</v>
      </c>
      <c r="G4">
        <v>315</v>
      </c>
      <c r="H4">
        <v>645.20000000000005</v>
      </c>
      <c r="I4">
        <v>315.89999999999998</v>
      </c>
      <c r="K4" s="34" t="s">
        <v>28</v>
      </c>
      <c r="L4">
        <v>75</v>
      </c>
      <c r="M4">
        <v>95</v>
      </c>
      <c r="N4">
        <v>132</v>
      </c>
      <c r="O4">
        <v>161</v>
      </c>
      <c r="P4">
        <v>187</v>
      </c>
      <c r="Q4">
        <v>230</v>
      </c>
      <c r="R4">
        <v>453</v>
      </c>
      <c r="S4">
        <v>317</v>
      </c>
    </row>
    <row r="5" spans="1:19" x14ac:dyDescent="0.25">
      <c r="A5" s="34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34" t="s">
        <v>53</v>
      </c>
      <c r="L5">
        <v>40</v>
      </c>
      <c r="M5">
        <v>43</v>
      </c>
      <c r="N5">
        <v>58</v>
      </c>
      <c r="O5">
        <v>100</v>
      </c>
      <c r="P5">
        <v>147</v>
      </c>
      <c r="Q5">
        <v>172</v>
      </c>
      <c r="R5">
        <v>375</v>
      </c>
      <c r="S5">
        <v>234</v>
      </c>
    </row>
    <row r="6" spans="1:19" x14ac:dyDescent="0.25">
      <c r="A6" s="34" t="s">
        <v>11</v>
      </c>
      <c r="B6">
        <f>L3/B4</f>
        <v>0.44827586206896552</v>
      </c>
      <c r="C6">
        <f t="shared" ref="C6:I6" si="1">M3/C4</f>
        <v>0.7009345794392523</v>
      </c>
      <c r="D6">
        <f t="shared" si="1"/>
        <v>0.61379310344827587</v>
      </c>
      <c r="E6">
        <f t="shared" si="1"/>
        <v>0.54545454545454541</v>
      </c>
      <c r="F6">
        <f t="shared" si="1"/>
        <v>0.77966101694915257</v>
      </c>
      <c r="G6">
        <f t="shared" si="1"/>
        <v>0.67619047619047623</v>
      </c>
      <c r="H6">
        <f t="shared" si="1"/>
        <v>0.7858028518288902</v>
      </c>
      <c r="I6">
        <f t="shared" si="1"/>
        <v>0.72174738841405517</v>
      </c>
      <c r="K6" s="37" t="s">
        <v>62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ht="15.75" x14ac:dyDescent="0.25">
      <c r="A7" s="33" t="s">
        <v>21</v>
      </c>
      <c r="K7" s="34" t="s">
        <v>30</v>
      </c>
      <c r="L7">
        <v>19</v>
      </c>
      <c r="M7">
        <v>18</v>
      </c>
      <c r="N7">
        <v>23</v>
      </c>
      <c r="O7">
        <v>27</v>
      </c>
      <c r="P7">
        <v>29</v>
      </c>
      <c r="Q7">
        <v>34</v>
      </c>
      <c r="R7">
        <v>36</v>
      </c>
      <c r="S7">
        <v>41</v>
      </c>
    </row>
    <row r="8" spans="1:19" x14ac:dyDescent="0.25">
      <c r="A8" s="34" t="s">
        <v>8</v>
      </c>
      <c r="B8" s="9">
        <f>(L2+L14-L4)/L2</f>
        <v>7.8307692307692314</v>
      </c>
      <c r="C8" s="9">
        <f t="shared" ref="C8:I8" si="2">(M2+M14-M4)/M2</f>
        <v>4.4518918918918917</v>
      </c>
      <c r="D8" s="9">
        <f t="shared" si="2"/>
        <v>3.8397402597402599</v>
      </c>
      <c r="E8" s="9">
        <f t="shared" si="2"/>
        <v>7.75</v>
      </c>
      <c r="F8" s="9">
        <f t="shared" si="2"/>
        <v>7.4640350877192994</v>
      </c>
      <c r="G8" s="9">
        <f t="shared" si="2"/>
        <v>10.249642857142858</v>
      </c>
      <c r="H8" s="9">
        <f t="shared" si="2"/>
        <v>5.9796905222437138</v>
      </c>
      <c r="I8" s="9">
        <f t="shared" si="2"/>
        <v>11.622845953002612</v>
      </c>
      <c r="K8" s="34" t="s">
        <v>34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25">
      <c r="A9" s="34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 s="34" t="s">
        <v>31</v>
      </c>
      <c r="L9">
        <v>1.1000000000000001</v>
      </c>
      <c r="M9">
        <v>2</v>
      </c>
      <c r="N9">
        <v>2.4</v>
      </c>
      <c r="O9">
        <v>2.9</v>
      </c>
      <c r="P9">
        <v>0.7</v>
      </c>
      <c r="Q9">
        <v>16.100000000000001</v>
      </c>
      <c r="R9">
        <v>29</v>
      </c>
      <c r="S9">
        <v>17</v>
      </c>
    </row>
    <row r="10" spans="1:19" x14ac:dyDescent="0.25">
      <c r="A10" s="34" t="s"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K10" s="34" t="s">
        <v>32</v>
      </c>
      <c r="L10">
        <v>3</v>
      </c>
      <c r="M10">
        <v>20</v>
      </c>
      <c r="N10">
        <v>36</v>
      </c>
      <c r="O10">
        <v>36</v>
      </c>
      <c r="P10">
        <v>47</v>
      </c>
      <c r="Q10">
        <v>80</v>
      </c>
      <c r="R10">
        <v>330</v>
      </c>
      <c r="S10">
        <v>64</v>
      </c>
    </row>
    <row r="11" spans="1:19" x14ac:dyDescent="0.25">
      <c r="A11" s="34" t="s">
        <v>7</v>
      </c>
      <c r="B11" s="9">
        <f>B10/B4</f>
        <v>0</v>
      </c>
      <c r="C11" s="9">
        <f t="shared" ref="C11:I11" si="3">C10/C4</f>
        <v>0</v>
      </c>
      <c r="D11" s="9">
        <f t="shared" si="3"/>
        <v>0</v>
      </c>
      <c r="E11" s="9">
        <f t="shared" si="3"/>
        <v>0</v>
      </c>
      <c r="F11" s="9">
        <f t="shared" si="3"/>
        <v>0</v>
      </c>
      <c r="G11" s="9">
        <f t="shared" si="3"/>
        <v>0</v>
      </c>
      <c r="H11" s="9">
        <f t="shared" si="3"/>
        <v>0</v>
      </c>
      <c r="I11" s="9">
        <f t="shared" si="3"/>
        <v>0</v>
      </c>
      <c r="K11" s="34" t="s">
        <v>54</v>
      </c>
      <c r="L11">
        <v>16</v>
      </c>
      <c r="M11">
        <v>16</v>
      </c>
      <c r="N11">
        <v>22</v>
      </c>
      <c r="O11">
        <v>19</v>
      </c>
      <c r="P11">
        <v>41</v>
      </c>
      <c r="Q11">
        <v>49</v>
      </c>
      <c r="R11">
        <v>36</v>
      </c>
      <c r="S11">
        <v>66</v>
      </c>
    </row>
    <row r="12" spans="1:19" ht="15.75" x14ac:dyDescent="0.25">
      <c r="A12" s="33" t="s">
        <v>0</v>
      </c>
      <c r="K12" s="34" t="s">
        <v>51</v>
      </c>
      <c r="L12">
        <v>17.2</v>
      </c>
      <c r="M12">
        <v>17.2</v>
      </c>
      <c r="N12">
        <v>17.2</v>
      </c>
      <c r="O12">
        <v>17.2</v>
      </c>
      <c r="P12">
        <v>17.3</v>
      </c>
      <c r="Q12">
        <v>17.3</v>
      </c>
      <c r="R12">
        <v>17.3</v>
      </c>
      <c r="S12">
        <v>17.3</v>
      </c>
    </row>
    <row r="13" spans="1:19" x14ac:dyDescent="0.25">
      <c r="A13" s="34" t="s">
        <v>16</v>
      </c>
      <c r="B13" s="9">
        <f>L7/B4</f>
        <v>0.21839080459770116</v>
      </c>
      <c r="C13" s="9">
        <f t="shared" ref="C13:I13" si="4">M7/C4</f>
        <v>0.16822429906542055</v>
      </c>
      <c r="D13" s="9">
        <f t="shared" si="4"/>
        <v>0.15862068965517243</v>
      </c>
      <c r="E13" s="9">
        <f t="shared" si="4"/>
        <v>0.13267813267813267</v>
      </c>
      <c r="F13" s="9">
        <f t="shared" si="4"/>
        <v>0.1228813559322034</v>
      </c>
      <c r="G13" s="9">
        <f t="shared" si="4"/>
        <v>0.10793650793650794</v>
      </c>
      <c r="H13" s="9">
        <f t="shared" si="4"/>
        <v>5.5796652200867942E-2</v>
      </c>
      <c r="I13" s="9">
        <f t="shared" si="4"/>
        <v>0.12978790756568534</v>
      </c>
      <c r="K13" s="34" t="s">
        <v>52</v>
      </c>
      <c r="L13">
        <v>40.5</v>
      </c>
      <c r="M13">
        <v>27.8</v>
      </c>
      <c r="N13">
        <v>33.1</v>
      </c>
      <c r="O13">
        <v>80</v>
      </c>
      <c r="P13">
        <v>96</v>
      </c>
      <c r="Q13">
        <v>163</v>
      </c>
      <c r="R13">
        <v>175</v>
      </c>
      <c r="S13">
        <v>253.5</v>
      </c>
    </row>
    <row r="14" spans="1:19" x14ac:dyDescent="0.25">
      <c r="A14" s="3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K14" s="34" t="s">
        <v>29</v>
      </c>
      <c r="L14" s="16">
        <f t="shared" ref="L14:N14" si="5">L12*L13</f>
        <v>696.6</v>
      </c>
      <c r="M14" s="16">
        <f t="shared" si="5"/>
        <v>478.15999999999997</v>
      </c>
      <c r="N14" s="16">
        <f t="shared" si="5"/>
        <v>569.32000000000005</v>
      </c>
      <c r="O14" s="16">
        <f t="shared" ref="O14:R14" si="6">O12*O13</f>
        <v>1376</v>
      </c>
      <c r="P14" s="16">
        <f t="shared" si="6"/>
        <v>1660.8000000000002</v>
      </c>
      <c r="Q14" s="16">
        <f t="shared" si="6"/>
        <v>2819.9</v>
      </c>
      <c r="R14" s="16">
        <f t="shared" si="6"/>
        <v>3027.5</v>
      </c>
      <c r="S14" s="16">
        <f>S12*S13</f>
        <v>4385.55</v>
      </c>
    </row>
    <row r="15" spans="1:19" x14ac:dyDescent="0.25">
      <c r="A15" s="34" t="s">
        <v>40</v>
      </c>
      <c r="B15" s="25">
        <f>L5/L11</f>
        <v>2.5</v>
      </c>
      <c r="C15" s="25">
        <f t="shared" ref="C15:I15" si="7">M5/M11</f>
        <v>2.6875</v>
      </c>
      <c r="D15" s="25">
        <f t="shared" si="7"/>
        <v>2.6363636363636362</v>
      </c>
      <c r="E15" s="25">
        <f t="shared" si="7"/>
        <v>5.2631578947368425</v>
      </c>
      <c r="F15" s="25">
        <f t="shared" si="7"/>
        <v>3.5853658536585367</v>
      </c>
      <c r="G15" s="25">
        <f t="shared" si="7"/>
        <v>3.510204081632653</v>
      </c>
      <c r="H15" s="25">
        <f t="shared" si="7"/>
        <v>10.416666666666666</v>
      </c>
      <c r="I15" s="25">
        <f t="shared" si="7"/>
        <v>3.5454545454545454</v>
      </c>
    </row>
    <row r="16" spans="1:19" x14ac:dyDescent="0.25">
      <c r="A16" s="34" t="s">
        <v>15</v>
      </c>
      <c r="B16" s="9">
        <f>L9/B4</f>
        <v>1.2643678160919542E-2</v>
      </c>
      <c r="C16" s="9">
        <f t="shared" ref="C16:I16" si="8">M9/C4</f>
        <v>1.8691588785046728E-2</v>
      </c>
      <c r="D16" s="9">
        <f t="shared" si="8"/>
        <v>1.6551724137931035E-2</v>
      </c>
      <c r="E16" s="9">
        <f t="shared" si="8"/>
        <v>1.425061425061425E-2</v>
      </c>
      <c r="F16" s="9">
        <f t="shared" si="8"/>
        <v>2.9661016949152539E-3</v>
      </c>
      <c r="G16" s="9">
        <f t="shared" si="8"/>
        <v>5.1111111111111114E-2</v>
      </c>
      <c r="H16" s="9">
        <f t="shared" si="8"/>
        <v>4.4947303161810288E-2</v>
      </c>
      <c r="I16" s="9">
        <f t="shared" si="8"/>
        <v>5.381449825894271E-2</v>
      </c>
    </row>
    <row r="17" spans="1:9" x14ac:dyDescent="0.25">
      <c r="A17" s="34" t="s">
        <v>9</v>
      </c>
      <c r="B17" s="9">
        <f>L10/L2</f>
        <v>3.2967032967032968E-2</v>
      </c>
      <c r="C17" s="9">
        <f t="shared" ref="C17:I17" si="9">M10/M2</f>
        <v>0.18018018018018017</v>
      </c>
      <c r="D17" s="9">
        <f t="shared" si="9"/>
        <v>0.23376623376623376</v>
      </c>
      <c r="E17" s="9">
        <f t="shared" si="9"/>
        <v>0.2</v>
      </c>
      <c r="F17" s="9">
        <f t="shared" si="9"/>
        <v>0.20614035087719298</v>
      </c>
      <c r="G17" s="9">
        <f t="shared" si="9"/>
        <v>0.2857142857142857</v>
      </c>
      <c r="H17" s="9">
        <f t="shared" si="9"/>
        <v>0.63829787234042556</v>
      </c>
      <c r="I17" s="9">
        <f t="shared" si="9"/>
        <v>0.16710182767624021</v>
      </c>
    </row>
    <row r="18" spans="1:9" x14ac:dyDescent="0.25">
      <c r="A18" s="34" t="s">
        <v>44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s="34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s="34" t="s">
        <v>57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s="35" t="s">
        <v>58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8"/>
  <dimension ref="A1:S21"/>
  <sheetViews>
    <sheetView workbookViewId="0">
      <selection activeCell="B11" sqref="B11:I11"/>
    </sheetView>
  </sheetViews>
  <sheetFormatPr defaultRowHeight="15" x14ac:dyDescent="0.25"/>
  <sheetData>
    <row r="1" spans="1:19" ht="17.25" x14ac:dyDescent="0.25">
      <c r="A1" s="32" t="s">
        <v>12</v>
      </c>
      <c r="B1" s="36">
        <v>2006</v>
      </c>
      <c r="C1" s="36">
        <v>2007</v>
      </c>
      <c r="D1" s="36">
        <v>2008</v>
      </c>
      <c r="E1" s="36">
        <v>2009</v>
      </c>
      <c r="F1" s="36">
        <v>2010</v>
      </c>
      <c r="G1" s="36">
        <v>2011</v>
      </c>
      <c r="H1" s="36">
        <v>2012</v>
      </c>
      <c r="I1" s="36">
        <v>2013</v>
      </c>
      <c r="L1" s="36">
        <v>2006</v>
      </c>
      <c r="M1" s="36">
        <v>2007</v>
      </c>
      <c r="N1" s="36">
        <v>2008</v>
      </c>
      <c r="O1" s="36">
        <v>2009</v>
      </c>
      <c r="P1" s="36">
        <v>2010</v>
      </c>
      <c r="Q1" s="36">
        <v>2011</v>
      </c>
      <c r="R1" s="36">
        <v>2012</v>
      </c>
      <c r="S1" s="36">
        <v>2013</v>
      </c>
    </row>
    <row r="2" spans="1:19" ht="15.75" x14ac:dyDescent="0.25">
      <c r="A2" s="33" t="s">
        <v>24</v>
      </c>
      <c r="K2" s="34" t="s">
        <v>33</v>
      </c>
      <c r="L2">
        <v>3885</v>
      </c>
      <c r="M2">
        <v>3747</v>
      </c>
      <c r="N2">
        <v>2995</v>
      </c>
      <c r="O2">
        <v>2154</v>
      </c>
      <c r="P2">
        <v>2976</v>
      </c>
      <c r="Q2">
        <v>2620</v>
      </c>
      <c r="R2">
        <v>2438</v>
      </c>
      <c r="S2">
        <v>2392</v>
      </c>
    </row>
    <row r="3" spans="1:19" x14ac:dyDescent="0.25">
      <c r="A3" s="34" t="s">
        <v>10</v>
      </c>
      <c r="B3" s="9">
        <f>LN(L2)</f>
        <v>8.2648782628017479</v>
      </c>
      <c r="C3" s="9">
        <f t="shared" ref="C3:I3" si="0">LN(M2)</f>
        <v>8.2287107987936867</v>
      </c>
      <c r="D3" s="9">
        <f t="shared" si="0"/>
        <v>8.0046995105495498</v>
      </c>
      <c r="E3" s="9">
        <f t="shared" si="0"/>
        <v>7.675081857716334</v>
      </c>
      <c r="F3" s="9">
        <f t="shared" si="0"/>
        <v>7.9983353959529824</v>
      </c>
      <c r="G3" s="9">
        <f t="shared" si="0"/>
        <v>7.8709295967551425</v>
      </c>
      <c r="H3" s="9">
        <f t="shared" si="0"/>
        <v>7.7989333100412166</v>
      </c>
      <c r="I3" s="9">
        <f t="shared" si="0"/>
        <v>7.7798851150705222</v>
      </c>
      <c r="K3" s="34" t="s">
        <v>27</v>
      </c>
      <c r="L3">
        <v>649</v>
      </c>
      <c r="M3">
        <v>741</v>
      </c>
      <c r="N3">
        <v>358</v>
      </c>
      <c r="O3">
        <v>334</v>
      </c>
      <c r="P3">
        <v>219</v>
      </c>
      <c r="Q3">
        <v>222</v>
      </c>
      <c r="R3">
        <v>156</v>
      </c>
      <c r="S3">
        <v>171</v>
      </c>
    </row>
    <row r="4" spans="1:19" x14ac:dyDescent="0.25">
      <c r="A4" s="34" t="s">
        <v>13</v>
      </c>
      <c r="B4">
        <v>2147</v>
      </c>
      <c r="C4">
        <v>2648</v>
      </c>
      <c r="D4">
        <v>1097</v>
      </c>
      <c r="E4">
        <v>939</v>
      </c>
      <c r="F4">
        <v>792</v>
      </c>
      <c r="G4">
        <v>806</v>
      </c>
      <c r="H4">
        <v>549</v>
      </c>
      <c r="I4">
        <v>549</v>
      </c>
      <c r="K4" s="34" t="s">
        <v>28</v>
      </c>
      <c r="L4">
        <v>2737</v>
      </c>
      <c r="M4">
        <v>2754</v>
      </c>
      <c r="N4">
        <v>2481</v>
      </c>
      <c r="O4">
        <v>1497</v>
      </c>
      <c r="P4">
        <v>2330</v>
      </c>
      <c r="Q4">
        <v>1978</v>
      </c>
      <c r="R4">
        <v>2134</v>
      </c>
      <c r="S4">
        <v>2479</v>
      </c>
    </row>
    <row r="5" spans="1:19" x14ac:dyDescent="0.25">
      <c r="A5" s="34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34" t="s">
        <v>53</v>
      </c>
      <c r="L5">
        <v>252</v>
      </c>
      <c r="M5">
        <v>449</v>
      </c>
      <c r="N5">
        <v>789</v>
      </c>
      <c r="O5">
        <v>165</v>
      </c>
      <c r="P5">
        <v>684</v>
      </c>
      <c r="Q5">
        <v>431</v>
      </c>
      <c r="R5">
        <v>491</v>
      </c>
      <c r="S5">
        <v>139</v>
      </c>
    </row>
    <row r="6" spans="1:19" x14ac:dyDescent="0.25">
      <c r="A6" s="34" t="s">
        <v>11</v>
      </c>
      <c r="B6" s="9">
        <f>L3/B4</f>
        <v>0.30228225430833722</v>
      </c>
      <c r="C6" s="9">
        <f t="shared" ref="C6:I6" si="1">M3/C4</f>
        <v>0.27983383685800606</v>
      </c>
      <c r="D6" s="9">
        <f t="shared" si="1"/>
        <v>0.32634457611668188</v>
      </c>
      <c r="E6" s="9">
        <f t="shared" si="1"/>
        <v>0.35569755058572949</v>
      </c>
      <c r="F6" s="9">
        <f t="shared" si="1"/>
        <v>0.27651515151515149</v>
      </c>
      <c r="G6" s="9">
        <f t="shared" si="1"/>
        <v>0.27543424317617865</v>
      </c>
      <c r="H6" s="9">
        <f t="shared" si="1"/>
        <v>0.28415300546448086</v>
      </c>
      <c r="I6" s="9">
        <f t="shared" si="1"/>
        <v>0.31147540983606559</v>
      </c>
      <c r="K6" s="37" t="s">
        <v>62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ht="15.75" x14ac:dyDescent="0.25">
      <c r="A7" s="33" t="s">
        <v>21</v>
      </c>
      <c r="K7" s="34" t="s">
        <v>30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25">
      <c r="A8" s="34" t="s">
        <v>8</v>
      </c>
      <c r="B8" s="9">
        <f>(L2+L14-L4)/L2</f>
        <v>0.83552123552123547</v>
      </c>
      <c r="C8" s="9">
        <f t="shared" ref="C8:I8" si="2">(M2+M14-M4)/M2</f>
        <v>1.207899653055778</v>
      </c>
      <c r="D8" s="9">
        <f t="shared" si="2"/>
        <v>0.86377295492487483</v>
      </c>
      <c r="E8" s="9">
        <f t="shared" si="2"/>
        <v>1.1183844011142061</v>
      </c>
      <c r="F8" s="9">
        <f t="shared" si="2"/>
        <v>1.20497311827957</v>
      </c>
      <c r="G8" s="9">
        <f t="shared" si="2"/>
        <v>0.74198473282442745</v>
      </c>
      <c r="H8" s="9">
        <f t="shared" si="2"/>
        <v>0.85643970467596386</v>
      </c>
      <c r="I8" s="9">
        <f t="shared" si="2"/>
        <v>0.84531772575250841</v>
      </c>
      <c r="K8" s="34" t="s">
        <v>34</v>
      </c>
      <c r="L8">
        <v>268</v>
      </c>
      <c r="M8">
        <v>216</v>
      </c>
      <c r="N8">
        <v>192</v>
      </c>
      <c r="O8">
        <v>187</v>
      </c>
      <c r="P8">
        <v>407</v>
      </c>
      <c r="Q8">
        <v>94</v>
      </c>
      <c r="R8">
        <v>108</v>
      </c>
      <c r="S8">
        <v>74</v>
      </c>
    </row>
    <row r="9" spans="1:19" x14ac:dyDescent="0.25">
      <c r="A9" s="34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 s="34" t="s">
        <v>31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25">
      <c r="A10" s="34" t="s"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K10" s="34" t="s">
        <v>32</v>
      </c>
      <c r="L10">
        <v>885</v>
      </c>
      <c r="M10">
        <v>1047</v>
      </c>
      <c r="N10">
        <v>883</v>
      </c>
      <c r="O10">
        <v>46</v>
      </c>
      <c r="P10">
        <v>434</v>
      </c>
      <c r="Q10">
        <v>55</v>
      </c>
      <c r="R10">
        <v>-154</v>
      </c>
      <c r="S10">
        <v>180</v>
      </c>
    </row>
    <row r="11" spans="1:19" x14ac:dyDescent="0.25">
      <c r="A11" s="34" t="s">
        <v>7</v>
      </c>
      <c r="B11" s="9">
        <f>B10/B4</f>
        <v>0</v>
      </c>
      <c r="C11" s="9">
        <f t="shared" ref="C11:I11" si="3">C10/C4</f>
        <v>0</v>
      </c>
      <c r="D11" s="9">
        <f t="shared" si="3"/>
        <v>0</v>
      </c>
      <c r="E11" s="9">
        <f t="shared" si="3"/>
        <v>0</v>
      </c>
      <c r="F11" s="9">
        <f t="shared" si="3"/>
        <v>0</v>
      </c>
      <c r="G11" s="9">
        <f t="shared" si="3"/>
        <v>0</v>
      </c>
      <c r="H11" s="9">
        <f t="shared" si="3"/>
        <v>0</v>
      </c>
      <c r="I11" s="9">
        <f t="shared" si="3"/>
        <v>0</v>
      </c>
      <c r="K11" s="34" t="s">
        <v>54</v>
      </c>
      <c r="L11">
        <v>723</v>
      </c>
      <c r="M11">
        <v>665</v>
      </c>
      <c r="N11">
        <v>300</v>
      </c>
      <c r="O11">
        <v>572</v>
      </c>
      <c r="P11">
        <v>285</v>
      </c>
      <c r="Q11">
        <v>257</v>
      </c>
      <c r="R11">
        <v>290</v>
      </c>
      <c r="S11">
        <v>196</v>
      </c>
    </row>
    <row r="12" spans="1:19" ht="15.75" x14ac:dyDescent="0.25">
      <c r="A12" s="33" t="s">
        <v>0</v>
      </c>
      <c r="K12" s="34" t="s">
        <v>51</v>
      </c>
    </row>
    <row r="13" spans="1:19" x14ac:dyDescent="0.25">
      <c r="A13" s="34" t="s">
        <v>16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K13" s="34" t="s">
        <v>52</v>
      </c>
    </row>
    <row r="14" spans="1:19" x14ac:dyDescent="0.25">
      <c r="A14" s="34" t="s">
        <v>14</v>
      </c>
      <c r="B14" s="9">
        <f>L8/L4</f>
        <v>9.7917427840701496E-2</v>
      </c>
      <c r="C14" s="9">
        <f t="shared" ref="C14:I14" si="4">M8/M4</f>
        <v>7.8431372549019607E-2</v>
      </c>
      <c r="D14" s="9">
        <f t="shared" si="4"/>
        <v>7.7388149939540504E-2</v>
      </c>
      <c r="E14" s="9">
        <f t="shared" si="4"/>
        <v>0.12491649966599866</v>
      </c>
      <c r="F14" s="9">
        <f t="shared" si="4"/>
        <v>0.17467811158798283</v>
      </c>
      <c r="G14" s="9">
        <f t="shared" si="4"/>
        <v>4.7522750252780584E-2</v>
      </c>
      <c r="H14" s="9">
        <f t="shared" si="4"/>
        <v>5.0609184629803183E-2</v>
      </c>
      <c r="I14" s="9">
        <f t="shared" si="4"/>
        <v>2.9850746268656716E-2</v>
      </c>
      <c r="K14" s="34" t="s">
        <v>29</v>
      </c>
      <c r="L14">
        <v>2098</v>
      </c>
      <c r="M14">
        <v>3533</v>
      </c>
      <c r="N14">
        <v>2073</v>
      </c>
      <c r="O14">
        <v>1752</v>
      </c>
      <c r="P14">
        <v>2940</v>
      </c>
      <c r="Q14">
        <v>1302</v>
      </c>
      <c r="R14">
        <v>1784</v>
      </c>
      <c r="S14">
        <v>2109</v>
      </c>
    </row>
    <row r="15" spans="1:19" x14ac:dyDescent="0.25">
      <c r="A15" s="34" t="s">
        <v>40</v>
      </c>
      <c r="B15" s="9">
        <f>L5/L11</f>
        <v>0.34854771784232363</v>
      </c>
      <c r="C15" s="9">
        <f t="shared" ref="C15:I15" si="5">M5/M11</f>
        <v>0.675187969924812</v>
      </c>
      <c r="D15" s="9">
        <f t="shared" si="5"/>
        <v>2.63</v>
      </c>
      <c r="E15" s="9">
        <f t="shared" si="5"/>
        <v>0.28846153846153844</v>
      </c>
      <c r="F15" s="9">
        <f t="shared" si="5"/>
        <v>2.4</v>
      </c>
      <c r="G15" s="9">
        <f t="shared" si="5"/>
        <v>1.6770428015564203</v>
      </c>
      <c r="H15" s="9">
        <f t="shared" si="5"/>
        <v>1.693103448275862</v>
      </c>
      <c r="I15" s="9">
        <f t="shared" si="5"/>
        <v>0.70918367346938771</v>
      </c>
    </row>
    <row r="16" spans="1:19" x14ac:dyDescent="0.25">
      <c r="A16" s="34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5">
      <c r="A17" s="34" t="s">
        <v>9</v>
      </c>
      <c r="B17" s="8">
        <f>L10/L2</f>
        <v>0.22779922779922779</v>
      </c>
      <c r="C17" s="8">
        <f t="shared" ref="C17:I17" si="6">M10/M2</f>
        <v>0.27942353883106485</v>
      </c>
      <c r="D17" s="8">
        <f t="shared" si="6"/>
        <v>0.29482470784641068</v>
      </c>
      <c r="E17" s="8">
        <f t="shared" si="6"/>
        <v>2.1355617455896009E-2</v>
      </c>
      <c r="F17" s="8">
        <f t="shared" si="6"/>
        <v>0.14583333333333334</v>
      </c>
      <c r="G17" s="8">
        <f t="shared" si="6"/>
        <v>2.0992366412213741E-2</v>
      </c>
      <c r="H17" s="8">
        <f t="shared" si="6"/>
        <v>-6.3166529942575877E-2</v>
      </c>
      <c r="I17" s="8">
        <f t="shared" si="6"/>
        <v>7.5250836120401343E-2</v>
      </c>
    </row>
    <row r="18" spans="1:9" x14ac:dyDescent="0.25">
      <c r="A18" s="34" t="s">
        <v>44</v>
      </c>
      <c r="B18">
        <v>0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s="34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s="34" t="s">
        <v>57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s="35" t="s">
        <v>58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9"/>
  <dimension ref="A1:S21"/>
  <sheetViews>
    <sheetView workbookViewId="0">
      <selection activeCell="B11" sqref="B11:I11"/>
    </sheetView>
  </sheetViews>
  <sheetFormatPr defaultRowHeight="15" x14ac:dyDescent="0.25"/>
  <sheetData>
    <row r="1" spans="1:19" ht="17.25" x14ac:dyDescent="0.25">
      <c r="A1" s="32" t="s">
        <v>12</v>
      </c>
      <c r="B1" s="36">
        <v>2006</v>
      </c>
      <c r="C1" s="36">
        <v>2007</v>
      </c>
      <c r="D1" s="36">
        <v>2008</v>
      </c>
      <c r="E1" s="36">
        <v>2009</v>
      </c>
      <c r="F1" s="36">
        <v>2010</v>
      </c>
      <c r="G1" s="36">
        <v>2011</v>
      </c>
      <c r="H1" s="36">
        <v>2012</v>
      </c>
      <c r="I1" s="36">
        <v>2013</v>
      </c>
      <c r="L1" s="36">
        <v>2006</v>
      </c>
      <c r="M1" s="36">
        <v>2007</v>
      </c>
      <c r="N1" s="36">
        <v>2008</v>
      </c>
      <c r="O1" s="36">
        <v>2009</v>
      </c>
      <c r="P1" s="36">
        <v>2010</v>
      </c>
      <c r="Q1" s="36">
        <v>2011</v>
      </c>
      <c r="R1" s="36">
        <v>2012</v>
      </c>
      <c r="S1" s="36">
        <v>2013</v>
      </c>
    </row>
    <row r="2" spans="1:19" ht="15.75" x14ac:dyDescent="0.25">
      <c r="A2" s="33" t="s">
        <v>24</v>
      </c>
      <c r="K2" s="34" t="s">
        <v>33</v>
      </c>
      <c r="L2">
        <v>2440</v>
      </c>
      <c r="M2">
        <v>2543</v>
      </c>
      <c r="N2">
        <v>2419</v>
      </c>
      <c r="O2">
        <v>2584</v>
      </c>
      <c r="P2">
        <v>2173</v>
      </c>
      <c r="Q2">
        <v>711</v>
      </c>
      <c r="R2">
        <v>3443</v>
      </c>
      <c r="S2">
        <v>5038</v>
      </c>
    </row>
    <row r="3" spans="1:19" x14ac:dyDescent="0.25">
      <c r="A3" s="34" t="s">
        <v>10</v>
      </c>
      <c r="B3" s="9">
        <f>LN(L2)</f>
        <v>7.7997533182872472</v>
      </c>
      <c r="C3" s="9">
        <f t="shared" ref="C3:I3" si="0">LN(M2)</f>
        <v>7.8410997654221193</v>
      </c>
      <c r="D3" s="9">
        <f t="shared" si="0"/>
        <v>7.7911095106100277</v>
      </c>
      <c r="E3" s="9">
        <f t="shared" si="0"/>
        <v>7.8570938649024926</v>
      </c>
      <c r="F3" s="9">
        <f t="shared" si="0"/>
        <v>7.6838639802564295</v>
      </c>
      <c r="G3" s="9">
        <f t="shared" si="0"/>
        <v>6.5666724298032406</v>
      </c>
      <c r="H3" s="9">
        <f t="shared" si="0"/>
        <v>8.1440984633385245</v>
      </c>
      <c r="I3" s="9">
        <f t="shared" si="0"/>
        <v>8.5247644569125551</v>
      </c>
      <c r="K3" s="34" t="s">
        <v>27</v>
      </c>
      <c r="L3">
        <v>62</v>
      </c>
      <c r="M3">
        <v>66</v>
      </c>
      <c r="N3">
        <v>74</v>
      </c>
      <c r="O3">
        <v>71</v>
      </c>
      <c r="P3">
        <v>59</v>
      </c>
      <c r="Q3">
        <v>3</v>
      </c>
      <c r="R3">
        <v>55</v>
      </c>
      <c r="S3">
        <v>71</v>
      </c>
    </row>
    <row r="4" spans="1:19" x14ac:dyDescent="0.25">
      <c r="A4" s="34" t="s">
        <v>13</v>
      </c>
      <c r="B4">
        <v>177</v>
      </c>
      <c r="C4">
        <v>180</v>
      </c>
      <c r="D4">
        <v>189</v>
      </c>
      <c r="E4">
        <v>203</v>
      </c>
      <c r="F4">
        <v>168</v>
      </c>
      <c r="G4">
        <v>27</v>
      </c>
      <c r="H4">
        <v>287</v>
      </c>
      <c r="I4">
        <v>317</v>
      </c>
      <c r="K4" s="34" t="s">
        <v>28</v>
      </c>
      <c r="L4">
        <v>826</v>
      </c>
      <c r="M4">
        <v>1006</v>
      </c>
      <c r="N4">
        <v>806</v>
      </c>
      <c r="O4">
        <v>883</v>
      </c>
      <c r="P4">
        <v>845</v>
      </c>
      <c r="Q4">
        <v>297</v>
      </c>
      <c r="R4">
        <v>735</v>
      </c>
      <c r="S4">
        <v>1642</v>
      </c>
    </row>
    <row r="5" spans="1:19" x14ac:dyDescent="0.25">
      <c r="A5" s="34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34" t="s">
        <v>53</v>
      </c>
      <c r="L5">
        <v>63</v>
      </c>
      <c r="M5">
        <v>35</v>
      </c>
      <c r="N5">
        <v>45</v>
      </c>
      <c r="O5">
        <v>103</v>
      </c>
      <c r="P5">
        <v>57</v>
      </c>
      <c r="Q5">
        <v>94</v>
      </c>
      <c r="R5">
        <v>0</v>
      </c>
      <c r="S5">
        <v>214</v>
      </c>
    </row>
    <row r="6" spans="1:19" x14ac:dyDescent="0.25">
      <c r="A6" s="34" t="s">
        <v>11</v>
      </c>
      <c r="B6" s="9">
        <f>L3/B4</f>
        <v>0.35028248587570621</v>
      </c>
      <c r="C6" s="9">
        <f t="shared" ref="C6:I6" si="1">M3/C4</f>
        <v>0.36666666666666664</v>
      </c>
      <c r="D6" s="9">
        <f t="shared" si="1"/>
        <v>0.39153439153439151</v>
      </c>
      <c r="E6" s="9">
        <f t="shared" si="1"/>
        <v>0.34975369458128081</v>
      </c>
      <c r="F6" s="9">
        <f t="shared" si="1"/>
        <v>0.35119047619047616</v>
      </c>
      <c r="G6" s="9">
        <f t="shared" si="1"/>
        <v>0.1111111111111111</v>
      </c>
      <c r="H6" s="9">
        <f t="shared" si="1"/>
        <v>0.19163763066202091</v>
      </c>
      <c r="I6" s="9">
        <f t="shared" si="1"/>
        <v>0.22397476340694006</v>
      </c>
      <c r="K6" s="37" t="s">
        <v>62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ht="15.75" x14ac:dyDescent="0.25">
      <c r="A7" s="33" t="s">
        <v>21</v>
      </c>
      <c r="K7" s="34" t="s">
        <v>30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25">
      <c r="A8" s="34" t="s">
        <v>8</v>
      </c>
      <c r="B8" s="25">
        <f>(L2+L14-L4)/L2</f>
        <v>1.1390056352459017</v>
      </c>
      <c r="C8" s="25">
        <f t="shared" ref="C8:I8" si="2">(M2+M14-M4)/M2</f>
        <v>1.0910165159260716</v>
      </c>
      <c r="D8" s="25">
        <f t="shared" si="2"/>
        <v>0.95365853658536592</v>
      </c>
      <c r="E8" s="25">
        <f t="shared" si="2"/>
        <v>1.051017318111455</v>
      </c>
      <c r="F8" s="25">
        <f t="shared" si="2"/>
        <v>1.4254233778186838</v>
      </c>
      <c r="G8" s="25">
        <f t="shared" si="2"/>
        <v>1.5175632911392405</v>
      </c>
      <c r="H8" s="25">
        <f t="shared" si="2"/>
        <v>0.99813970374673255</v>
      </c>
      <c r="I8" s="25">
        <f t="shared" si="2"/>
        <v>0.90363239380706628</v>
      </c>
      <c r="K8" s="34" t="s">
        <v>34</v>
      </c>
      <c r="L8">
        <v>1307</v>
      </c>
      <c r="M8">
        <v>1224</v>
      </c>
      <c r="N8">
        <v>1354</v>
      </c>
      <c r="O8">
        <v>1367</v>
      </c>
      <c r="P8">
        <v>1047</v>
      </c>
      <c r="Q8">
        <v>306</v>
      </c>
      <c r="R8">
        <v>306</v>
      </c>
      <c r="S8">
        <v>3003</v>
      </c>
    </row>
    <row r="9" spans="1:19" x14ac:dyDescent="0.25">
      <c r="A9" s="34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 s="34" t="s">
        <v>31</v>
      </c>
      <c r="L9">
        <v>5.7</v>
      </c>
      <c r="M9">
        <v>4.5</v>
      </c>
      <c r="N9">
        <v>0.9</v>
      </c>
      <c r="O9">
        <v>3.3</v>
      </c>
      <c r="P9">
        <v>4.0999999999999996</v>
      </c>
      <c r="Q9">
        <v>2.7</v>
      </c>
      <c r="R9">
        <v>0</v>
      </c>
      <c r="S9">
        <v>1.2</v>
      </c>
    </row>
    <row r="10" spans="1:19" x14ac:dyDescent="0.25">
      <c r="A10" s="34" t="s"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K10" s="34" t="s">
        <v>32</v>
      </c>
      <c r="L10">
        <v>255</v>
      </c>
      <c r="M10">
        <v>216</v>
      </c>
      <c r="N10">
        <v>-132</v>
      </c>
      <c r="O10">
        <v>119</v>
      </c>
      <c r="P10">
        <v>349</v>
      </c>
      <c r="Q10">
        <v>130</v>
      </c>
      <c r="R10">
        <v>220</v>
      </c>
      <c r="S10">
        <v>138</v>
      </c>
    </row>
    <row r="11" spans="1:19" x14ac:dyDescent="0.25">
      <c r="A11" s="34" t="s">
        <v>7</v>
      </c>
      <c r="B11" s="9">
        <f>B10/B4</f>
        <v>0</v>
      </c>
      <c r="C11" s="9">
        <f t="shared" ref="C11:I11" si="3">C10/C4</f>
        <v>0</v>
      </c>
      <c r="D11" s="9">
        <f t="shared" si="3"/>
        <v>0</v>
      </c>
      <c r="E11" s="9">
        <f t="shared" si="3"/>
        <v>0</v>
      </c>
      <c r="F11" s="9">
        <f t="shared" si="3"/>
        <v>0</v>
      </c>
      <c r="G11" s="9">
        <f t="shared" si="3"/>
        <v>0</v>
      </c>
      <c r="H11" s="9">
        <f t="shared" si="3"/>
        <v>0</v>
      </c>
      <c r="I11" s="9">
        <f t="shared" si="3"/>
        <v>0</v>
      </c>
      <c r="K11" s="34" t="s">
        <v>54</v>
      </c>
      <c r="L11">
        <v>254</v>
      </c>
      <c r="M11">
        <v>46</v>
      </c>
      <c r="N11">
        <v>57</v>
      </c>
      <c r="O11">
        <v>77</v>
      </c>
      <c r="P11">
        <v>287</v>
      </c>
      <c r="Q11">
        <v>25</v>
      </c>
      <c r="R11">
        <v>448</v>
      </c>
      <c r="S11">
        <v>168</v>
      </c>
    </row>
    <row r="12" spans="1:19" ht="15.75" x14ac:dyDescent="0.25">
      <c r="A12" s="33" t="s">
        <v>0</v>
      </c>
      <c r="K12" s="34" t="s">
        <v>51</v>
      </c>
      <c r="L12">
        <v>11.565</v>
      </c>
      <c r="M12">
        <v>11.565</v>
      </c>
      <c r="N12">
        <v>11.565</v>
      </c>
      <c r="O12">
        <v>11.565</v>
      </c>
      <c r="P12">
        <v>11.565</v>
      </c>
      <c r="Q12">
        <v>11.565</v>
      </c>
      <c r="R12">
        <v>11.565</v>
      </c>
      <c r="S12">
        <v>11.565</v>
      </c>
    </row>
    <row r="13" spans="1:19" x14ac:dyDescent="0.25">
      <c r="A13" s="34" t="s">
        <v>16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K13" s="34" t="s">
        <v>52</v>
      </c>
      <c r="L13">
        <v>100.75</v>
      </c>
      <c r="M13">
        <v>107</v>
      </c>
      <c r="N13">
        <v>60</v>
      </c>
      <c r="O13">
        <v>87.75</v>
      </c>
      <c r="P13">
        <v>153</v>
      </c>
      <c r="Q13">
        <v>57.5</v>
      </c>
      <c r="R13">
        <v>63</v>
      </c>
      <c r="S13">
        <v>100</v>
      </c>
    </row>
    <row r="14" spans="1:19" x14ac:dyDescent="0.25">
      <c r="A14" s="34" t="s">
        <v>14</v>
      </c>
      <c r="B14" s="25">
        <f>L8/L4</f>
        <v>1.5823244552058111</v>
      </c>
      <c r="C14" s="25">
        <f t="shared" ref="C14:I14" si="4">M8/M4</f>
        <v>1.2166998011928429</v>
      </c>
      <c r="D14" s="25">
        <f t="shared" si="4"/>
        <v>1.6799007444168734</v>
      </c>
      <c r="E14" s="25">
        <f t="shared" si="4"/>
        <v>1.5481313703284258</v>
      </c>
      <c r="F14" s="25">
        <f t="shared" si="4"/>
        <v>1.2390532544378698</v>
      </c>
      <c r="G14" s="25">
        <f t="shared" si="4"/>
        <v>1.0303030303030303</v>
      </c>
      <c r="H14" s="25">
        <f t="shared" si="4"/>
        <v>0.41632653061224489</v>
      </c>
      <c r="I14" s="25">
        <f t="shared" si="4"/>
        <v>1.8288672350791717</v>
      </c>
      <c r="K14" s="34" t="s">
        <v>29</v>
      </c>
      <c r="L14" s="16">
        <f>L12*L13</f>
        <v>1165.1737499999999</v>
      </c>
      <c r="M14" s="16">
        <f t="shared" ref="M14:S14" si="5">M12*M13</f>
        <v>1237.4549999999999</v>
      </c>
      <c r="N14" s="16">
        <f t="shared" si="5"/>
        <v>693.9</v>
      </c>
      <c r="O14" s="16">
        <f t="shared" si="5"/>
        <v>1014.8287499999999</v>
      </c>
      <c r="P14" s="16">
        <f t="shared" si="5"/>
        <v>1769.4449999999999</v>
      </c>
      <c r="Q14" s="16">
        <f t="shared" si="5"/>
        <v>664.98749999999995</v>
      </c>
      <c r="R14" s="16">
        <f t="shared" si="5"/>
        <v>728.59499999999991</v>
      </c>
      <c r="S14" s="16">
        <f t="shared" si="5"/>
        <v>1156.5</v>
      </c>
    </row>
    <row r="15" spans="1:19" x14ac:dyDescent="0.25">
      <c r="A15" s="34" t="s">
        <v>40</v>
      </c>
      <c r="B15" s="9">
        <f>L5/L11</f>
        <v>0.24803149606299213</v>
      </c>
      <c r="C15" s="9">
        <f t="shared" ref="C15:I15" si="6">M5/M11</f>
        <v>0.76086956521739135</v>
      </c>
      <c r="D15" s="9">
        <f t="shared" si="6"/>
        <v>0.78947368421052633</v>
      </c>
      <c r="E15" s="9">
        <f t="shared" si="6"/>
        <v>1.3376623376623376</v>
      </c>
      <c r="F15" s="9">
        <f t="shared" si="6"/>
        <v>0.19860627177700349</v>
      </c>
      <c r="G15" s="9">
        <f t="shared" si="6"/>
        <v>3.76</v>
      </c>
      <c r="H15" s="9">
        <f t="shared" si="6"/>
        <v>0</v>
      </c>
      <c r="I15" s="9">
        <f t="shared" si="6"/>
        <v>1.2738095238095237</v>
      </c>
    </row>
    <row r="16" spans="1:19" x14ac:dyDescent="0.25">
      <c r="A16" s="34" t="s">
        <v>15</v>
      </c>
      <c r="B16" s="8">
        <f>L9/B4</f>
        <v>3.2203389830508473E-2</v>
      </c>
      <c r="C16" s="8">
        <f t="shared" ref="C16:I16" si="7">M9/C4</f>
        <v>2.5000000000000001E-2</v>
      </c>
      <c r="D16" s="8">
        <f t="shared" si="7"/>
        <v>4.7619047619047623E-3</v>
      </c>
      <c r="E16" s="8">
        <f t="shared" si="7"/>
        <v>1.6256157635467981E-2</v>
      </c>
      <c r="F16" s="8">
        <f t="shared" si="7"/>
        <v>2.4404761904761901E-2</v>
      </c>
      <c r="G16" s="8">
        <f t="shared" si="7"/>
        <v>0.1</v>
      </c>
      <c r="H16" s="8">
        <f t="shared" si="7"/>
        <v>0</v>
      </c>
      <c r="I16" s="8">
        <f t="shared" si="7"/>
        <v>3.7854889589905363E-3</v>
      </c>
    </row>
    <row r="17" spans="1:9" x14ac:dyDescent="0.25">
      <c r="A17" s="34" t="s">
        <v>9</v>
      </c>
      <c r="B17" s="8">
        <f>L10/L2</f>
        <v>0.10450819672131148</v>
      </c>
      <c r="C17" s="8">
        <f t="shared" ref="C17:I17" si="8">M10/M2</f>
        <v>8.4939048368069203E-2</v>
      </c>
      <c r="D17" s="8">
        <f t="shared" si="8"/>
        <v>-5.4568003307151718E-2</v>
      </c>
      <c r="E17" s="8">
        <f t="shared" si="8"/>
        <v>4.6052631578947366E-2</v>
      </c>
      <c r="F17" s="8">
        <f t="shared" si="8"/>
        <v>0.1606074551311551</v>
      </c>
      <c r="G17" s="8">
        <f t="shared" si="8"/>
        <v>0.18284106891701829</v>
      </c>
      <c r="H17" s="8">
        <f t="shared" si="8"/>
        <v>6.3897763578274758E-2</v>
      </c>
      <c r="I17" s="8">
        <f t="shared" si="8"/>
        <v>2.7391822151647479E-2</v>
      </c>
    </row>
    <row r="18" spans="1:9" x14ac:dyDescent="0.25">
      <c r="A18" s="34" t="s">
        <v>44</v>
      </c>
      <c r="B18">
        <v>0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s="34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s="34" t="s">
        <v>57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s="35" t="s">
        <v>58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"/>
  <dimension ref="A1:S34"/>
  <sheetViews>
    <sheetView zoomScaleNormal="100" workbookViewId="0">
      <selection activeCell="G11" sqref="G11"/>
    </sheetView>
  </sheetViews>
  <sheetFormatPr defaultRowHeight="15" x14ac:dyDescent="0.25"/>
  <cols>
    <col min="1" max="1" width="19.5703125" customWidth="1"/>
    <col min="11" max="11" width="12.5703125" customWidth="1"/>
  </cols>
  <sheetData>
    <row r="1" spans="1:19" ht="17.25" x14ac:dyDescent="0.25">
      <c r="A1" s="2" t="s">
        <v>12</v>
      </c>
      <c r="B1" s="36">
        <v>2006</v>
      </c>
      <c r="C1" s="36">
        <v>2007</v>
      </c>
      <c r="D1" s="36">
        <v>2008</v>
      </c>
      <c r="E1" s="36">
        <v>2009</v>
      </c>
      <c r="F1" s="36">
        <v>2010</v>
      </c>
      <c r="G1" s="36">
        <v>2011</v>
      </c>
      <c r="H1" s="36">
        <v>2012</v>
      </c>
      <c r="I1" s="36">
        <v>2013</v>
      </c>
      <c r="K1" s="5"/>
      <c r="L1" s="36">
        <v>2006</v>
      </c>
      <c r="M1" s="36">
        <v>2007</v>
      </c>
      <c r="N1" s="36">
        <v>2008</v>
      </c>
      <c r="O1" s="36">
        <v>2009</v>
      </c>
      <c r="P1" s="36">
        <v>2010</v>
      </c>
      <c r="Q1" s="36">
        <v>2011</v>
      </c>
      <c r="R1" s="36">
        <v>2012</v>
      </c>
      <c r="S1" s="36">
        <v>2013</v>
      </c>
    </row>
    <row r="2" spans="1:19" ht="15.75" x14ac:dyDescent="0.25">
      <c r="A2" s="3" t="s">
        <v>24</v>
      </c>
      <c r="K2" s="4" t="s">
        <v>33</v>
      </c>
      <c r="L2">
        <v>55255</v>
      </c>
      <c r="M2">
        <v>56659</v>
      </c>
      <c r="N2">
        <v>75394</v>
      </c>
      <c r="O2">
        <v>67874</v>
      </c>
      <c r="P2">
        <v>71622</v>
      </c>
      <c r="Q2">
        <v>75109</v>
      </c>
      <c r="R2">
        <v>80794</v>
      </c>
      <c r="S2">
        <v>87891</v>
      </c>
    </row>
    <row r="3" spans="1:19" x14ac:dyDescent="0.25">
      <c r="A3" s="4" t="s">
        <v>10</v>
      </c>
      <c r="B3" s="9">
        <f>LN(L2)</f>
        <v>10.919714113022883</v>
      </c>
      <c r="C3" s="9">
        <f t="shared" ref="C3:I3" si="0">LN(M2)</f>
        <v>10.944806124093567</v>
      </c>
      <c r="D3" s="9">
        <f t="shared" si="0"/>
        <v>11.230482975232924</v>
      </c>
      <c r="E3" s="9">
        <f t="shared" si="0"/>
        <v>11.125408324162697</v>
      </c>
      <c r="F3" s="9">
        <f t="shared" si="0"/>
        <v>11.179157568323093</v>
      </c>
      <c r="G3" s="9">
        <f t="shared" si="0"/>
        <v>11.226695670785011</v>
      </c>
      <c r="H3" s="9">
        <f t="shared" si="0"/>
        <v>11.299657984326226</v>
      </c>
      <c r="I3" s="9">
        <f t="shared" si="0"/>
        <v>11.383852689352651</v>
      </c>
      <c r="K3" s="4" t="s">
        <v>27</v>
      </c>
      <c r="L3">
        <v>49327</v>
      </c>
      <c r="M3">
        <v>61810</v>
      </c>
      <c r="N3">
        <v>72342</v>
      </c>
      <c r="O3">
        <v>62183</v>
      </c>
      <c r="P3">
        <v>68302</v>
      </c>
      <c r="Q3">
        <v>79347</v>
      </c>
      <c r="R3">
        <v>88492</v>
      </c>
      <c r="S3">
        <v>81978</v>
      </c>
    </row>
    <row r="4" spans="1:19" x14ac:dyDescent="0.25">
      <c r="A4" s="4" t="s">
        <v>13</v>
      </c>
      <c r="B4">
        <v>50512</v>
      </c>
      <c r="C4">
        <v>63355</v>
      </c>
      <c r="D4">
        <v>74177</v>
      </c>
      <c r="E4">
        <v>63762</v>
      </c>
      <c r="F4">
        <v>69875</v>
      </c>
      <c r="G4">
        <v>81203</v>
      </c>
      <c r="H4">
        <v>90533</v>
      </c>
      <c r="I4">
        <v>83888</v>
      </c>
      <c r="K4" s="4" t="s">
        <v>28</v>
      </c>
      <c r="L4">
        <v>32708</v>
      </c>
      <c r="M4">
        <v>14640</v>
      </c>
      <c r="N4">
        <v>23768</v>
      </c>
      <c r="O4">
        <v>25671</v>
      </c>
      <c r="P4">
        <v>29321</v>
      </c>
      <c r="Q4">
        <v>28839</v>
      </c>
      <c r="R4">
        <v>34185</v>
      </c>
      <c r="S4">
        <v>39794</v>
      </c>
    </row>
    <row r="5" spans="1:19" x14ac:dyDescent="0.25">
      <c r="A5" s="4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4" t="s">
        <v>53</v>
      </c>
      <c r="L5">
        <v>20135</v>
      </c>
      <c r="M5">
        <v>3473</v>
      </c>
      <c r="N5">
        <v>5455</v>
      </c>
      <c r="O5">
        <v>12165</v>
      </c>
      <c r="P5">
        <v>14264</v>
      </c>
      <c r="Q5">
        <v>5716</v>
      </c>
      <c r="R5">
        <v>12416</v>
      </c>
      <c r="S5">
        <v>17633</v>
      </c>
    </row>
    <row r="6" spans="1:19" x14ac:dyDescent="0.25">
      <c r="A6" s="4" t="s">
        <v>11</v>
      </c>
      <c r="B6" s="8">
        <f>L3/B4</f>
        <v>0.97654022806461827</v>
      </c>
      <c r="C6" s="8">
        <f t="shared" ref="C6:I6" si="1">M3/C4</f>
        <v>0.97561360587167545</v>
      </c>
      <c r="D6" s="8">
        <f t="shared" si="1"/>
        <v>0.97526187362659589</v>
      </c>
      <c r="E6" s="8">
        <f t="shared" si="1"/>
        <v>0.97523603400144288</v>
      </c>
      <c r="F6" s="8">
        <f t="shared" si="1"/>
        <v>0.97748837209302331</v>
      </c>
      <c r="G6" s="8">
        <f t="shared" si="1"/>
        <v>0.97714370158737973</v>
      </c>
      <c r="H6" s="8">
        <f t="shared" si="1"/>
        <v>0.97745573437310151</v>
      </c>
      <c r="I6" s="8">
        <f t="shared" si="1"/>
        <v>0.97723154682433722</v>
      </c>
      <c r="K6" s="21" t="s">
        <v>62</v>
      </c>
      <c r="L6">
        <v>62</v>
      </c>
      <c r="M6">
        <v>692</v>
      </c>
      <c r="N6">
        <v>1695</v>
      </c>
      <c r="O6">
        <v>1298</v>
      </c>
      <c r="P6">
        <v>321</v>
      </c>
      <c r="Q6">
        <v>467</v>
      </c>
      <c r="R6">
        <v>458</v>
      </c>
      <c r="S6">
        <v>439</v>
      </c>
    </row>
    <row r="7" spans="1:19" ht="15.75" x14ac:dyDescent="0.25">
      <c r="A7" s="3" t="s">
        <v>21</v>
      </c>
      <c r="K7" s="4" t="s">
        <v>30</v>
      </c>
      <c r="L7">
        <v>1111</v>
      </c>
      <c r="M7">
        <v>1286</v>
      </c>
      <c r="N7">
        <v>1473</v>
      </c>
      <c r="O7">
        <v>1410</v>
      </c>
      <c r="P7">
        <v>1517</v>
      </c>
      <c r="Q7">
        <v>1805</v>
      </c>
      <c r="R7">
        <v>2034</v>
      </c>
      <c r="S7">
        <v>2117</v>
      </c>
    </row>
    <row r="8" spans="1:19" x14ac:dyDescent="0.25">
      <c r="A8" s="4" t="s">
        <v>8</v>
      </c>
      <c r="B8" s="9">
        <f>(L2+L14-L4)/L2</f>
        <v>2.9212197991132025</v>
      </c>
      <c r="C8" s="9">
        <f t="shared" ref="C8:I8" si="2">(M2+M14-M4)/M2</f>
        <v>2.7647681745177288</v>
      </c>
      <c r="D8" s="9">
        <f t="shared" si="2"/>
        <v>1.7239568135395389</v>
      </c>
      <c r="E8" s="9">
        <f t="shared" si="2"/>
        <v>2.4612811975130389</v>
      </c>
      <c r="F8" s="9">
        <f t="shared" si="2"/>
        <v>3.4081427494345311</v>
      </c>
      <c r="G8" s="9">
        <f t="shared" si="2"/>
        <v>2.9495932577986661</v>
      </c>
      <c r="H8" s="9">
        <f t="shared" si="2"/>
        <v>3.19338069658638</v>
      </c>
      <c r="I8" s="9">
        <f t="shared" si="2"/>
        <v>2.9746504192693224</v>
      </c>
      <c r="K8" s="4" t="s">
        <v>34</v>
      </c>
      <c r="L8">
        <v>8787</v>
      </c>
      <c r="M8">
        <v>19775</v>
      </c>
      <c r="N8">
        <v>21686</v>
      </c>
      <c r="O8">
        <v>10906</v>
      </c>
      <c r="P8">
        <v>5510</v>
      </c>
      <c r="Q8">
        <v>14194</v>
      </c>
      <c r="R8">
        <v>9262</v>
      </c>
      <c r="S8">
        <v>7504</v>
      </c>
    </row>
    <row r="9" spans="1:19" x14ac:dyDescent="0.25">
      <c r="A9" s="4" t="s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K9" s="4" t="s">
        <v>31</v>
      </c>
      <c r="L9">
        <v>2775</v>
      </c>
      <c r="M9">
        <v>2950</v>
      </c>
      <c r="N9">
        <v>3628</v>
      </c>
      <c r="O9">
        <v>2428</v>
      </c>
      <c r="P9">
        <v>2249</v>
      </c>
      <c r="Q9">
        <v>3735</v>
      </c>
      <c r="R9">
        <v>3950</v>
      </c>
      <c r="S9">
        <v>3767</v>
      </c>
    </row>
    <row r="10" spans="1:19" x14ac:dyDescent="0.25">
      <c r="A10" s="4" t="s">
        <v>5</v>
      </c>
      <c r="B10">
        <f>L6</f>
        <v>62</v>
      </c>
      <c r="C10">
        <f t="shared" ref="C10:I10" si="3">M6</f>
        <v>692</v>
      </c>
      <c r="D10">
        <f t="shared" si="3"/>
        <v>1695</v>
      </c>
      <c r="E10">
        <f t="shared" si="3"/>
        <v>1298</v>
      </c>
      <c r="F10">
        <f t="shared" si="3"/>
        <v>321</v>
      </c>
      <c r="G10">
        <f t="shared" si="3"/>
        <v>467</v>
      </c>
      <c r="H10">
        <f t="shared" si="3"/>
        <v>458</v>
      </c>
      <c r="I10">
        <f t="shared" si="3"/>
        <v>439</v>
      </c>
      <c r="K10" s="4" t="s">
        <v>32</v>
      </c>
      <c r="L10">
        <v>15373</v>
      </c>
      <c r="M10">
        <v>7469</v>
      </c>
      <c r="N10">
        <v>10190</v>
      </c>
      <c r="O10">
        <v>6276</v>
      </c>
      <c r="P10">
        <v>9944</v>
      </c>
      <c r="Q10">
        <v>12988</v>
      </c>
      <c r="R10">
        <v>13933</v>
      </c>
      <c r="S10">
        <v>12082</v>
      </c>
    </row>
    <row r="11" spans="1:19" x14ac:dyDescent="0.25">
      <c r="A11" s="4" t="s">
        <v>7</v>
      </c>
      <c r="B11" s="9">
        <f>B10/B4</f>
        <v>1.2274311054798861E-3</v>
      </c>
      <c r="C11" s="9">
        <f t="shared" ref="C11:I11" si="4">C10/C4</f>
        <v>1.0922579117670271E-2</v>
      </c>
      <c r="D11" s="9">
        <f t="shared" si="4"/>
        <v>2.2850748884425093E-2</v>
      </c>
      <c r="E11" s="9">
        <f t="shared" si="4"/>
        <v>2.0356952416799974E-2</v>
      </c>
      <c r="F11" s="9">
        <f t="shared" si="4"/>
        <v>4.5939177101967802E-3</v>
      </c>
      <c r="G11" s="9">
        <f t="shared" si="4"/>
        <v>5.7510190510202822E-3</v>
      </c>
      <c r="H11" s="9">
        <f t="shared" si="4"/>
        <v>5.0589287883976005E-3</v>
      </c>
      <c r="I11" s="9">
        <f t="shared" si="4"/>
        <v>5.2331680335685679E-3</v>
      </c>
      <c r="K11" s="4" t="s">
        <v>54</v>
      </c>
      <c r="L11">
        <v>18497</v>
      </c>
      <c r="M11">
        <v>18974</v>
      </c>
      <c r="N11">
        <v>21892</v>
      </c>
      <c r="O11">
        <v>18180</v>
      </c>
      <c r="P11">
        <v>18899</v>
      </c>
      <c r="Q11">
        <v>25336</v>
      </c>
      <c r="R11">
        <v>21505</v>
      </c>
      <c r="S11">
        <v>24585</v>
      </c>
    </row>
    <row r="12" spans="1:19" ht="15.75" x14ac:dyDescent="0.25">
      <c r="A12" s="3" t="s">
        <v>0</v>
      </c>
      <c r="K12" s="4" t="s">
        <v>51</v>
      </c>
      <c r="L12">
        <v>1254.2</v>
      </c>
      <c r="M12">
        <v>1220.7</v>
      </c>
      <c r="N12">
        <v>1219.0999999999999</v>
      </c>
      <c r="O12">
        <v>1215.9000000000001</v>
      </c>
      <c r="P12">
        <v>1215.9000000000001</v>
      </c>
      <c r="Q12">
        <v>1214.3</v>
      </c>
      <c r="R12">
        <v>1213.8</v>
      </c>
      <c r="S12">
        <v>1212.8</v>
      </c>
    </row>
    <row r="13" spans="1:19" x14ac:dyDescent="0.25">
      <c r="A13" s="4" t="s">
        <v>16</v>
      </c>
      <c r="B13" s="8">
        <f>L7/B4</f>
        <v>2.1994773519163763E-2</v>
      </c>
      <c r="C13" s="8">
        <f t="shared" ref="C13:I13" si="5">M7/C4</f>
        <v>2.0298318996132901E-2</v>
      </c>
      <c r="D13" s="8">
        <f t="shared" si="5"/>
        <v>1.9857907437615435E-2</v>
      </c>
      <c r="E13" s="8">
        <f t="shared" si="5"/>
        <v>2.2113484520560837E-2</v>
      </c>
      <c r="F13" s="8">
        <f t="shared" si="5"/>
        <v>2.1710196779964223E-2</v>
      </c>
      <c r="G13" s="8">
        <f t="shared" si="5"/>
        <v>2.222824279891137E-2</v>
      </c>
      <c r="H13" s="8">
        <f t="shared" si="5"/>
        <v>2.2466945754586725E-2</v>
      </c>
      <c r="I13" s="8">
        <f t="shared" si="5"/>
        <v>2.5236028991035667E-2</v>
      </c>
      <c r="K13" s="4" t="s">
        <v>52</v>
      </c>
    </row>
    <row r="14" spans="1:19" x14ac:dyDescent="0.25">
      <c r="A14" s="4" t="s">
        <v>14</v>
      </c>
      <c r="B14" s="9">
        <f>L8/L4</f>
        <v>0.26864987159104808</v>
      </c>
      <c r="C14" s="9">
        <f t="shared" ref="C14:I14" si="6">M8/M4</f>
        <v>1.3507513661202186</v>
      </c>
      <c r="D14" s="9">
        <f t="shared" si="6"/>
        <v>0.91240323123527434</v>
      </c>
      <c r="E14" s="9">
        <f t="shared" si="6"/>
        <v>0.4248373651201745</v>
      </c>
      <c r="F14" s="9">
        <f t="shared" si="6"/>
        <v>0.18791992087582279</v>
      </c>
      <c r="G14" s="9">
        <f t="shared" si="6"/>
        <v>0.49218072748708347</v>
      </c>
      <c r="H14" s="9">
        <f t="shared" si="6"/>
        <v>0.27093754570718154</v>
      </c>
      <c r="I14" s="9">
        <f t="shared" si="6"/>
        <v>0.18857114137809719</v>
      </c>
      <c r="K14" s="4" t="s">
        <v>29</v>
      </c>
      <c r="L14">
        <v>138865</v>
      </c>
      <c r="M14">
        <v>114630</v>
      </c>
      <c r="N14">
        <v>78350</v>
      </c>
      <c r="O14">
        <v>124854</v>
      </c>
      <c r="P14">
        <v>201797</v>
      </c>
      <c r="Q14">
        <v>175271</v>
      </c>
      <c r="R14">
        <v>211397</v>
      </c>
      <c r="S14">
        <v>213348</v>
      </c>
    </row>
    <row r="15" spans="1:19" x14ac:dyDescent="0.25">
      <c r="A15" s="4" t="s">
        <v>40</v>
      </c>
      <c r="B15" s="9">
        <f>L5/L11</f>
        <v>1.0885549007947235</v>
      </c>
      <c r="C15" s="9">
        <f t="shared" ref="C15:I15" si="7">M5/M11</f>
        <v>0.1830399494044482</v>
      </c>
      <c r="D15" s="9">
        <f t="shared" si="7"/>
        <v>0.24917778183811437</v>
      </c>
      <c r="E15" s="9">
        <f t="shared" si="7"/>
        <v>0.66914191419141911</v>
      </c>
      <c r="F15" s="9">
        <f t="shared" si="7"/>
        <v>0.75474892851473618</v>
      </c>
      <c r="G15" s="9">
        <f t="shared" si="7"/>
        <v>0.2256078307546574</v>
      </c>
      <c r="H15" s="9">
        <f t="shared" si="7"/>
        <v>0.57735410369681472</v>
      </c>
      <c r="I15" s="9">
        <f t="shared" si="7"/>
        <v>0.71722595078299778</v>
      </c>
      <c r="K15" s="22"/>
    </row>
    <row r="16" spans="1:19" x14ac:dyDescent="0.25">
      <c r="A16" s="4" t="s">
        <v>15</v>
      </c>
      <c r="B16" s="8">
        <f>L9/B4</f>
        <v>5.4937440608172315E-2</v>
      </c>
      <c r="C16" s="8">
        <f t="shared" ref="C16:I16" si="8">M9/C4</f>
        <v>4.6563017914923843E-2</v>
      </c>
      <c r="D16" s="8">
        <f t="shared" si="8"/>
        <v>4.8910039500114591E-2</v>
      </c>
      <c r="E16" s="8">
        <f t="shared" si="8"/>
        <v>3.8079106677958656E-2</v>
      </c>
      <c r="F16" s="8">
        <f t="shared" si="8"/>
        <v>3.218604651162791E-2</v>
      </c>
      <c r="G16" s="8">
        <f t="shared" si="8"/>
        <v>4.5995837592207184E-2</v>
      </c>
      <c r="H16" s="8">
        <f t="shared" si="8"/>
        <v>4.3630499375918175E-2</v>
      </c>
      <c r="I16" s="8">
        <f t="shared" si="8"/>
        <v>4.4905111577341214E-2</v>
      </c>
    </row>
    <row r="17" spans="1:11" x14ac:dyDescent="0.25">
      <c r="A17" s="4" t="s">
        <v>9</v>
      </c>
      <c r="B17" s="9">
        <f>L10/L2</f>
        <v>0.27821916568636323</v>
      </c>
      <c r="C17" s="9">
        <f t="shared" ref="C17:I17" si="9">M10/M2</f>
        <v>0.13182371732646181</v>
      </c>
      <c r="D17" s="9">
        <f t="shared" si="9"/>
        <v>0.13515664376475581</v>
      </c>
      <c r="E17" s="9">
        <f t="shared" si="9"/>
        <v>9.2465450688039602E-2</v>
      </c>
      <c r="F17" s="9">
        <f t="shared" si="9"/>
        <v>0.13884002122252939</v>
      </c>
      <c r="G17" s="9">
        <f t="shared" si="9"/>
        <v>0.17292201999760348</v>
      </c>
      <c r="H17" s="9">
        <f t="shared" si="9"/>
        <v>0.17245092457360695</v>
      </c>
      <c r="I17" s="9">
        <f t="shared" si="9"/>
        <v>0.13746572459068618</v>
      </c>
    </row>
    <row r="18" spans="1:11" x14ac:dyDescent="0.25">
      <c r="A18" s="4" t="s">
        <v>44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K18" t="s">
        <v>56</v>
      </c>
    </row>
    <row r="19" spans="1:11" x14ac:dyDescent="0.25">
      <c r="A19" s="4" t="s">
        <v>48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11" x14ac:dyDescent="0.25">
      <c r="A20" t="s">
        <v>57</v>
      </c>
      <c r="B20">
        <f>--3972</f>
        <v>3972</v>
      </c>
      <c r="C20">
        <v>-2685</v>
      </c>
      <c r="D20">
        <v>-3824</v>
      </c>
      <c r="E20">
        <v>1381</v>
      </c>
      <c r="F20">
        <v>1983</v>
      </c>
      <c r="G20">
        <v>161</v>
      </c>
      <c r="H20">
        <v>623</v>
      </c>
      <c r="I20">
        <v>-713</v>
      </c>
    </row>
    <row r="21" spans="1:11" x14ac:dyDescent="0.25">
      <c r="A21" s="17" t="s">
        <v>58</v>
      </c>
      <c r="B21">
        <v>0</v>
      </c>
      <c r="C21">
        <v>0</v>
      </c>
      <c r="D21">
        <v>0</v>
      </c>
      <c r="E21">
        <v>1</v>
      </c>
      <c r="F21">
        <v>1</v>
      </c>
      <c r="G21">
        <v>1</v>
      </c>
      <c r="H21">
        <v>1</v>
      </c>
      <c r="I21">
        <v>0</v>
      </c>
    </row>
    <row r="22" spans="1:11" x14ac:dyDescent="0.25">
      <c r="A22" s="17"/>
    </row>
    <row r="23" spans="1:11" x14ac:dyDescent="0.25">
      <c r="A23" s="17"/>
    </row>
    <row r="24" spans="1:11" x14ac:dyDescent="0.25">
      <c r="A24" s="17"/>
    </row>
    <row r="25" spans="1:11" x14ac:dyDescent="0.25">
      <c r="A25" s="18"/>
    </row>
    <row r="26" spans="1:11" x14ac:dyDescent="0.25">
      <c r="A26" s="17"/>
    </row>
    <row r="27" spans="1:11" x14ac:dyDescent="0.25">
      <c r="A27" s="17"/>
    </row>
    <row r="28" spans="1:11" x14ac:dyDescent="0.25">
      <c r="A28" s="17"/>
    </row>
    <row r="29" spans="1:11" x14ac:dyDescent="0.25">
      <c r="A29" s="17"/>
    </row>
    <row r="30" spans="1:11" x14ac:dyDescent="0.25">
      <c r="A30" s="17"/>
    </row>
    <row r="31" spans="1:11" x14ac:dyDescent="0.25">
      <c r="A31" s="17"/>
    </row>
    <row r="32" spans="1:11" x14ac:dyDescent="0.25">
      <c r="A32" s="17"/>
    </row>
    <row r="33" spans="1:1" x14ac:dyDescent="0.25">
      <c r="A33" s="17"/>
    </row>
    <row r="34" spans="1:1" x14ac:dyDescent="0.25">
      <c r="A34" s="14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0"/>
  <dimension ref="A1:S21"/>
  <sheetViews>
    <sheetView workbookViewId="0">
      <selection activeCell="B11" sqref="B11:I11"/>
    </sheetView>
  </sheetViews>
  <sheetFormatPr defaultRowHeight="15" x14ac:dyDescent="0.25"/>
  <sheetData>
    <row r="1" spans="1:19" ht="17.25" x14ac:dyDescent="0.25">
      <c r="A1" s="32" t="s">
        <v>12</v>
      </c>
      <c r="B1" s="36">
        <v>2006</v>
      </c>
      <c r="C1" s="36">
        <v>2007</v>
      </c>
      <c r="D1" s="36">
        <v>2008</v>
      </c>
      <c r="E1" s="36">
        <v>2009</v>
      </c>
      <c r="F1" s="36">
        <v>2010</v>
      </c>
      <c r="G1" s="36">
        <v>2011</v>
      </c>
      <c r="H1" s="36">
        <v>2012</v>
      </c>
      <c r="I1" s="36">
        <v>2013</v>
      </c>
      <c r="L1" s="36">
        <v>2006</v>
      </c>
      <c r="M1" s="36">
        <v>2007</v>
      </c>
      <c r="N1" s="36">
        <v>2008</v>
      </c>
      <c r="O1" s="36">
        <v>2009</v>
      </c>
      <c r="P1" s="36">
        <v>2010</v>
      </c>
      <c r="Q1" s="36">
        <v>2011</v>
      </c>
      <c r="R1" s="36">
        <v>2012</v>
      </c>
      <c r="S1" s="36">
        <v>2013</v>
      </c>
    </row>
    <row r="2" spans="1:19" ht="15.75" x14ac:dyDescent="0.25">
      <c r="A2" s="33" t="s">
        <v>24</v>
      </c>
      <c r="K2" s="34" t="s">
        <v>33</v>
      </c>
      <c r="L2">
        <v>5313</v>
      </c>
      <c r="M2">
        <v>3514</v>
      </c>
      <c r="N2">
        <v>3811</v>
      </c>
      <c r="O2">
        <v>3489</v>
      </c>
      <c r="P2">
        <v>3487</v>
      </c>
      <c r="Q2">
        <v>3681</v>
      </c>
      <c r="R2">
        <v>3531</v>
      </c>
      <c r="S2">
        <v>3695</v>
      </c>
    </row>
    <row r="3" spans="1:19" x14ac:dyDescent="0.25">
      <c r="A3" s="34" t="s">
        <v>10</v>
      </c>
      <c r="B3" s="25">
        <f>LN(L2)</f>
        <v>8.5779119264509429</v>
      </c>
      <c r="C3" s="25">
        <f t="shared" ref="C3:I3" si="0">LN(M2)</f>
        <v>8.1645102687470423</v>
      </c>
      <c r="D3" s="25">
        <f t="shared" si="0"/>
        <v>8.2456469008738598</v>
      </c>
      <c r="E3" s="25">
        <f t="shared" si="0"/>
        <v>8.1573704411867745</v>
      </c>
      <c r="F3" s="25">
        <f t="shared" si="0"/>
        <v>8.156797046675651</v>
      </c>
      <c r="G3" s="25">
        <f t="shared" si="0"/>
        <v>8.2109397333790213</v>
      </c>
      <c r="H3" s="25">
        <f t="shared" si="0"/>
        <v>8.1693363959283865</v>
      </c>
      <c r="I3" s="25">
        <f t="shared" si="0"/>
        <v>8.2147358333823028</v>
      </c>
      <c r="K3" s="34" t="s">
        <v>27</v>
      </c>
      <c r="L3">
        <f>3762-817</f>
        <v>2945</v>
      </c>
      <c r="M3">
        <f>3985-866</f>
        <v>3119</v>
      </c>
      <c r="N3">
        <f>4099-347</f>
        <v>3752</v>
      </c>
      <c r="O3">
        <v>3893</v>
      </c>
      <c r="P3">
        <v>3659</v>
      </c>
      <c r="Q3">
        <v>3506</v>
      </c>
      <c r="R3">
        <f>3669-285</f>
        <v>3384</v>
      </c>
      <c r="S3">
        <f>3803-291</f>
        <v>3512</v>
      </c>
    </row>
    <row r="4" spans="1:19" x14ac:dyDescent="0.25">
      <c r="A4" s="34" t="s">
        <v>13</v>
      </c>
      <c r="B4">
        <v>3762</v>
      </c>
      <c r="C4">
        <v>3985</v>
      </c>
      <c r="D4">
        <v>4099</v>
      </c>
      <c r="E4">
        <v>4220</v>
      </c>
      <c r="F4">
        <v>3971</v>
      </c>
      <c r="G4">
        <v>3807</v>
      </c>
      <c r="H4">
        <v>3669</v>
      </c>
      <c r="I4">
        <v>3803</v>
      </c>
      <c r="K4" s="34" t="s">
        <v>28</v>
      </c>
      <c r="L4">
        <v>838</v>
      </c>
      <c r="M4">
        <v>1416</v>
      </c>
      <c r="N4">
        <v>1544</v>
      </c>
      <c r="O4">
        <v>1789</v>
      </c>
      <c r="P4">
        <v>1991</v>
      </c>
      <c r="Q4">
        <v>2082</v>
      </c>
      <c r="R4">
        <v>1985</v>
      </c>
      <c r="S4">
        <v>2099</v>
      </c>
    </row>
    <row r="5" spans="1:19" x14ac:dyDescent="0.25">
      <c r="A5" s="34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34" t="s">
        <v>53</v>
      </c>
      <c r="L5">
        <v>193</v>
      </c>
      <c r="M5">
        <v>202</v>
      </c>
      <c r="N5">
        <v>249</v>
      </c>
      <c r="O5">
        <v>230</v>
      </c>
      <c r="P5">
        <v>122</v>
      </c>
      <c r="Q5">
        <v>85</v>
      </c>
      <c r="R5">
        <v>181</v>
      </c>
      <c r="S5">
        <v>225</v>
      </c>
    </row>
    <row r="6" spans="1:19" x14ac:dyDescent="0.25">
      <c r="A6" s="34" t="s">
        <v>11</v>
      </c>
      <c r="B6" s="9">
        <f>L3/B4</f>
        <v>0.78282828282828287</v>
      </c>
      <c r="C6" s="9">
        <f t="shared" ref="C6:I6" si="1">M3/C4</f>
        <v>0.78268506900878299</v>
      </c>
      <c r="D6" s="9">
        <f t="shared" si="1"/>
        <v>0.91534520614784098</v>
      </c>
      <c r="E6" s="9">
        <f t="shared" si="1"/>
        <v>0.92251184834123223</v>
      </c>
      <c r="F6" s="9">
        <f t="shared" si="1"/>
        <v>0.92143037018383278</v>
      </c>
      <c r="G6" s="9">
        <f t="shared" si="1"/>
        <v>0.92093511951667983</v>
      </c>
      <c r="H6" s="9">
        <f t="shared" si="1"/>
        <v>0.92232215862632871</v>
      </c>
      <c r="I6" s="9">
        <f t="shared" si="1"/>
        <v>0.92348146200368131</v>
      </c>
      <c r="K6" s="37" t="s">
        <v>62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ht="15.75" x14ac:dyDescent="0.25">
      <c r="A7" s="33" t="s">
        <v>21</v>
      </c>
      <c r="K7" s="34" t="s">
        <v>30</v>
      </c>
      <c r="L7">
        <v>6</v>
      </c>
      <c r="M7">
        <v>13</v>
      </c>
      <c r="N7">
        <v>23</v>
      </c>
      <c r="O7">
        <v>29</v>
      </c>
      <c r="P7">
        <v>25</v>
      </c>
      <c r="Q7">
        <v>30</v>
      </c>
      <c r="R7">
        <v>26</v>
      </c>
      <c r="S7">
        <v>19</v>
      </c>
    </row>
    <row r="8" spans="1:19" x14ac:dyDescent="0.25">
      <c r="A8" s="34" t="s">
        <v>8</v>
      </c>
      <c r="B8" s="9">
        <f>(L2+L14-L4)/L2</f>
        <v>1.2845849802371541</v>
      </c>
      <c r="C8" s="9">
        <f t="shared" ref="C8:I8" si="2">(M2+M14-M4)/M2</f>
        <v>1.265793966989186</v>
      </c>
      <c r="D8" s="9">
        <f t="shared" si="2"/>
        <v>0.90186302807662033</v>
      </c>
      <c r="E8" s="9">
        <f t="shared" si="2"/>
        <v>1.2754370879908283</v>
      </c>
      <c r="F8" s="9">
        <f t="shared" si="2"/>
        <v>1.2721537137940924</v>
      </c>
      <c r="G8" s="9">
        <f t="shared" si="2"/>
        <v>1.1244227112197773</v>
      </c>
      <c r="H8" s="9">
        <f t="shared" si="2"/>
        <v>1.222316624185783</v>
      </c>
      <c r="I8" s="9">
        <f t="shared" si="2"/>
        <v>1.4901217861975642</v>
      </c>
      <c r="K8" s="34" t="s">
        <v>34</v>
      </c>
      <c r="L8">
        <v>2349</v>
      </c>
      <c r="M8">
        <v>1092</v>
      </c>
      <c r="N8">
        <v>1151</v>
      </c>
      <c r="O8">
        <v>682</v>
      </c>
      <c r="P8">
        <v>530</v>
      </c>
      <c r="Q8">
        <v>26</v>
      </c>
      <c r="R8">
        <v>576</v>
      </c>
      <c r="S8">
        <v>492</v>
      </c>
    </row>
    <row r="9" spans="1:19" x14ac:dyDescent="0.25">
      <c r="A9" s="34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 s="34" t="s">
        <v>31</v>
      </c>
      <c r="L9">
        <v>0</v>
      </c>
      <c r="M9">
        <v>21</v>
      </c>
      <c r="N9">
        <v>7</v>
      </c>
      <c r="O9">
        <v>7</v>
      </c>
      <c r="P9">
        <v>10</v>
      </c>
      <c r="Q9">
        <v>14</v>
      </c>
      <c r="R9">
        <v>14</v>
      </c>
      <c r="S9">
        <v>13</v>
      </c>
    </row>
    <row r="10" spans="1:19" x14ac:dyDescent="0.25">
      <c r="A10" s="34" t="s"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K10" s="34" t="s">
        <v>32</v>
      </c>
      <c r="L10">
        <v>66</v>
      </c>
      <c r="M10">
        <v>571</v>
      </c>
      <c r="N10">
        <v>197</v>
      </c>
      <c r="O10">
        <v>336</v>
      </c>
      <c r="P10">
        <v>306</v>
      </c>
      <c r="Q10">
        <v>261</v>
      </c>
      <c r="R10">
        <v>126</v>
      </c>
      <c r="S10">
        <v>267</v>
      </c>
    </row>
    <row r="11" spans="1:19" x14ac:dyDescent="0.25">
      <c r="A11" s="34" t="s">
        <v>7</v>
      </c>
      <c r="B11" s="9">
        <f>B10/B4</f>
        <v>0</v>
      </c>
      <c r="C11" s="9">
        <f t="shared" ref="C11:I11" si="3">C10/C4</f>
        <v>0</v>
      </c>
      <c r="D11" s="9">
        <f t="shared" si="3"/>
        <v>0</v>
      </c>
      <c r="E11" s="9">
        <f t="shared" si="3"/>
        <v>0</v>
      </c>
      <c r="F11" s="9">
        <f t="shared" si="3"/>
        <v>0</v>
      </c>
      <c r="G11" s="9">
        <f t="shared" si="3"/>
        <v>0</v>
      </c>
      <c r="H11" s="9">
        <f t="shared" si="3"/>
        <v>0</v>
      </c>
      <c r="I11" s="9">
        <f t="shared" si="3"/>
        <v>0</v>
      </c>
      <c r="K11" s="34" t="s">
        <v>54</v>
      </c>
      <c r="L11">
        <v>1821</v>
      </c>
      <c r="M11">
        <v>787</v>
      </c>
      <c r="N11">
        <v>887</v>
      </c>
      <c r="O11">
        <v>802</v>
      </c>
      <c r="P11">
        <v>755</v>
      </c>
      <c r="Q11">
        <v>1361</v>
      </c>
      <c r="R11">
        <v>695</v>
      </c>
      <c r="S11">
        <v>841</v>
      </c>
    </row>
    <row r="12" spans="1:19" ht="15.75" x14ac:dyDescent="0.25">
      <c r="A12" s="33" t="s">
        <v>0</v>
      </c>
      <c r="K12" s="34" t="s">
        <v>51</v>
      </c>
    </row>
    <row r="13" spans="1:19" x14ac:dyDescent="0.25">
      <c r="A13" s="34" t="s">
        <v>16</v>
      </c>
      <c r="B13" s="8">
        <f>L7/B4</f>
        <v>1.594896331738437E-3</v>
      </c>
      <c r="C13" s="8">
        <f t="shared" ref="C13:I13" si="4">M7/C4</f>
        <v>3.2622333751568381E-3</v>
      </c>
      <c r="D13" s="8">
        <f t="shared" si="4"/>
        <v>5.6111246645523302E-3</v>
      </c>
      <c r="E13" s="8">
        <f t="shared" si="4"/>
        <v>6.872037914691943E-3</v>
      </c>
      <c r="F13" s="8">
        <f t="shared" si="4"/>
        <v>6.2956434147569884E-3</v>
      </c>
      <c r="G13" s="8">
        <f t="shared" si="4"/>
        <v>7.8802206461780922E-3</v>
      </c>
      <c r="H13" s="8">
        <f t="shared" si="4"/>
        <v>7.0863995639138732E-3</v>
      </c>
      <c r="I13" s="8">
        <f t="shared" si="4"/>
        <v>4.9960557454641072E-3</v>
      </c>
      <c r="K13" s="34" t="s">
        <v>52</v>
      </c>
    </row>
    <row r="14" spans="1:19" x14ac:dyDescent="0.25">
      <c r="A14" s="34" t="s">
        <v>14</v>
      </c>
      <c r="B14" s="9">
        <f>L8/L4</f>
        <v>2.8031026252983295</v>
      </c>
      <c r="C14" s="9">
        <f t="shared" ref="C14:I14" si="5">M8/M4</f>
        <v>0.77118644067796616</v>
      </c>
      <c r="D14" s="9">
        <f t="shared" si="5"/>
        <v>0.7454663212435233</v>
      </c>
      <c r="E14" s="9">
        <f t="shared" si="5"/>
        <v>0.38121855785354947</v>
      </c>
      <c r="F14" s="9">
        <f t="shared" si="5"/>
        <v>0.26619789050728276</v>
      </c>
      <c r="G14" s="9">
        <f t="shared" si="5"/>
        <v>1.2487992315081652E-2</v>
      </c>
      <c r="H14" s="9">
        <f t="shared" si="5"/>
        <v>0.29017632241813601</v>
      </c>
      <c r="I14" s="9">
        <f t="shared" si="5"/>
        <v>0.2343973320628871</v>
      </c>
      <c r="K14" s="34" t="s">
        <v>29</v>
      </c>
      <c r="L14">
        <v>2350</v>
      </c>
      <c r="M14">
        <v>2350</v>
      </c>
      <c r="N14">
        <v>1170</v>
      </c>
      <c r="O14">
        <v>2750</v>
      </c>
      <c r="P14">
        <v>2940</v>
      </c>
      <c r="Q14">
        <v>2540</v>
      </c>
      <c r="R14">
        <v>2770</v>
      </c>
      <c r="S14">
        <v>3910</v>
      </c>
    </row>
    <row r="15" spans="1:19" x14ac:dyDescent="0.25">
      <c r="A15" s="34" t="s">
        <v>40</v>
      </c>
      <c r="B15" s="9">
        <f>L5/L11</f>
        <v>0.10598572213069742</v>
      </c>
      <c r="C15" s="9">
        <f t="shared" ref="C15:I15" si="6">M5/M11</f>
        <v>0.25667090216010163</v>
      </c>
      <c r="D15" s="9">
        <f t="shared" si="6"/>
        <v>0.28072153325817362</v>
      </c>
      <c r="E15" s="9">
        <f t="shared" si="6"/>
        <v>0.28678304239401498</v>
      </c>
      <c r="F15" s="9">
        <f t="shared" si="6"/>
        <v>0.16158940397350993</v>
      </c>
      <c r="G15" s="9">
        <f t="shared" si="6"/>
        <v>6.2454077883908887E-2</v>
      </c>
      <c r="H15" s="9">
        <f t="shared" si="6"/>
        <v>0.26043165467625901</v>
      </c>
      <c r="I15" s="9">
        <f t="shared" si="6"/>
        <v>0.267538644470868</v>
      </c>
    </row>
    <row r="16" spans="1:19" x14ac:dyDescent="0.25">
      <c r="A16" s="34" t="s">
        <v>15</v>
      </c>
      <c r="B16">
        <f>L9/B4</f>
        <v>0</v>
      </c>
      <c r="C16" s="8">
        <f t="shared" ref="C16:I16" si="7">M9/C4</f>
        <v>5.269761606022585E-3</v>
      </c>
      <c r="D16" s="8">
        <f t="shared" si="7"/>
        <v>1.7077335935594047E-3</v>
      </c>
      <c r="E16" s="8">
        <f t="shared" si="7"/>
        <v>1.6587677725118483E-3</v>
      </c>
      <c r="F16" s="8">
        <f t="shared" si="7"/>
        <v>2.5182573659027953E-3</v>
      </c>
      <c r="G16" s="8">
        <f t="shared" si="7"/>
        <v>3.6774363015497765E-3</v>
      </c>
      <c r="H16" s="8">
        <f t="shared" si="7"/>
        <v>3.8157536113382394E-3</v>
      </c>
      <c r="I16" s="8">
        <f t="shared" si="7"/>
        <v>3.4183539311070208E-3</v>
      </c>
    </row>
    <row r="17" spans="1:9" x14ac:dyDescent="0.25">
      <c r="A17" s="34" t="s">
        <v>9</v>
      </c>
      <c r="B17" s="8">
        <f>L10/L2</f>
        <v>1.2422360248447204E-2</v>
      </c>
      <c r="C17" s="8">
        <f t="shared" ref="C17:I17" si="8">M10/M2</f>
        <v>0.16249288560045533</v>
      </c>
      <c r="D17" s="8">
        <f t="shared" si="8"/>
        <v>5.1692469168197322E-2</v>
      </c>
      <c r="E17" s="8">
        <f t="shared" si="8"/>
        <v>9.630266552020636E-2</v>
      </c>
      <c r="F17" s="8">
        <f t="shared" si="8"/>
        <v>8.775451677659879E-2</v>
      </c>
      <c r="G17" s="8">
        <f t="shared" si="8"/>
        <v>7.090464547677261E-2</v>
      </c>
      <c r="H17" s="8">
        <f t="shared" si="8"/>
        <v>3.56839422259983E-2</v>
      </c>
      <c r="I17" s="8">
        <f t="shared" si="8"/>
        <v>7.2259810554803794E-2</v>
      </c>
    </row>
    <row r="18" spans="1:9" x14ac:dyDescent="0.25">
      <c r="A18" s="34" t="s">
        <v>44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s="34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s="34" t="s">
        <v>57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s="35" t="s">
        <v>58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1"/>
  <dimension ref="A1:S21"/>
  <sheetViews>
    <sheetView workbookViewId="0">
      <selection activeCell="B11" sqref="B11:I11"/>
    </sheetView>
  </sheetViews>
  <sheetFormatPr defaultRowHeight="15" x14ac:dyDescent="0.25"/>
  <sheetData>
    <row r="1" spans="1:19" ht="17.25" x14ac:dyDescent="0.25">
      <c r="A1" s="32" t="s">
        <v>12</v>
      </c>
      <c r="B1" s="36">
        <v>2006</v>
      </c>
      <c r="C1" s="36">
        <v>2007</v>
      </c>
      <c r="D1" s="36">
        <v>2008</v>
      </c>
      <c r="E1" s="36">
        <v>2009</v>
      </c>
      <c r="F1" s="36">
        <v>2010</v>
      </c>
      <c r="G1" s="36">
        <v>2011</v>
      </c>
      <c r="H1" s="36">
        <v>2012</v>
      </c>
      <c r="I1" s="36">
        <v>2013</v>
      </c>
      <c r="L1" s="36">
        <v>2006</v>
      </c>
      <c r="M1" s="36">
        <v>2007</v>
      </c>
      <c r="N1" s="36">
        <v>2008</v>
      </c>
      <c r="O1" s="36">
        <v>2009</v>
      </c>
      <c r="P1" s="36">
        <v>2010</v>
      </c>
      <c r="Q1" s="36">
        <v>2011</v>
      </c>
      <c r="R1" s="36">
        <v>2012</v>
      </c>
      <c r="S1" s="36">
        <v>2013</v>
      </c>
    </row>
    <row r="2" spans="1:19" ht="15.75" x14ac:dyDescent="0.25">
      <c r="A2" s="33" t="s">
        <v>24</v>
      </c>
      <c r="K2" s="34" t="s">
        <v>33</v>
      </c>
      <c r="L2">
        <v>18213</v>
      </c>
      <c r="M2">
        <v>18467</v>
      </c>
      <c r="N2">
        <v>16620</v>
      </c>
      <c r="O2">
        <v>17192</v>
      </c>
      <c r="P2">
        <v>10587</v>
      </c>
      <c r="Q2">
        <v>9789</v>
      </c>
      <c r="R2">
        <v>8944</v>
      </c>
      <c r="S2">
        <v>8158</v>
      </c>
    </row>
    <row r="3" spans="1:19" x14ac:dyDescent="0.25">
      <c r="A3" s="34" t="s">
        <v>10</v>
      </c>
      <c r="B3" s="25">
        <f>LN(L2)</f>
        <v>9.8098909037985429</v>
      </c>
      <c r="C3" s="25">
        <f t="shared" ref="C3:I3" si="0">LN(M2)</f>
        <v>9.8237406344458726</v>
      </c>
      <c r="D3" s="25">
        <f t="shared" si="0"/>
        <v>9.7183620684094389</v>
      </c>
      <c r="E3" s="25">
        <f t="shared" si="0"/>
        <v>9.7521994383223465</v>
      </c>
      <c r="F3" s="25">
        <f t="shared" si="0"/>
        <v>9.2673821123433804</v>
      </c>
      <c r="G3" s="25">
        <f t="shared" si="0"/>
        <v>9.1890145852614307</v>
      </c>
      <c r="H3" s="25">
        <f t="shared" si="0"/>
        <v>9.0987381953948798</v>
      </c>
      <c r="I3" s="25">
        <f t="shared" si="0"/>
        <v>9.0067543198775031</v>
      </c>
      <c r="K3" s="34" t="s">
        <v>27</v>
      </c>
      <c r="L3">
        <v>3600</v>
      </c>
      <c r="M3">
        <v>3609</v>
      </c>
      <c r="N3">
        <v>3792</v>
      </c>
      <c r="O3">
        <v>3825</v>
      </c>
      <c r="P3">
        <v>3089</v>
      </c>
      <c r="Q3">
        <v>2276</v>
      </c>
      <c r="R3">
        <v>2120</v>
      </c>
      <c r="S3">
        <v>1941</v>
      </c>
    </row>
    <row r="4" spans="1:19" x14ac:dyDescent="0.25">
      <c r="A4" s="34" t="s">
        <v>13</v>
      </c>
      <c r="B4">
        <v>6372</v>
      </c>
      <c r="C4">
        <v>6443</v>
      </c>
      <c r="D4">
        <v>6645</v>
      </c>
      <c r="E4">
        <v>6581</v>
      </c>
      <c r="F4">
        <v>5326</v>
      </c>
      <c r="G4">
        <v>4323</v>
      </c>
      <c r="H4">
        <v>3999</v>
      </c>
      <c r="I4">
        <v>3660</v>
      </c>
      <c r="K4" s="34" t="s">
        <v>28</v>
      </c>
      <c r="L4">
        <v>5120</v>
      </c>
      <c r="M4">
        <v>4051</v>
      </c>
      <c r="N4">
        <v>2197</v>
      </c>
      <c r="O4">
        <v>6109</v>
      </c>
      <c r="P4">
        <v>3469</v>
      </c>
      <c r="Q4">
        <v>3028</v>
      </c>
      <c r="R4">
        <v>3543</v>
      </c>
      <c r="S4">
        <v>3653</v>
      </c>
    </row>
    <row r="5" spans="1:19" x14ac:dyDescent="0.25">
      <c r="A5" s="34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34" t="s">
        <v>53</v>
      </c>
      <c r="L5">
        <v>478</v>
      </c>
      <c r="M5">
        <v>605</v>
      </c>
      <c r="N5">
        <v>319</v>
      </c>
      <c r="O5">
        <v>350</v>
      </c>
      <c r="P5">
        <v>450</v>
      </c>
      <c r="Q5">
        <v>557</v>
      </c>
      <c r="R5">
        <v>198</v>
      </c>
      <c r="S5">
        <v>113</v>
      </c>
    </row>
    <row r="6" spans="1:19" x14ac:dyDescent="0.25">
      <c r="A6" s="34" t="s">
        <v>11</v>
      </c>
      <c r="B6" s="9">
        <f>L3/B4</f>
        <v>0.56497175141242939</v>
      </c>
      <c r="C6" s="9">
        <f t="shared" ref="C6:I6" si="1">M3/C4</f>
        <v>0.560142790625485</v>
      </c>
      <c r="D6" s="9">
        <f t="shared" si="1"/>
        <v>0.57065462753950336</v>
      </c>
      <c r="E6" s="9">
        <f t="shared" si="1"/>
        <v>0.58121865977814924</v>
      </c>
      <c r="F6" s="9">
        <f t="shared" si="1"/>
        <v>0.57998497934660154</v>
      </c>
      <c r="G6" s="9">
        <f t="shared" si="1"/>
        <v>0.52648623640990055</v>
      </c>
      <c r="H6" s="9">
        <f t="shared" si="1"/>
        <v>0.53013253313328335</v>
      </c>
      <c r="I6" s="9">
        <f t="shared" si="1"/>
        <v>0.53032786885245897</v>
      </c>
      <c r="K6" s="37" t="s">
        <v>62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ht="15.75" x14ac:dyDescent="0.25">
      <c r="A7" s="33" t="s">
        <v>21</v>
      </c>
      <c r="K7" s="34" t="s">
        <v>30</v>
      </c>
      <c r="L7">
        <v>121</v>
      </c>
      <c r="M7">
        <v>177</v>
      </c>
      <c r="N7">
        <v>178</v>
      </c>
      <c r="O7">
        <v>232</v>
      </c>
      <c r="P7">
        <v>263</v>
      </c>
      <c r="Q7">
        <v>325</v>
      </c>
      <c r="R7">
        <v>327</v>
      </c>
      <c r="S7">
        <v>259</v>
      </c>
    </row>
    <row r="8" spans="1:19" x14ac:dyDescent="0.25">
      <c r="A8" s="34" t="s">
        <v>8</v>
      </c>
      <c r="B8" s="9">
        <f>(L2+L14-L4)/L2</f>
        <v>1.6248284192609674</v>
      </c>
      <c r="C8" s="9">
        <f t="shared" ref="C8:I8" si="2">(M2+M14-M4)/M2</f>
        <v>1.2896518113391455</v>
      </c>
      <c r="D8" s="9">
        <f t="shared" si="2"/>
        <v>0.97190132370637783</v>
      </c>
      <c r="E8" s="9">
        <f t="shared" si="2"/>
        <v>0.98202652396463475</v>
      </c>
      <c r="F8" s="9">
        <f t="shared" si="2"/>
        <v>0.93680929441768201</v>
      </c>
      <c r="G8" s="9">
        <f t="shared" si="2"/>
        <v>0.80304423332311781</v>
      </c>
      <c r="H8" s="9">
        <f t="shared" si="2"/>
        <v>0.72766211985688722</v>
      </c>
      <c r="I8" s="9">
        <f t="shared" si="2"/>
        <v>1.1613039960774703</v>
      </c>
      <c r="K8" s="34" t="s">
        <v>34</v>
      </c>
      <c r="L8">
        <v>9044</v>
      </c>
      <c r="M8">
        <v>10264</v>
      </c>
      <c r="N8">
        <v>9948</v>
      </c>
      <c r="O8">
        <v>6645</v>
      </c>
      <c r="P8">
        <v>3951</v>
      </c>
      <c r="Q8">
        <v>3535</v>
      </c>
      <c r="R8">
        <v>2704</v>
      </c>
      <c r="S8">
        <v>2340</v>
      </c>
    </row>
    <row r="9" spans="1:19" x14ac:dyDescent="0.25">
      <c r="A9" s="34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 s="34" t="s">
        <v>31</v>
      </c>
      <c r="L9">
        <v>146</v>
      </c>
      <c r="M9">
        <v>150</v>
      </c>
      <c r="N9">
        <v>220</v>
      </c>
      <c r="O9">
        <v>101</v>
      </c>
      <c r="P9">
        <v>65</v>
      </c>
      <c r="Q9">
        <v>34</v>
      </c>
      <c r="R9">
        <v>23</v>
      </c>
      <c r="S9">
        <v>38</v>
      </c>
    </row>
    <row r="10" spans="1:19" x14ac:dyDescent="0.25">
      <c r="A10" s="34" t="s"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K10" s="34" t="s">
        <v>32</v>
      </c>
      <c r="L10">
        <v>1054</v>
      </c>
      <c r="M10">
        <v>1305</v>
      </c>
      <c r="N10">
        <v>-315</v>
      </c>
      <c r="O10">
        <v>616</v>
      </c>
      <c r="P10">
        <v>-4620</v>
      </c>
      <c r="Q10">
        <v>-184</v>
      </c>
      <c r="R10">
        <v>241</v>
      </c>
      <c r="S10">
        <v>232</v>
      </c>
    </row>
    <row r="11" spans="1:19" x14ac:dyDescent="0.25">
      <c r="A11" s="34" t="s">
        <v>7</v>
      </c>
      <c r="B11" s="9">
        <f>B10/B4</f>
        <v>0</v>
      </c>
      <c r="C11" s="9">
        <f t="shared" ref="C11:I11" si="3">C10/C4</f>
        <v>0</v>
      </c>
      <c r="D11" s="9">
        <f t="shared" si="3"/>
        <v>0</v>
      </c>
      <c r="E11" s="9">
        <f t="shared" si="3"/>
        <v>0</v>
      </c>
      <c r="F11" s="9">
        <f t="shared" si="3"/>
        <v>0</v>
      </c>
      <c r="G11" s="9">
        <f t="shared" si="3"/>
        <v>0</v>
      </c>
      <c r="H11" s="9">
        <f t="shared" si="3"/>
        <v>0</v>
      </c>
      <c r="I11" s="9">
        <f t="shared" si="3"/>
        <v>0</v>
      </c>
      <c r="K11" s="34" t="s">
        <v>54</v>
      </c>
      <c r="L11">
        <v>2947</v>
      </c>
      <c r="M11">
        <v>2775</v>
      </c>
      <c r="N11">
        <v>3027</v>
      </c>
      <c r="O11">
        <v>2739</v>
      </c>
      <c r="P11">
        <v>2602</v>
      </c>
      <c r="Q11">
        <v>2560</v>
      </c>
      <c r="R11">
        <v>2070</v>
      </c>
      <c r="S11">
        <v>1762</v>
      </c>
    </row>
    <row r="12" spans="1:19" ht="15.75" x14ac:dyDescent="0.25">
      <c r="A12" s="33" t="s">
        <v>0</v>
      </c>
      <c r="K12" s="34" t="s">
        <v>51</v>
      </c>
      <c r="R12">
        <v>100.2</v>
      </c>
      <c r="S12">
        <v>100.2</v>
      </c>
    </row>
    <row r="13" spans="1:19" x14ac:dyDescent="0.25">
      <c r="A13" s="34" t="s">
        <v>16</v>
      </c>
      <c r="B13" s="9">
        <f>L7/B4</f>
        <v>1.898932831136221E-2</v>
      </c>
      <c r="C13" s="9">
        <f t="shared" ref="C13:I13" si="4">M7/C4</f>
        <v>2.7471674685705418E-2</v>
      </c>
      <c r="D13" s="9">
        <f t="shared" si="4"/>
        <v>2.6787057938299472E-2</v>
      </c>
      <c r="E13" s="9">
        <f t="shared" si="4"/>
        <v>3.5253001063668132E-2</v>
      </c>
      <c r="F13" s="9">
        <f t="shared" si="4"/>
        <v>4.9380398047315061E-2</v>
      </c>
      <c r="G13" s="9">
        <f t="shared" si="4"/>
        <v>7.5179273652556097E-2</v>
      </c>
      <c r="H13" s="9">
        <f t="shared" si="4"/>
        <v>8.1770442610652666E-2</v>
      </c>
      <c r="I13" s="9">
        <f t="shared" si="4"/>
        <v>7.0765027322404375E-2</v>
      </c>
      <c r="K13" s="34" t="s">
        <v>52</v>
      </c>
      <c r="R13">
        <v>11.05</v>
      </c>
      <c r="S13">
        <v>49.59</v>
      </c>
    </row>
    <row r="14" spans="1:19" x14ac:dyDescent="0.25">
      <c r="A14" s="34" t="s">
        <v>14</v>
      </c>
      <c r="B14" s="9">
        <f>L8/L4</f>
        <v>1.76640625</v>
      </c>
      <c r="C14" s="9">
        <f t="shared" ref="C14:I14" si="5">M8/M4</f>
        <v>2.533695383855838</v>
      </c>
      <c r="D14" s="9">
        <f t="shared" si="5"/>
        <v>4.5279927173418297</v>
      </c>
      <c r="E14" s="9">
        <f t="shared" si="5"/>
        <v>1.0877394008839418</v>
      </c>
      <c r="F14" s="9">
        <f t="shared" si="5"/>
        <v>1.13894494090516</v>
      </c>
      <c r="G14" s="9">
        <f t="shared" si="5"/>
        <v>1.1674372523117569</v>
      </c>
      <c r="H14" s="9">
        <f t="shared" si="5"/>
        <v>0.76319503245836862</v>
      </c>
      <c r="I14" s="9">
        <f t="shared" si="5"/>
        <v>0.64056939501779364</v>
      </c>
      <c r="K14" s="34" t="s">
        <v>29</v>
      </c>
      <c r="L14">
        <v>16500</v>
      </c>
      <c r="M14">
        <v>9400</v>
      </c>
      <c r="N14">
        <v>1730</v>
      </c>
      <c r="O14">
        <v>5800</v>
      </c>
      <c r="P14">
        <v>2800</v>
      </c>
      <c r="Q14">
        <v>1100</v>
      </c>
      <c r="R14" s="16">
        <f>R12*R13</f>
        <v>1107.21</v>
      </c>
      <c r="S14" s="16">
        <f>S12*S13</f>
        <v>4968.9180000000006</v>
      </c>
    </row>
    <row r="15" spans="1:19" x14ac:dyDescent="0.25">
      <c r="A15" s="34" t="s">
        <v>40</v>
      </c>
      <c r="B15" s="9">
        <f>L5/L11</f>
        <v>0.16219884628435696</v>
      </c>
      <c r="C15" s="9">
        <f t="shared" ref="C15:I15" si="6">M5/M11</f>
        <v>0.21801801801801801</v>
      </c>
      <c r="D15" s="9">
        <f t="shared" si="6"/>
        <v>0.10538486950776346</v>
      </c>
      <c r="E15" s="9">
        <f t="shared" si="6"/>
        <v>0.12778386272362177</v>
      </c>
      <c r="F15" s="9">
        <f t="shared" si="6"/>
        <v>0.17294388931591084</v>
      </c>
      <c r="G15" s="9">
        <f t="shared" si="6"/>
        <v>0.21757812500000001</v>
      </c>
      <c r="H15" s="9">
        <f t="shared" si="6"/>
        <v>9.5652173913043481E-2</v>
      </c>
      <c r="I15" s="9">
        <f t="shared" si="6"/>
        <v>6.4131668558456298E-2</v>
      </c>
    </row>
    <row r="16" spans="1:19" x14ac:dyDescent="0.25">
      <c r="A16" s="34" t="s">
        <v>15</v>
      </c>
      <c r="B16" s="9">
        <f>L9/B4</f>
        <v>2.2912743251726302E-2</v>
      </c>
      <c r="C16" s="9">
        <f t="shared" ref="C16:I16" si="7">M9/C4</f>
        <v>2.3281080242123234E-2</v>
      </c>
      <c r="D16" s="9">
        <f t="shared" si="7"/>
        <v>3.3107599699021821E-2</v>
      </c>
      <c r="E16" s="9">
        <f t="shared" si="7"/>
        <v>1.5347211669958973E-2</v>
      </c>
      <c r="F16" s="9">
        <f t="shared" si="7"/>
        <v>1.2204280886218551E-2</v>
      </c>
      <c r="G16" s="9">
        <f t="shared" si="7"/>
        <v>7.8649086282674072E-3</v>
      </c>
      <c r="H16" s="9">
        <f t="shared" si="7"/>
        <v>5.7514378594648663E-3</v>
      </c>
      <c r="I16" s="9">
        <f t="shared" si="7"/>
        <v>1.0382513661202186E-2</v>
      </c>
    </row>
    <row r="17" spans="1:9" x14ac:dyDescent="0.25">
      <c r="A17" s="34" t="s">
        <v>9</v>
      </c>
      <c r="B17" s="8">
        <f>L10/L2</f>
        <v>5.7870751660901554E-2</v>
      </c>
      <c r="C17" s="8">
        <f t="shared" ref="C17:I17" si="8">M10/M2</f>
        <v>7.0666594465803867E-2</v>
      </c>
      <c r="D17" s="8">
        <f t="shared" si="8"/>
        <v>-1.895306859205776E-2</v>
      </c>
      <c r="E17" s="8">
        <f t="shared" si="8"/>
        <v>3.5830618892508145E-2</v>
      </c>
      <c r="F17" s="8">
        <f t="shared" si="8"/>
        <v>-0.43638424482856331</v>
      </c>
      <c r="G17" s="8">
        <f t="shared" si="8"/>
        <v>-1.8796608438042702E-2</v>
      </c>
      <c r="H17" s="8">
        <f t="shared" si="8"/>
        <v>2.6945438282647585E-2</v>
      </c>
      <c r="I17" s="8">
        <f t="shared" si="8"/>
        <v>2.8438342731061536E-2</v>
      </c>
    </row>
    <row r="18" spans="1:9" x14ac:dyDescent="0.25">
      <c r="A18" s="34" t="s">
        <v>44</v>
      </c>
      <c r="B18">
        <v>1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5">
      <c r="A19" s="34" t="s">
        <v>48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25">
      <c r="A20" s="34" t="s">
        <v>57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s="35" t="s">
        <v>58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2"/>
  <dimension ref="A1:S21"/>
  <sheetViews>
    <sheetView workbookViewId="0">
      <selection activeCell="B21" sqref="B21"/>
    </sheetView>
  </sheetViews>
  <sheetFormatPr defaultRowHeight="15" x14ac:dyDescent="0.25"/>
  <sheetData>
    <row r="1" spans="1:19" ht="17.25" x14ac:dyDescent="0.25">
      <c r="A1" s="32" t="s">
        <v>12</v>
      </c>
      <c r="B1" s="36">
        <v>2006</v>
      </c>
      <c r="C1" s="36">
        <v>2007</v>
      </c>
      <c r="D1" s="36">
        <v>2008</v>
      </c>
      <c r="E1" s="36">
        <v>2009</v>
      </c>
      <c r="F1" s="36">
        <v>2010</v>
      </c>
      <c r="G1" s="36">
        <v>2011</v>
      </c>
      <c r="H1" s="36">
        <v>2012</v>
      </c>
      <c r="I1" s="36">
        <v>2013</v>
      </c>
      <c r="L1" s="36">
        <v>2006</v>
      </c>
      <c r="M1" s="36">
        <v>2007</v>
      </c>
      <c r="N1" s="36">
        <v>2008</v>
      </c>
      <c r="O1" s="36">
        <v>2009</v>
      </c>
      <c r="P1" s="36">
        <v>2010</v>
      </c>
      <c r="Q1" s="36">
        <v>2011</v>
      </c>
      <c r="R1" s="36">
        <v>2012</v>
      </c>
      <c r="S1" s="36">
        <v>2013</v>
      </c>
    </row>
    <row r="2" spans="1:19" ht="15.75" x14ac:dyDescent="0.25">
      <c r="A2" s="33" t="s">
        <v>24</v>
      </c>
      <c r="K2" s="34" t="s">
        <v>33</v>
      </c>
      <c r="L2">
        <v>2051</v>
      </c>
      <c r="M2">
        <v>2438</v>
      </c>
      <c r="N2">
        <v>3013</v>
      </c>
      <c r="O2">
        <v>3151</v>
      </c>
      <c r="P2">
        <v>2988</v>
      </c>
      <c r="Q2">
        <v>3257</v>
      </c>
      <c r="R2">
        <v>4647</v>
      </c>
      <c r="S2">
        <v>6014</v>
      </c>
    </row>
    <row r="3" spans="1:19" x14ac:dyDescent="0.25">
      <c r="A3" s="34" t="s">
        <v>10</v>
      </c>
      <c r="B3" s="25">
        <f>LN(L2)</f>
        <v>7.6260827580723802</v>
      </c>
      <c r="C3" s="25">
        <f t="shared" ref="C3:I3" si="0">LN(M2)</f>
        <v>7.7989333100412166</v>
      </c>
      <c r="D3" s="25">
        <f t="shared" si="0"/>
        <v>8.0106915391303009</v>
      </c>
      <c r="E3" s="25">
        <f t="shared" si="0"/>
        <v>8.0554751417572739</v>
      </c>
      <c r="F3" s="25">
        <f t="shared" si="0"/>
        <v>8.0023595462527073</v>
      </c>
      <c r="G3" s="25">
        <f t="shared" si="0"/>
        <v>8.0885618052762336</v>
      </c>
      <c r="H3" s="25">
        <f t="shared" si="0"/>
        <v>8.4439771290849777</v>
      </c>
      <c r="I3" s="25">
        <f t="shared" si="0"/>
        <v>8.7018453635484736</v>
      </c>
      <c r="K3" s="34" t="s">
        <v>27</v>
      </c>
      <c r="L3">
        <v>1938</v>
      </c>
      <c r="M3">
        <v>2399</v>
      </c>
      <c r="N3">
        <v>2532</v>
      </c>
      <c r="O3">
        <v>2698</v>
      </c>
      <c r="P3">
        <v>2298</v>
      </c>
      <c r="Q3">
        <v>2589</v>
      </c>
      <c r="R3">
        <v>3586</v>
      </c>
      <c r="S3">
        <v>3471</v>
      </c>
    </row>
    <row r="4" spans="1:19" x14ac:dyDescent="0.25">
      <c r="A4" s="34" t="s">
        <v>13</v>
      </c>
      <c r="B4">
        <v>3895</v>
      </c>
      <c r="C4">
        <v>4570</v>
      </c>
      <c r="D4">
        <v>5529</v>
      </c>
      <c r="E4">
        <v>5339</v>
      </c>
      <c r="F4">
        <v>5272</v>
      </c>
      <c r="G4">
        <v>5988</v>
      </c>
      <c r="H4">
        <v>7503</v>
      </c>
      <c r="I4">
        <v>8199</v>
      </c>
      <c r="K4" s="34" t="s">
        <v>28</v>
      </c>
      <c r="L4">
        <v>836</v>
      </c>
      <c r="M4">
        <v>950</v>
      </c>
      <c r="N4">
        <v>1415</v>
      </c>
      <c r="O4">
        <v>1596</v>
      </c>
      <c r="P4">
        <v>1430</v>
      </c>
      <c r="Q4">
        <v>1504</v>
      </c>
      <c r="R4">
        <v>1674</v>
      </c>
      <c r="S4">
        <v>1618</v>
      </c>
    </row>
    <row r="5" spans="1:19" x14ac:dyDescent="0.25">
      <c r="A5" s="34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34" t="s">
        <v>53</v>
      </c>
      <c r="L5">
        <v>256</v>
      </c>
      <c r="M5">
        <v>192</v>
      </c>
      <c r="N5">
        <v>321</v>
      </c>
      <c r="O5">
        <v>557</v>
      </c>
      <c r="P5">
        <v>377</v>
      </c>
      <c r="Q5">
        <v>220</v>
      </c>
      <c r="R5">
        <v>367</v>
      </c>
      <c r="S5">
        <v>321</v>
      </c>
    </row>
    <row r="6" spans="1:19" x14ac:dyDescent="0.25">
      <c r="A6" s="34" t="s">
        <v>11</v>
      </c>
      <c r="B6" s="9">
        <f>L3/B4</f>
        <v>0.4975609756097561</v>
      </c>
      <c r="C6" s="9">
        <f t="shared" ref="C6:I6" si="1">M3/C4</f>
        <v>0.52494529540481405</v>
      </c>
      <c r="D6" s="9">
        <f t="shared" si="1"/>
        <v>0.45794899620184482</v>
      </c>
      <c r="E6" s="9">
        <f t="shared" si="1"/>
        <v>0.50533807829181498</v>
      </c>
      <c r="F6" s="9">
        <f t="shared" si="1"/>
        <v>0.43588770864946891</v>
      </c>
      <c r="G6" s="9">
        <f t="shared" si="1"/>
        <v>0.43236472945891785</v>
      </c>
      <c r="H6" s="9">
        <f t="shared" si="1"/>
        <v>0.47794215647074506</v>
      </c>
      <c r="I6" s="9">
        <f t="shared" si="1"/>
        <v>0.42334431028174169</v>
      </c>
      <c r="K6" s="37" t="s">
        <v>62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ht="15.75" x14ac:dyDescent="0.25">
      <c r="A7" s="33" t="s">
        <v>21</v>
      </c>
      <c r="K7" s="34" t="s">
        <v>30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25">
      <c r="A8" s="34" t="s">
        <v>8</v>
      </c>
      <c r="B8" s="9">
        <f>(L2+L14-L4)/L2</f>
        <v>2.748415407118479</v>
      </c>
      <c r="C8" s="9">
        <f t="shared" ref="C8:I8" si="2">(M2+M14-M4)/M2</f>
        <v>2.9068908941755538</v>
      </c>
      <c r="D8" s="9">
        <f t="shared" si="2"/>
        <v>1.5960836375705276</v>
      </c>
      <c r="E8" s="9">
        <f t="shared" si="2"/>
        <v>2.0685496667724532</v>
      </c>
      <c r="F8" s="9">
        <f t="shared" si="2"/>
        <v>2.3266398929049532</v>
      </c>
      <c r="G8" s="9">
        <f t="shared" si="2"/>
        <v>2.1525944120356155</v>
      </c>
      <c r="H8" s="9">
        <f t="shared" si="2"/>
        <v>2.0714439423283837</v>
      </c>
      <c r="I8" s="9">
        <f t="shared" si="2"/>
        <v>2.3377120053209177</v>
      </c>
      <c r="K8" s="34" t="s">
        <v>34</v>
      </c>
      <c r="L8">
        <v>106</v>
      </c>
      <c r="M8">
        <v>210</v>
      </c>
      <c r="N8">
        <v>161</v>
      </c>
      <c r="O8">
        <v>139</v>
      </c>
      <c r="P8">
        <v>137</v>
      </c>
      <c r="Q8">
        <v>79</v>
      </c>
      <c r="R8">
        <v>776</v>
      </c>
      <c r="S8">
        <v>1642</v>
      </c>
    </row>
    <row r="9" spans="1:19" x14ac:dyDescent="0.25">
      <c r="A9" s="34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 s="34" t="s">
        <v>31</v>
      </c>
      <c r="L9">
        <v>80</v>
      </c>
      <c r="M9">
        <v>98</v>
      </c>
      <c r="N9">
        <v>127</v>
      </c>
      <c r="O9">
        <v>88</v>
      </c>
      <c r="P9">
        <v>80</v>
      </c>
      <c r="Q9">
        <v>122</v>
      </c>
      <c r="R9">
        <v>156</v>
      </c>
      <c r="S9">
        <v>122</v>
      </c>
    </row>
    <row r="10" spans="1:19" x14ac:dyDescent="0.25">
      <c r="A10" s="34" t="s"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K10" s="34" t="s">
        <v>32</v>
      </c>
      <c r="L10">
        <v>258</v>
      </c>
      <c r="M10">
        <v>303</v>
      </c>
      <c r="N10">
        <v>403</v>
      </c>
      <c r="O10">
        <v>295</v>
      </c>
      <c r="P10">
        <v>300</v>
      </c>
      <c r="Q10">
        <v>375</v>
      </c>
      <c r="R10">
        <v>458</v>
      </c>
      <c r="S10">
        <v>380</v>
      </c>
    </row>
    <row r="11" spans="1:19" x14ac:dyDescent="0.25">
      <c r="A11" s="34" t="s">
        <v>7</v>
      </c>
      <c r="B11" s="9">
        <f>B10/B4</f>
        <v>0</v>
      </c>
      <c r="C11" s="9">
        <f t="shared" ref="C11:I11" si="3">C10/C4</f>
        <v>0</v>
      </c>
      <c r="D11" s="9">
        <f t="shared" si="3"/>
        <v>0</v>
      </c>
      <c r="E11" s="9">
        <f t="shared" si="3"/>
        <v>0</v>
      </c>
      <c r="F11" s="9">
        <f t="shared" si="3"/>
        <v>0</v>
      </c>
      <c r="G11" s="9">
        <f t="shared" si="3"/>
        <v>0</v>
      </c>
      <c r="H11" s="9">
        <f t="shared" si="3"/>
        <v>0</v>
      </c>
      <c r="I11" s="9">
        <f t="shared" si="3"/>
        <v>0</v>
      </c>
      <c r="K11" s="34" t="s">
        <v>54</v>
      </c>
      <c r="L11">
        <v>1107</v>
      </c>
      <c r="M11">
        <v>1390</v>
      </c>
      <c r="N11">
        <v>1464</v>
      </c>
      <c r="O11">
        <v>1429</v>
      </c>
      <c r="P11">
        <v>1408</v>
      </c>
      <c r="Q11">
        <v>1561</v>
      </c>
      <c r="R11">
        <v>2140</v>
      </c>
      <c r="S11">
        <v>2743</v>
      </c>
    </row>
    <row r="12" spans="1:19" ht="15.75" x14ac:dyDescent="0.25">
      <c r="A12" s="33" t="s">
        <v>0</v>
      </c>
      <c r="K12" s="34" t="s">
        <v>51</v>
      </c>
    </row>
    <row r="13" spans="1:19" x14ac:dyDescent="0.25">
      <c r="A13" s="34" t="s">
        <v>16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K13" s="34" t="s">
        <v>52</v>
      </c>
    </row>
    <row r="14" spans="1:19" x14ac:dyDescent="0.25">
      <c r="A14" s="34" t="s">
        <v>14</v>
      </c>
      <c r="B14" s="9">
        <f>L8/L4</f>
        <v>0.12679425837320574</v>
      </c>
      <c r="C14" s="9">
        <f t="shared" ref="C14:I14" si="4">M8/M4</f>
        <v>0.22105263157894736</v>
      </c>
      <c r="D14" s="9">
        <f t="shared" si="4"/>
        <v>0.1137809187279152</v>
      </c>
      <c r="E14" s="9">
        <f t="shared" si="4"/>
        <v>8.709273182957393E-2</v>
      </c>
      <c r="F14" s="9">
        <f t="shared" si="4"/>
        <v>9.5804195804195802E-2</v>
      </c>
      <c r="G14" s="9">
        <f t="shared" si="4"/>
        <v>5.2526595744680854E-2</v>
      </c>
      <c r="H14" s="9">
        <f t="shared" si="4"/>
        <v>0.46356033452807649</v>
      </c>
      <c r="I14" s="9">
        <f t="shared" si="4"/>
        <v>1.0148331273176761</v>
      </c>
      <c r="K14" s="34" t="s">
        <v>29</v>
      </c>
      <c r="L14">
        <v>4422</v>
      </c>
      <c r="M14">
        <v>5599</v>
      </c>
      <c r="N14">
        <v>3211</v>
      </c>
      <c r="O14">
        <v>4963</v>
      </c>
      <c r="P14">
        <v>5394</v>
      </c>
      <c r="Q14">
        <v>5258</v>
      </c>
      <c r="R14">
        <v>6653</v>
      </c>
      <c r="S14">
        <v>9663</v>
      </c>
    </row>
    <row r="15" spans="1:19" x14ac:dyDescent="0.25">
      <c r="A15" s="34" t="s">
        <v>40</v>
      </c>
      <c r="B15" s="9">
        <f>L5/L11</f>
        <v>0.23125564588979222</v>
      </c>
      <c r="C15" s="9">
        <f t="shared" ref="C15:I15" si="5">M5/M11</f>
        <v>0.13812949640287769</v>
      </c>
      <c r="D15" s="9">
        <f t="shared" si="5"/>
        <v>0.21926229508196721</v>
      </c>
      <c r="E15" s="9">
        <f t="shared" si="5"/>
        <v>0.38978306508047583</v>
      </c>
      <c r="F15" s="9">
        <f t="shared" si="5"/>
        <v>0.26775568181818182</v>
      </c>
      <c r="G15" s="9">
        <f t="shared" si="5"/>
        <v>0.14093529788597053</v>
      </c>
      <c r="H15" s="9">
        <f t="shared" si="5"/>
        <v>0.17149532710280374</v>
      </c>
      <c r="I15" s="9">
        <f t="shared" si="5"/>
        <v>0.11702515493984689</v>
      </c>
    </row>
    <row r="16" spans="1:19" x14ac:dyDescent="0.25">
      <c r="A16" s="34" t="s">
        <v>15</v>
      </c>
      <c r="B16" s="8">
        <f>L9/B4</f>
        <v>2.0539152759948651E-2</v>
      </c>
      <c r="C16" s="8">
        <f t="shared" ref="C16:I16" si="6">M9/C4</f>
        <v>2.1444201312910284E-2</v>
      </c>
      <c r="D16" s="8">
        <f t="shared" si="6"/>
        <v>2.2969795623078316E-2</v>
      </c>
      <c r="E16" s="8">
        <f t="shared" si="6"/>
        <v>1.6482487357182992E-2</v>
      </c>
      <c r="F16" s="8">
        <f t="shared" si="6"/>
        <v>1.5174506828528073E-2</v>
      </c>
      <c r="G16" s="8">
        <f t="shared" si="6"/>
        <v>2.0374081496325986E-2</v>
      </c>
      <c r="H16" s="8">
        <f t="shared" si="6"/>
        <v>2.0791683326669332E-2</v>
      </c>
      <c r="I16" s="8">
        <f t="shared" si="6"/>
        <v>1.4879863397975363E-2</v>
      </c>
    </row>
    <row r="17" spans="1:9" x14ac:dyDescent="0.25">
      <c r="A17" s="34" t="s">
        <v>9</v>
      </c>
      <c r="B17" s="8">
        <f>L10/L2</f>
        <v>0.12579229644076059</v>
      </c>
      <c r="C17" s="8">
        <f t="shared" ref="C17:I17" si="7">M10/M2</f>
        <v>0.12428219852337982</v>
      </c>
      <c r="D17" s="8">
        <f t="shared" si="7"/>
        <v>0.13375373382011285</v>
      </c>
      <c r="E17" s="8">
        <f t="shared" si="7"/>
        <v>9.3621072675341158E-2</v>
      </c>
      <c r="F17" s="8">
        <f t="shared" si="7"/>
        <v>0.10040160642570281</v>
      </c>
      <c r="G17" s="8">
        <f t="shared" si="7"/>
        <v>0.11513662879950876</v>
      </c>
      <c r="H17" s="8">
        <f t="shared" si="7"/>
        <v>9.8558209597589846E-2</v>
      </c>
      <c r="I17" s="8">
        <f t="shared" si="7"/>
        <v>6.3185899567675424E-2</v>
      </c>
    </row>
    <row r="18" spans="1:9" x14ac:dyDescent="0.25">
      <c r="A18" s="34" t="s">
        <v>44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s="34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s="34" t="s">
        <v>57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s="35" t="s">
        <v>58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3"/>
  <dimension ref="A1:S9"/>
  <sheetViews>
    <sheetView workbookViewId="0">
      <selection activeCell="B11" sqref="B11:I11"/>
    </sheetView>
  </sheetViews>
  <sheetFormatPr defaultRowHeight="15" x14ac:dyDescent="0.25"/>
  <cols>
    <col min="1" max="1" width="41.85546875" bestFit="1" customWidth="1"/>
  </cols>
  <sheetData>
    <row r="1" spans="1:19" x14ac:dyDescent="0.25">
      <c r="A1" t="s">
        <v>63</v>
      </c>
      <c r="B1" s="36">
        <v>2006</v>
      </c>
      <c r="C1" s="36">
        <v>2007</v>
      </c>
      <c r="D1" s="36">
        <v>2008</v>
      </c>
      <c r="E1" s="36">
        <v>2009</v>
      </c>
      <c r="F1" s="36">
        <v>2010</v>
      </c>
      <c r="G1" s="36">
        <v>2011</v>
      </c>
      <c r="H1" s="36">
        <v>2012</v>
      </c>
      <c r="I1" s="36">
        <v>2013</v>
      </c>
      <c r="J1">
        <v>2009</v>
      </c>
      <c r="K1">
        <v>2010</v>
      </c>
      <c r="L1" s="36">
        <v>2006</v>
      </c>
      <c r="M1" s="36">
        <v>2007</v>
      </c>
      <c r="N1" s="36">
        <v>2008</v>
      </c>
      <c r="O1" s="36">
        <v>2009</v>
      </c>
      <c r="P1" s="36">
        <v>2010</v>
      </c>
      <c r="Q1" s="36">
        <v>2011</v>
      </c>
      <c r="R1" s="36">
        <v>2012</v>
      </c>
      <c r="S1" s="36">
        <v>2013</v>
      </c>
    </row>
    <row r="2" spans="1:19" x14ac:dyDescent="0.25">
      <c r="A2" t="s">
        <v>64</v>
      </c>
      <c r="B2">
        <v>5</v>
      </c>
      <c r="C2">
        <v>6</v>
      </c>
      <c r="D2">
        <v>7</v>
      </c>
      <c r="E2">
        <v>5</v>
      </c>
      <c r="F2">
        <v>4</v>
      </c>
      <c r="G2">
        <v>3</v>
      </c>
      <c r="H2">
        <v>5</v>
      </c>
      <c r="I2">
        <v>6</v>
      </c>
      <c r="J2">
        <v>9</v>
      </c>
      <c r="K2">
        <v>7</v>
      </c>
    </row>
    <row r="3" spans="1:19" x14ac:dyDescent="0.25">
      <c r="A3" t="s">
        <v>65</v>
      </c>
      <c r="B3">
        <f>AVERAGE(B2:K2)</f>
        <v>5.7</v>
      </c>
    </row>
    <row r="4" spans="1:19" x14ac:dyDescent="0.25">
      <c r="A4" t="s">
        <v>66</v>
      </c>
      <c r="B4">
        <f>_xlfn.STDEV.P(B2:K2)</f>
        <v>1.6155494421403511</v>
      </c>
    </row>
    <row r="5" spans="1:19" x14ac:dyDescent="0.25">
      <c r="A5" t="s">
        <v>70</v>
      </c>
      <c r="B5">
        <f ca="1">RAND()</f>
        <v>0.35985611709223708</v>
      </c>
      <c r="C5">
        <f t="shared" ref="C5:K5" ca="1" si="0">RAND()</f>
        <v>0.70320844831524909</v>
      </c>
      <c r="D5">
        <f t="shared" ca="1" si="0"/>
        <v>0.31410957671630735</v>
      </c>
      <c r="E5">
        <f t="shared" ca="1" si="0"/>
        <v>0.84522649086871271</v>
      </c>
      <c r="F5">
        <f t="shared" ca="1" si="0"/>
        <v>0.90412562698730814</v>
      </c>
      <c r="G5">
        <f t="shared" ca="1" si="0"/>
        <v>0.20840844632929745</v>
      </c>
      <c r="H5">
        <f t="shared" ca="1" si="0"/>
        <v>0.25669051845063628</v>
      </c>
      <c r="I5">
        <f t="shared" ca="1" si="0"/>
        <v>0.15225148196787708</v>
      </c>
      <c r="J5">
        <f t="shared" ca="1" si="0"/>
        <v>0.28159886846124849</v>
      </c>
      <c r="K5">
        <f t="shared" ca="1" si="0"/>
        <v>0.22493636234747938</v>
      </c>
    </row>
    <row r="6" spans="1:19" x14ac:dyDescent="0.25">
      <c r="A6" t="s">
        <v>71</v>
      </c>
      <c r="B6">
        <f ca="1">(B5-0.5)*2</f>
        <v>-0.28028776581552584</v>
      </c>
      <c r="C6">
        <f t="shared" ref="C6:K6" ca="1" si="1">(C5-0.5)*2</f>
        <v>0.40641689663049818</v>
      </c>
      <c r="D6">
        <f t="shared" ca="1" si="1"/>
        <v>-0.3717808465673853</v>
      </c>
      <c r="E6">
        <f t="shared" ca="1" si="1"/>
        <v>0.69045298173742542</v>
      </c>
      <c r="F6">
        <f t="shared" ca="1" si="1"/>
        <v>0.80825125397461628</v>
      </c>
      <c r="G6">
        <f t="shared" ca="1" si="1"/>
        <v>-0.5831831073414051</v>
      </c>
      <c r="H6">
        <f t="shared" ca="1" si="1"/>
        <v>-0.48661896309872743</v>
      </c>
      <c r="I6">
        <f t="shared" ca="1" si="1"/>
        <v>-0.69549703606424584</v>
      </c>
      <c r="J6">
        <f t="shared" ca="1" si="1"/>
        <v>-0.43680226307750303</v>
      </c>
      <c r="K6">
        <f t="shared" ca="1" si="1"/>
        <v>-0.55012727530504124</v>
      </c>
    </row>
    <row r="7" spans="1:19" x14ac:dyDescent="0.25">
      <c r="A7" s="38" t="s">
        <v>68</v>
      </c>
      <c r="B7" s="38"/>
      <c r="C7" s="38"/>
      <c r="D7" s="38"/>
      <c r="E7" s="38"/>
      <c r="F7" s="38"/>
      <c r="G7" s="38"/>
      <c r="H7" s="38"/>
      <c r="I7" s="38"/>
      <c r="J7" s="38"/>
      <c r="K7" s="38"/>
    </row>
    <row r="8" spans="1:19" x14ac:dyDescent="0.25">
      <c r="A8" s="38" t="s">
        <v>67</v>
      </c>
      <c r="B8" s="38"/>
      <c r="C8" s="38"/>
      <c r="D8" s="38"/>
      <c r="E8" s="38"/>
      <c r="F8" s="38"/>
      <c r="G8" s="38"/>
      <c r="H8" s="38"/>
      <c r="I8" s="38"/>
      <c r="J8" s="38"/>
      <c r="K8" s="38"/>
    </row>
    <row r="9" spans="1:19" x14ac:dyDescent="0.25">
      <c r="A9" t="s">
        <v>69</v>
      </c>
      <c r="B9">
        <f ca="1">$B$3+$B$4*B6</f>
        <v>5.2471812562979618</v>
      </c>
      <c r="C9">
        <f t="shared" ref="C9:K9" ca="1" si="2">$B$3+$B$4*C6</f>
        <v>6.3565865906278143</v>
      </c>
      <c r="D9">
        <f t="shared" ca="1" si="2"/>
        <v>5.0993696607295931</v>
      </c>
      <c r="E9">
        <f t="shared" ca="1" si="2"/>
        <v>6.8154609294700403</v>
      </c>
      <c r="F9">
        <f t="shared" ca="1" si="2"/>
        <v>7.0057698624679308</v>
      </c>
      <c r="G9">
        <f t="shared" ca="1" si="2"/>
        <v>4.7578388562689167</v>
      </c>
      <c r="H9">
        <f t="shared" ca="1" si="2"/>
        <v>4.9138430056309348</v>
      </c>
      <c r="I9">
        <f t="shared" ca="1" si="2"/>
        <v>4.57639015137614</v>
      </c>
      <c r="J9">
        <f t="shared" ca="1" si="2"/>
        <v>4.9943243475594974</v>
      </c>
      <c r="K9">
        <f t="shared" ca="1" si="2"/>
        <v>4.8112421872747495</v>
      </c>
    </row>
  </sheetData>
  <mergeCells count="2">
    <mergeCell ref="A8:K8"/>
    <mergeCell ref="A7:K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5"/>
  <dimension ref="A1:S34"/>
  <sheetViews>
    <sheetView workbookViewId="0">
      <selection activeCell="B11" sqref="B11"/>
    </sheetView>
  </sheetViews>
  <sheetFormatPr defaultRowHeight="15" x14ac:dyDescent="0.25"/>
  <cols>
    <col min="1" max="1" width="19.5703125" customWidth="1"/>
    <col min="11" max="11" width="12.5703125" customWidth="1"/>
  </cols>
  <sheetData>
    <row r="1" spans="1:19" ht="17.25" x14ac:dyDescent="0.25">
      <c r="A1" s="2" t="s">
        <v>12</v>
      </c>
      <c r="B1" s="36">
        <v>2006</v>
      </c>
      <c r="C1" s="36">
        <v>2007</v>
      </c>
      <c r="D1" s="36">
        <v>2008</v>
      </c>
      <c r="E1" s="36">
        <v>2009</v>
      </c>
      <c r="F1" s="36">
        <v>2010</v>
      </c>
      <c r="G1" s="36">
        <v>2011</v>
      </c>
      <c r="H1" s="36">
        <v>2012</v>
      </c>
      <c r="I1" s="36">
        <v>2013</v>
      </c>
      <c r="K1" s="5"/>
      <c r="L1" s="36">
        <v>2006</v>
      </c>
      <c r="M1" s="36">
        <v>2007</v>
      </c>
      <c r="N1" s="36">
        <v>2008</v>
      </c>
      <c r="O1" s="36">
        <v>2009</v>
      </c>
      <c r="P1" s="36">
        <v>2010</v>
      </c>
      <c r="Q1" s="36">
        <v>2011</v>
      </c>
      <c r="R1" s="36">
        <v>2012</v>
      </c>
      <c r="S1" s="36">
        <v>2013</v>
      </c>
    </row>
    <row r="2" spans="1:19" ht="15.75" x14ac:dyDescent="0.25">
      <c r="A2" s="3" t="s">
        <v>24</v>
      </c>
      <c r="K2" s="4" t="s">
        <v>33</v>
      </c>
      <c r="L2">
        <v>35213</v>
      </c>
      <c r="M2">
        <v>33204</v>
      </c>
      <c r="N2">
        <v>30987</v>
      </c>
      <c r="O2">
        <v>27635</v>
      </c>
      <c r="P2">
        <v>36716</v>
      </c>
      <c r="Q2">
        <v>40323</v>
      </c>
      <c r="R2">
        <v>40001</v>
      </c>
      <c r="S2">
        <v>34409</v>
      </c>
    </row>
    <row r="3" spans="1:19" x14ac:dyDescent="0.25">
      <c r="A3" s="4" t="s">
        <v>10</v>
      </c>
      <c r="B3" s="9">
        <f>LN(L2)</f>
        <v>10.469170611586833</v>
      </c>
      <c r="C3" s="9">
        <f t="shared" ref="C3:I3" si="0">LN(M2)</f>
        <v>10.410425629574926</v>
      </c>
      <c r="D3" s="9">
        <f t="shared" si="0"/>
        <v>10.341323040674743</v>
      </c>
      <c r="E3" s="9">
        <f t="shared" si="0"/>
        <v>10.226838364267364</v>
      </c>
      <c r="F3" s="9">
        <f t="shared" si="0"/>
        <v>10.510967906338982</v>
      </c>
      <c r="G3" s="9">
        <f t="shared" si="0"/>
        <v>10.604677304739258</v>
      </c>
      <c r="H3" s="9">
        <f t="shared" si="0"/>
        <v>10.596659732783579</v>
      </c>
      <c r="I3" s="9">
        <f t="shared" si="0"/>
        <v>10.446073437049854</v>
      </c>
      <c r="K3" s="4" t="s">
        <v>27</v>
      </c>
      <c r="L3">
        <v>28480</v>
      </c>
      <c r="M3">
        <v>25831</v>
      </c>
      <c r="N3">
        <v>23139</v>
      </c>
      <c r="O3">
        <v>21650</v>
      </c>
      <c r="P3">
        <v>27628</v>
      </c>
      <c r="Q3">
        <v>32700</v>
      </c>
      <c r="R3">
        <v>33279</v>
      </c>
      <c r="S3">
        <v>28248</v>
      </c>
    </row>
    <row r="4" spans="1:19" x14ac:dyDescent="0.25">
      <c r="A4" s="4" t="s">
        <v>13</v>
      </c>
      <c r="B4">
        <v>35213</v>
      </c>
      <c r="C4">
        <v>33204</v>
      </c>
      <c r="D4">
        <v>30987</v>
      </c>
      <c r="E4">
        <v>27635</v>
      </c>
      <c r="F4">
        <v>36716</v>
      </c>
      <c r="G4">
        <v>40323</v>
      </c>
      <c r="H4">
        <v>40001</v>
      </c>
      <c r="I4">
        <v>34409</v>
      </c>
      <c r="K4" s="4" t="s">
        <v>28</v>
      </c>
      <c r="L4">
        <v>16089</v>
      </c>
      <c r="M4">
        <v>12932</v>
      </c>
      <c r="N4">
        <v>16131</v>
      </c>
      <c r="O4">
        <v>16257</v>
      </c>
      <c r="P4">
        <v>18846</v>
      </c>
      <c r="Q4">
        <v>21032</v>
      </c>
      <c r="R4">
        <v>22354</v>
      </c>
      <c r="S4">
        <v>23075</v>
      </c>
    </row>
    <row r="5" spans="1:19" x14ac:dyDescent="0.25">
      <c r="A5" s="4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4" t="s">
        <v>53</v>
      </c>
      <c r="L5">
        <v>3196</v>
      </c>
      <c r="M5">
        <v>878</v>
      </c>
      <c r="N5">
        <v>1204</v>
      </c>
      <c r="O5">
        <v>825</v>
      </c>
      <c r="P5">
        <v>821</v>
      </c>
      <c r="Q5">
        <v>355</v>
      </c>
      <c r="R5">
        <v>1011</v>
      </c>
      <c r="S5">
        <v>611</v>
      </c>
    </row>
    <row r="6" spans="1:19" x14ac:dyDescent="0.25">
      <c r="A6" s="4" t="s">
        <v>11</v>
      </c>
      <c r="B6" s="9">
        <f>L3/B4</f>
        <v>0.80879220742339475</v>
      </c>
      <c r="C6" s="9">
        <f t="shared" ref="C6:I6" si="1">M3/C4</f>
        <v>0.77794843994699436</v>
      </c>
      <c r="D6" s="9">
        <f t="shared" si="1"/>
        <v>0.74673250072611097</v>
      </c>
      <c r="E6" s="9">
        <f t="shared" si="1"/>
        <v>0.78342681382305046</v>
      </c>
      <c r="F6" s="9">
        <f t="shared" si="1"/>
        <v>0.75247848349493407</v>
      </c>
      <c r="G6" s="9">
        <f t="shared" si="1"/>
        <v>0.81095156610371255</v>
      </c>
      <c r="H6" s="9">
        <f t="shared" si="1"/>
        <v>0.83195420114497143</v>
      </c>
      <c r="I6" s="9">
        <f t="shared" si="1"/>
        <v>0.82094800778865995</v>
      </c>
      <c r="K6" s="21" t="s">
        <v>62</v>
      </c>
      <c r="L6">
        <v>17159</v>
      </c>
      <c r="M6">
        <v>6513</v>
      </c>
      <c r="N6">
        <v>1731</v>
      </c>
      <c r="O6">
        <v>8077</v>
      </c>
      <c r="P6">
        <v>3312</v>
      </c>
      <c r="Q6">
        <v>10248</v>
      </c>
      <c r="R6">
        <v>7796</v>
      </c>
      <c r="S6">
        <v>6828</v>
      </c>
    </row>
    <row r="7" spans="1:19" ht="15.75" x14ac:dyDescent="0.25">
      <c r="A7" s="3" t="s">
        <v>21</v>
      </c>
      <c r="K7" s="4" t="s">
        <v>30</v>
      </c>
      <c r="L7">
        <v>215</v>
      </c>
      <c r="M7">
        <v>322</v>
      </c>
      <c r="N7">
        <v>377</v>
      </c>
      <c r="O7">
        <v>218</v>
      </c>
      <c r="P7">
        <v>286</v>
      </c>
      <c r="Q7">
        <v>358</v>
      </c>
      <c r="R7">
        <v>429</v>
      </c>
      <c r="S7">
        <v>405</v>
      </c>
    </row>
    <row r="8" spans="1:19" x14ac:dyDescent="0.25">
      <c r="A8" s="4" t="s">
        <v>8</v>
      </c>
      <c r="B8" s="9">
        <f>(L2+L14-L4)/L2</f>
        <v>1.8760256155397153</v>
      </c>
      <c r="C8" s="9">
        <f t="shared" ref="C8:I8" si="2">(M2+M14-M4)/M2</f>
        <v>1.2810053005661968</v>
      </c>
      <c r="D8" s="9">
        <f t="shared" si="2"/>
        <v>0.63682189305192494</v>
      </c>
      <c r="E8" s="9">
        <f t="shared" si="2"/>
        <v>1.3248923466618416</v>
      </c>
      <c r="F8" s="9">
        <f t="shared" si="2"/>
        <v>1.5068580455387295</v>
      </c>
      <c r="G8" s="9">
        <f t="shared" si="2"/>
        <v>1.1613223222478486</v>
      </c>
      <c r="H8" s="9">
        <f t="shared" si="2"/>
        <v>1.2775280617984548</v>
      </c>
      <c r="I8" s="9">
        <f t="shared" si="2"/>
        <v>1.1133511581272342</v>
      </c>
      <c r="K8" s="4" t="s">
        <v>34</v>
      </c>
      <c r="L8">
        <v>3022</v>
      </c>
      <c r="M8">
        <v>6423</v>
      </c>
      <c r="N8">
        <v>7538</v>
      </c>
      <c r="O8">
        <v>8264</v>
      </c>
      <c r="P8">
        <v>5437</v>
      </c>
      <c r="Q8">
        <v>7024</v>
      </c>
      <c r="R8">
        <v>7358</v>
      </c>
      <c r="S8">
        <v>9350</v>
      </c>
    </row>
    <row r="9" spans="1:19" x14ac:dyDescent="0.25">
      <c r="A9" s="4" t="s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K9" s="4" t="s">
        <v>31</v>
      </c>
      <c r="L9">
        <v>1843</v>
      </c>
      <c r="M9">
        <v>2511</v>
      </c>
      <c r="N9">
        <v>4621</v>
      </c>
      <c r="O9">
        <v>4912</v>
      </c>
      <c r="P9">
        <v>2911</v>
      </c>
      <c r="Q9">
        <v>3992</v>
      </c>
      <c r="R9">
        <v>4151</v>
      </c>
      <c r="S9">
        <v>4954</v>
      </c>
    </row>
    <row r="10" spans="1:19" x14ac:dyDescent="0.25">
      <c r="A10" s="4" t="s">
        <v>5</v>
      </c>
      <c r="B10">
        <v>17159</v>
      </c>
      <c r="C10">
        <v>6513</v>
      </c>
      <c r="D10">
        <v>1731</v>
      </c>
      <c r="E10">
        <v>8077</v>
      </c>
      <c r="F10">
        <v>3312</v>
      </c>
      <c r="G10">
        <v>10248</v>
      </c>
      <c r="H10">
        <v>7796</v>
      </c>
      <c r="I10">
        <v>6828</v>
      </c>
      <c r="K10" s="4" t="s">
        <v>32</v>
      </c>
      <c r="L10">
        <v>6268</v>
      </c>
      <c r="M10">
        <v>3787</v>
      </c>
      <c r="N10">
        <v>935</v>
      </c>
      <c r="O10">
        <v>2501</v>
      </c>
      <c r="P10">
        <v>3957</v>
      </c>
      <c r="Q10">
        <v>3389</v>
      </c>
      <c r="R10">
        <v>3341</v>
      </c>
      <c r="S10">
        <v>1294</v>
      </c>
    </row>
    <row r="11" spans="1:19" x14ac:dyDescent="0.25">
      <c r="A11" s="4" t="s">
        <v>7</v>
      </c>
      <c r="B11" s="9">
        <f>B10/B4</f>
        <v>0.48729162525203762</v>
      </c>
      <c r="C11" s="9">
        <f t="shared" ref="C11:I11" si="3">C10/C4</f>
        <v>0.19615106613661004</v>
      </c>
      <c r="D11" s="9">
        <f t="shared" si="3"/>
        <v>5.5862135734340207E-2</v>
      </c>
      <c r="E11" s="9">
        <f t="shared" si="3"/>
        <v>0.29227428984982812</v>
      </c>
      <c r="F11" s="9">
        <f t="shared" si="3"/>
        <v>9.0205904782656068E-2</v>
      </c>
      <c r="G11" s="9">
        <f t="shared" si="3"/>
        <v>0.25414775686332863</v>
      </c>
      <c r="H11" s="9">
        <f t="shared" si="3"/>
        <v>0.19489512762180947</v>
      </c>
      <c r="I11" s="9">
        <f t="shared" si="3"/>
        <v>0.19843645557848238</v>
      </c>
      <c r="K11" s="4" t="s">
        <v>54</v>
      </c>
      <c r="L11">
        <v>5804</v>
      </c>
      <c r="M11">
        <v>6784</v>
      </c>
      <c r="N11">
        <v>3897</v>
      </c>
      <c r="O11">
        <v>6621</v>
      </c>
      <c r="P11">
        <v>7663</v>
      </c>
      <c r="Q11">
        <v>6918</v>
      </c>
      <c r="R11">
        <v>7759</v>
      </c>
      <c r="S11">
        <v>9005</v>
      </c>
    </row>
    <row r="12" spans="1:19" ht="15.75" x14ac:dyDescent="0.25">
      <c r="A12" s="3" t="s">
        <v>0</v>
      </c>
      <c r="K12" s="4" t="s">
        <v>51</v>
      </c>
      <c r="L12">
        <v>289</v>
      </c>
      <c r="M12">
        <v>274</v>
      </c>
      <c r="N12">
        <v>274</v>
      </c>
      <c r="O12">
        <v>274</v>
      </c>
      <c r="P12">
        <v>274</v>
      </c>
      <c r="Q12">
        <v>274</v>
      </c>
      <c r="R12">
        <v>274</v>
      </c>
      <c r="S12">
        <v>274</v>
      </c>
    </row>
    <row r="13" spans="1:19" x14ac:dyDescent="0.25">
      <c r="A13" s="4" t="s">
        <v>16</v>
      </c>
      <c r="B13" s="24">
        <f>L7/B4</f>
        <v>6.105699599579701E-3</v>
      </c>
      <c r="C13" s="24">
        <f t="shared" ref="C13:I13" si="4">M7/C4</f>
        <v>9.6976267919527768E-3</v>
      </c>
      <c r="D13" s="24">
        <f t="shared" si="4"/>
        <v>1.216639235808565E-2</v>
      </c>
      <c r="E13" s="24">
        <f t="shared" si="4"/>
        <v>7.8885471322598152E-3</v>
      </c>
      <c r="F13" s="24">
        <f t="shared" si="4"/>
        <v>7.7895195555071359E-3</v>
      </c>
      <c r="G13" s="24">
        <f t="shared" si="4"/>
        <v>8.8783076656002782E-3</v>
      </c>
      <c r="H13" s="24">
        <f t="shared" si="4"/>
        <v>1.0724731881702957E-2</v>
      </c>
      <c r="I13" s="24">
        <f t="shared" si="4"/>
        <v>1.1770176407335291E-2</v>
      </c>
      <c r="K13" s="4" t="s">
        <v>52</v>
      </c>
      <c r="L13">
        <v>162.41</v>
      </c>
      <c r="M13">
        <v>81.25</v>
      </c>
      <c r="N13">
        <v>17.8</v>
      </c>
      <c r="O13">
        <v>92.1</v>
      </c>
      <c r="P13">
        <v>136.69999999999999</v>
      </c>
      <c r="Q13">
        <v>100.5</v>
      </c>
      <c r="R13">
        <v>122.1</v>
      </c>
      <c r="S13">
        <v>98.45</v>
      </c>
    </row>
    <row r="14" spans="1:19" x14ac:dyDescent="0.25">
      <c r="A14" s="4" t="s">
        <v>14</v>
      </c>
      <c r="B14" s="9">
        <f>L8/L4</f>
        <v>0.18783019454285538</v>
      </c>
      <c r="C14" s="9">
        <f t="shared" ref="C14:I14" si="5">M8/M4</f>
        <v>0.49667491493968452</v>
      </c>
      <c r="D14" s="9">
        <f t="shared" si="5"/>
        <v>0.46729898952327814</v>
      </c>
      <c r="E14" s="9">
        <f t="shared" si="5"/>
        <v>0.50833487113243525</v>
      </c>
      <c r="F14" s="9">
        <f t="shared" si="5"/>
        <v>0.28849623262230711</v>
      </c>
      <c r="G14" s="9">
        <f t="shared" si="5"/>
        <v>0.33396728794218333</v>
      </c>
      <c r="H14" s="9">
        <f t="shared" si="5"/>
        <v>0.32915809251140737</v>
      </c>
      <c r="I14" s="9">
        <f t="shared" si="5"/>
        <v>0.40520043336944744</v>
      </c>
      <c r="K14" s="4" t="s">
        <v>29</v>
      </c>
      <c r="L14" s="16">
        <f>L12*L13</f>
        <v>46936.49</v>
      </c>
      <c r="M14" s="16">
        <f t="shared" ref="M14:S14" si="6">M12*M13</f>
        <v>22262.5</v>
      </c>
      <c r="N14" s="16">
        <f t="shared" si="6"/>
        <v>4877.2</v>
      </c>
      <c r="O14" s="16">
        <f t="shared" si="6"/>
        <v>25235.399999999998</v>
      </c>
      <c r="P14" s="16">
        <f t="shared" si="6"/>
        <v>37455.799999999996</v>
      </c>
      <c r="Q14" s="16">
        <f t="shared" si="6"/>
        <v>27537</v>
      </c>
      <c r="R14" s="16">
        <f t="shared" si="6"/>
        <v>33455.4</v>
      </c>
      <c r="S14" s="16">
        <f t="shared" si="6"/>
        <v>26975.3</v>
      </c>
    </row>
    <row r="15" spans="1:19" x14ac:dyDescent="0.25">
      <c r="A15" s="4" t="s">
        <v>40</v>
      </c>
      <c r="B15" s="9">
        <f>L5/L11</f>
        <v>0.55065472088215028</v>
      </c>
      <c r="C15" s="9">
        <f t="shared" ref="C15:I15" si="7">M5/M11</f>
        <v>0.12942216981132076</v>
      </c>
      <c r="D15" s="9">
        <f t="shared" si="7"/>
        <v>0.30895560687708495</v>
      </c>
      <c r="E15" s="9">
        <f t="shared" si="7"/>
        <v>0.12460353420933394</v>
      </c>
      <c r="F15" s="9">
        <f t="shared" si="7"/>
        <v>0.10713819652877463</v>
      </c>
      <c r="G15" s="9">
        <f t="shared" si="7"/>
        <v>5.1315409077768138E-2</v>
      </c>
      <c r="H15" s="9">
        <f t="shared" si="7"/>
        <v>0.13030029642995231</v>
      </c>
      <c r="I15" s="9">
        <f t="shared" si="7"/>
        <v>6.7851193781232652E-2</v>
      </c>
      <c r="K15" s="22"/>
    </row>
    <row r="16" spans="1:19" x14ac:dyDescent="0.25">
      <c r="A16" s="4" t="s">
        <v>15</v>
      </c>
      <c r="B16" s="8">
        <f>L9/B4</f>
        <v>5.2338624939652967E-2</v>
      </c>
      <c r="C16" s="8">
        <f t="shared" ref="C16:I16" si="8">M9/C4</f>
        <v>7.5623418865196967E-2</v>
      </c>
      <c r="D16" s="8">
        <f t="shared" si="8"/>
        <v>0.1491270532804079</v>
      </c>
      <c r="E16" s="8">
        <f t="shared" si="8"/>
        <v>0.17774561244798262</v>
      </c>
      <c r="F16" s="8">
        <f t="shared" si="8"/>
        <v>7.9284235755528926E-2</v>
      </c>
      <c r="G16" s="8">
        <f t="shared" si="8"/>
        <v>9.9000570394067899E-2</v>
      </c>
      <c r="H16" s="8">
        <f t="shared" si="8"/>
        <v>0.10377240568985775</v>
      </c>
      <c r="I16" s="8">
        <f t="shared" si="8"/>
        <v>0.14397396030108403</v>
      </c>
    </row>
    <row r="17" spans="1:9" x14ac:dyDescent="0.25">
      <c r="A17" s="4" t="s">
        <v>9</v>
      </c>
      <c r="B17" s="8">
        <f>L10/L2</f>
        <v>0.17800244227983983</v>
      </c>
      <c r="C17" s="8">
        <f t="shared" ref="C17:I17" si="9">M10/M2</f>
        <v>0.11405252379231418</v>
      </c>
      <c r="D17" s="8">
        <f t="shared" si="9"/>
        <v>3.017394391196308E-2</v>
      </c>
      <c r="E17" s="8">
        <f t="shared" si="9"/>
        <v>9.0501176044870638E-2</v>
      </c>
      <c r="F17" s="8">
        <f t="shared" si="9"/>
        <v>0.10777317790608999</v>
      </c>
      <c r="G17" s="8">
        <f t="shared" si="9"/>
        <v>8.4046325918210457E-2</v>
      </c>
      <c r="H17" s="8">
        <f t="shared" si="9"/>
        <v>8.3522911927201821E-2</v>
      </c>
      <c r="I17" s="8">
        <f t="shared" si="9"/>
        <v>3.7606440175535473E-2</v>
      </c>
    </row>
    <row r="18" spans="1:9" x14ac:dyDescent="0.25">
      <c r="A18" s="4" t="s">
        <v>44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s="4" t="s">
        <v>48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25">
      <c r="A20" t="s">
        <v>57</v>
      </c>
      <c r="B20">
        <v>6200</v>
      </c>
      <c r="C20">
        <v>-5025</v>
      </c>
      <c r="D20">
        <v>4149</v>
      </c>
      <c r="E20">
        <v>-1867</v>
      </c>
      <c r="F20">
        <v>-305</v>
      </c>
      <c r="G20">
        <v>523</v>
      </c>
      <c r="H20">
        <v>-147</v>
      </c>
      <c r="I20">
        <v>728</v>
      </c>
    </row>
    <row r="21" spans="1:9" x14ac:dyDescent="0.25">
      <c r="A21" s="17" t="s">
        <v>58</v>
      </c>
      <c r="B21">
        <v>1</v>
      </c>
      <c r="C21">
        <v>0</v>
      </c>
      <c r="D21">
        <v>1</v>
      </c>
      <c r="E21">
        <v>0</v>
      </c>
      <c r="F21">
        <v>0</v>
      </c>
      <c r="G21">
        <v>1</v>
      </c>
      <c r="H21">
        <v>0</v>
      </c>
      <c r="I21">
        <v>1</v>
      </c>
    </row>
    <row r="22" spans="1:9" x14ac:dyDescent="0.25">
      <c r="A22" s="17"/>
    </row>
    <row r="23" spans="1:9" x14ac:dyDescent="0.25">
      <c r="A23" s="17"/>
    </row>
    <row r="24" spans="1:9" x14ac:dyDescent="0.25">
      <c r="A24" s="17"/>
    </row>
    <row r="25" spans="1:9" x14ac:dyDescent="0.25">
      <c r="A25" s="18"/>
    </row>
    <row r="26" spans="1:9" x14ac:dyDescent="0.25">
      <c r="A26" s="17"/>
    </row>
    <row r="27" spans="1:9" x14ac:dyDescent="0.25">
      <c r="A27" s="17"/>
    </row>
    <row r="28" spans="1:9" x14ac:dyDescent="0.25">
      <c r="A28" s="17"/>
    </row>
    <row r="29" spans="1:9" x14ac:dyDescent="0.25">
      <c r="A29" s="17"/>
    </row>
    <row r="30" spans="1:9" x14ac:dyDescent="0.25">
      <c r="A30" s="17"/>
    </row>
    <row r="31" spans="1:9" x14ac:dyDescent="0.25">
      <c r="A31" s="17"/>
    </row>
    <row r="32" spans="1:9" x14ac:dyDescent="0.25">
      <c r="A32" s="17"/>
    </row>
    <row r="33" spans="1:1" x14ac:dyDescent="0.25">
      <c r="A33" s="17"/>
    </row>
    <row r="34" spans="1:1" x14ac:dyDescent="0.25">
      <c r="A34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6"/>
  <dimension ref="A1:S34"/>
  <sheetViews>
    <sheetView workbookViewId="0">
      <selection activeCell="D11" sqref="D11"/>
    </sheetView>
  </sheetViews>
  <sheetFormatPr defaultRowHeight="15" x14ac:dyDescent="0.25"/>
  <cols>
    <col min="1" max="1" width="19.5703125" customWidth="1"/>
    <col min="11" max="11" width="12.5703125" customWidth="1"/>
  </cols>
  <sheetData>
    <row r="1" spans="1:19" ht="17.25" x14ac:dyDescent="0.25">
      <c r="A1" s="2" t="s">
        <v>12</v>
      </c>
      <c r="B1" s="36">
        <v>2006</v>
      </c>
      <c r="C1" s="36">
        <v>2007</v>
      </c>
      <c r="D1" s="36">
        <v>2008</v>
      </c>
      <c r="E1" s="36">
        <v>2009</v>
      </c>
      <c r="F1" s="36">
        <v>2010</v>
      </c>
      <c r="G1" s="36">
        <v>2011</v>
      </c>
      <c r="H1" s="36">
        <v>2012</v>
      </c>
      <c r="I1" s="36">
        <v>2013</v>
      </c>
      <c r="K1" s="5"/>
      <c r="L1" s="36">
        <v>2006</v>
      </c>
      <c r="M1" s="36">
        <v>2007</v>
      </c>
      <c r="N1" s="36">
        <v>2008</v>
      </c>
      <c r="O1" s="36">
        <v>2009</v>
      </c>
      <c r="P1" s="36">
        <v>2010</v>
      </c>
      <c r="Q1" s="36">
        <v>2011</v>
      </c>
      <c r="R1" s="36">
        <v>2012</v>
      </c>
      <c r="S1" s="36">
        <v>2013</v>
      </c>
    </row>
    <row r="2" spans="1:19" ht="15.75" x14ac:dyDescent="0.25">
      <c r="A2" s="3" t="s">
        <v>24</v>
      </c>
      <c r="K2" s="4" t="s">
        <v>33</v>
      </c>
      <c r="L2">
        <v>66049</v>
      </c>
      <c r="M2">
        <v>66089</v>
      </c>
      <c r="N2">
        <v>73323</v>
      </c>
      <c r="O2">
        <v>72696</v>
      </c>
      <c r="P2">
        <v>73521</v>
      </c>
      <c r="Q2">
        <v>76384</v>
      </c>
      <c r="R2">
        <v>75194</v>
      </c>
      <c r="S2">
        <v>76001</v>
      </c>
    </row>
    <row r="3" spans="1:19" x14ac:dyDescent="0.25">
      <c r="A3" s="4" t="s">
        <v>10</v>
      </c>
      <c r="B3" s="9">
        <f>LN(L2)</f>
        <v>11.09815216979044</v>
      </c>
      <c r="C3" s="9">
        <f t="shared" ref="C3:I3" si="0">LN(M2)</f>
        <v>11.098757597467895</v>
      </c>
      <c r="D3" s="9">
        <f t="shared" si="0"/>
        <v>11.202629617646862</v>
      </c>
      <c r="E3" s="9">
        <f t="shared" si="0"/>
        <v>11.194041641375183</v>
      </c>
      <c r="F3" s="9">
        <f t="shared" si="0"/>
        <v>11.205326358678089</v>
      </c>
      <c r="G3" s="9">
        <f t="shared" si="0"/>
        <v>11.243528529138556</v>
      </c>
      <c r="H3" s="9">
        <f t="shared" si="0"/>
        <v>11.227826719520717</v>
      </c>
      <c r="I3" s="9">
        <f t="shared" si="0"/>
        <v>11.238501777076641</v>
      </c>
      <c r="K3" s="4" t="s">
        <v>27</v>
      </c>
      <c r="L3">
        <v>100333</v>
      </c>
      <c r="M3">
        <v>100756</v>
      </c>
      <c r="N3">
        <v>101102</v>
      </c>
      <c r="O3">
        <v>105733</v>
      </c>
      <c r="P3">
        <v>102973</v>
      </c>
      <c r="Q3">
        <v>97388</v>
      </c>
      <c r="R3">
        <v>106145</v>
      </c>
      <c r="S3">
        <v>105218</v>
      </c>
    </row>
    <row r="4" spans="1:19" x14ac:dyDescent="0.25">
      <c r="A4" s="4" t="s">
        <v>13</v>
      </c>
      <c r="B4">
        <v>103848</v>
      </c>
      <c r="C4">
        <v>104732</v>
      </c>
      <c r="D4">
        <v>104792</v>
      </c>
      <c r="E4">
        <v>109132</v>
      </c>
      <c r="F4">
        <v>106326</v>
      </c>
      <c r="G4">
        <v>101598</v>
      </c>
      <c r="H4">
        <v>109994</v>
      </c>
      <c r="I4">
        <v>109151</v>
      </c>
      <c r="K4" s="4" t="s">
        <v>28</v>
      </c>
      <c r="L4">
        <v>13194</v>
      </c>
      <c r="M4">
        <v>16040</v>
      </c>
      <c r="N4">
        <v>16385</v>
      </c>
      <c r="O4">
        <v>18841</v>
      </c>
      <c r="P4">
        <v>20613</v>
      </c>
      <c r="Q4">
        <v>17646</v>
      </c>
      <c r="R4">
        <v>15726</v>
      </c>
      <c r="S4">
        <v>14308</v>
      </c>
    </row>
    <row r="5" spans="1:19" x14ac:dyDescent="0.25">
      <c r="A5" s="4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4" t="s">
        <v>53</v>
      </c>
      <c r="L5">
        <v>5475</v>
      </c>
      <c r="M5">
        <v>5546</v>
      </c>
      <c r="N5">
        <v>7305</v>
      </c>
      <c r="O5">
        <v>9537</v>
      </c>
      <c r="P5">
        <v>10389</v>
      </c>
      <c r="Q5">
        <v>6966</v>
      </c>
      <c r="R5">
        <v>6835</v>
      </c>
      <c r="S5">
        <v>6607</v>
      </c>
    </row>
    <row r="6" spans="1:19" x14ac:dyDescent="0.25">
      <c r="A6" s="4" t="s">
        <v>11</v>
      </c>
      <c r="B6" s="8">
        <f>L3/B4</f>
        <v>0.96615245358601032</v>
      </c>
      <c r="C6" s="8">
        <f t="shared" ref="C6:I6" si="1">M3/C4</f>
        <v>0.96203643585532594</v>
      </c>
      <c r="D6" s="8">
        <f t="shared" si="1"/>
        <v>0.96478738835025579</v>
      </c>
      <c r="E6" s="8">
        <f t="shared" si="1"/>
        <v>0.96885423157277428</v>
      </c>
      <c r="F6" s="8">
        <f t="shared" si="1"/>
        <v>0.96846490980569189</v>
      </c>
      <c r="G6" s="8">
        <f t="shared" si="1"/>
        <v>0.95856217642079566</v>
      </c>
      <c r="H6" s="8">
        <f t="shared" si="1"/>
        <v>0.96500718220993875</v>
      </c>
      <c r="I6" s="8">
        <f t="shared" si="1"/>
        <v>0.96396734798581785</v>
      </c>
      <c r="K6" s="21" t="s">
        <v>62</v>
      </c>
      <c r="L6">
        <v>25500</v>
      </c>
      <c r="M6">
        <v>32813</v>
      </c>
      <c r="N6">
        <v>34381</v>
      </c>
      <c r="O6">
        <v>33430</v>
      </c>
      <c r="P6">
        <v>35960</v>
      </c>
      <c r="Q6">
        <v>39230</v>
      </c>
      <c r="R6">
        <v>45280</v>
      </c>
      <c r="S6">
        <v>45790</v>
      </c>
    </row>
    <row r="7" spans="1:19" ht="15.75" x14ac:dyDescent="0.25">
      <c r="A7" s="3" t="s">
        <v>21</v>
      </c>
      <c r="K7" s="4" t="s">
        <v>30</v>
      </c>
      <c r="L7">
        <v>1393</v>
      </c>
      <c r="M7">
        <v>1497</v>
      </c>
      <c r="N7">
        <v>1548</v>
      </c>
      <c r="O7">
        <v>1621</v>
      </c>
      <c r="P7">
        <v>1993</v>
      </c>
      <c r="Q7">
        <v>2043</v>
      </c>
      <c r="R7">
        <v>2613</v>
      </c>
      <c r="S7">
        <v>2739</v>
      </c>
    </row>
    <row r="8" spans="1:19" x14ac:dyDescent="0.25">
      <c r="A8" s="4" t="s">
        <v>8</v>
      </c>
      <c r="B8" s="9">
        <f>(L2+L14-L4)/L2</f>
        <v>1.3992732668170602</v>
      </c>
      <c r="C8" s="9">
        <f t="shared" ref="C8:I8" si="2">(M2+M14-M4)/M2</f>
        <v>1.2186218584030626</v>
      </c>
      <c r="D8" s="9">
        <f t="shared" si="2"/>
        <v>1.0342583500402329</v>
      </c>
      <c r="E8" s="9">
        <f t="shared" si="2"/>
        <v>1.3951936832838121</v>
      </c>
      <c r="F8" s="9">
        <f t="shared" si="2"/>
        <v>1.4589926687613064</v>
      </c>
      <c r="G8" s="9">
        <f t="shared" si="2"/>
        <v>1.1778591066191872</v>
      </c>
      <c r="H8" s="9">
        <f t="shared" si="2"/>
        <v>1.4391301167646355</v>
      </c>
      <c r="I8" s="9">
        <f t="shared" si="2"/>
        <v>1.4462664964934671</v>
      </c>
      <c r="K8" s="4" t="s">
        <v>34</v>
      </c>
      <c r="L8">
        <v>7495</v>
      </c>
      <c r="M8">
        <v>11163</v>
      </c>
      <c r="N8">
        <v>13946</v>
      </c>
      <c r="O8">
        <v>14022</v>
      </c>
      <c r="P8">
        <v>12096</v>
      </c>
      <c r="Q8">
        <v>14206</v>
      </c>
      <c r="R8">
        <v>13088</v>
      </c>
      <c r="S8">
        <v>14905</v>
      </c>
    </row>
    <row r="9" spans="1:19" x14ac:dyDescent="0.25">
      <c r="A9" s="4" t="s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K9" s="4" t="s">
        <v>31</v>
      </c>
    </row>
    <row r="10" spans="1:19" x14ac:dyDescent="0.25">
      <c r="A10" s="4" t="s">
        <v>5</v>
      </c>
      <c r="B10">
        <v>25500</v>
      </c>
      <c r="C10">
        <v>32813</v>
      </c>
      <c r="D10">
        <v>34381</v>
      </c>
      <c r="E10">
        <v>33430</v>
      </c>
      <c r="F10">
        <v>35960</v>
      </c>
      <c r="G10">
        <v>39230</v>
      </c>
      <c r="H10">
        <v>45280</v>
      </c>
      <c r="I10">
        <v>45790</v>
      </c>
      <c r="K10" s="4" t="s">
        <v>32</v>
      </c>
      <c r="L10">
        <v>2648</v>
      </c>
      <c r="M10">
        <v>2925</v>
      </c>
      <c r="N10">
        <v>366</v>
      </c>
      <c r="O10">
        <v>2607</v>
      </c>
      <c r="P10">
        <v>3997</v>
      </c>
      <c r="Q10">
        <v>2064</v>
      </c>
      <c r="R10">
        <v>2365</v>
      </c>
      <c r="S10">
        <v>672</v>
      </c>
    </row>
    <row r="11" spans="1:19" x14ac:dyDescent="0.25">
      <c r="A11" s="4" t="s">
        <v>7</v>
      </c>
      <c r="B11" s="9">
        <f>B10/B4</f>
        <v>0.24555119020106309</v>
      </c>
      <c r="C11" s="9">
        <f t="shared" ref="C11:I11" si="3">C10/C4</f>
        <v>0.31330443417484627</v>
      </c>
      <c r="D11" s="9">
        <f t="shared" si="3"/>
        <v>0.32808802198641118</v>
      </c>
      <c r="E11" s="9">
        <f t="shared" si="3"/>
        <v>0.30632628376644799</v>
      </c>
      <c r="F11" s="9">
        <f t="shared" si="3"/>
        <v>0.33820514267441643</v>
      </c>
      <c r="G11" s="9">
        <f t="shared" si="3"/>
        <v>0.38612964822142171</v>
      </c>
      <c r="H11" s="9">
        <f t="shared" si="3"/>
        <v>0.41165881775369567</v>
      </c>
      <c r="I11" s="9">
        <f t="shared" si="3"/>
        <v>0.41951058625207283</v>
      </c>
      <c r="K11" s="4" t="s">
        <v>54</v>
      </c>
      <c r="L11">
        <v>36304</v>
      </c>
      <c r="M11">
        <v>34148</v>
      </c>
      <c r="N11">
        <v>35096</v>
      </c>
      <c r="O11">
        <v>35178</v>
      </c>
      <c r="P11">
        <v>35897</v>
      </c>
      <c r="Q11">
        <v>37563</v>
      </c>
      <c r="R11">
        <v>39030</v>
      </c>
      <c r="S11">
        <v>40785</v>
      </c>
    </row>
    <row r="12" spans="1:19" ht="15.75" x14ac:dyDescent="0.25">
      <c r="A12" s="3" t="s">
        <v>0</v>
      </c>
      <c r="K12" s="4" t="s">
        <v>51</v>
      </c>
      <c r="L12">
        <v>288.8</v>
      </c>
      <c r="M12">
        <v>281</v>
      </c>
      <c r="N12">
        <v>283.10000000000002</v>
      </c>
      <c r="O12">
        <v>284</v>
      </c>
      <c r="P12">
        <v>284.60000000000002</v>
      </c>
      <c r="Q12">
        <v>284.7</v>
      </c>
      <c r="R12">
        <v>285.89999999999998</v>
      </c>
      <c r="S12">
        <v>286.2</v>
      </c>
    </row>
    <row r="13" spans="1:19" x14ac:dyDescent="0.25">
      <c r="A13" s="4" t="s">
        <v>16</v>
      </c>
      <c r="B13" s="8">
        <f>L7/B4</f>
        <v>1.3413835605885525E-2</v>
      </c>
      <c r="C13" s="8">
        <f t="shared" ref="C13:I13" si="4">M7/C4</f>
        <v>1.4293625634953977E-2</v>
      </c>
      <c r="D13" s="8">
        <f t="shared" si="4"/>
        <v>1.4772120009161005E-2</v>
      </c>
      <c r="E13" s="8">
        <f t="shared" si="4"/>
        <v>1.4853571821280651E-2</v>
      </c>
      <c r="F13" s="8">
        <f t="shared" si="4"/>
        <v>1.8744239414630475E-2</v>
      </c>
      <c r="G13" s="8">
        <f t="shared" si="4"/>
        <v>2.010866355636922E-2</v>
      </c>
      <c r="H13" s="8">
        <f t="shared" si="4"/>
        <v>2.3755841227703328E-2</v>
      </c>
      <c r="I13" s="8">
        <f t="shared" si="4"/>
        <v>2.5093677565940761E-2</v>
      </c>
      <c r="K13" s="4" t="s">
        <v>52</v>
      </c>
      <c r="L13">
        <v>137</v>
      </c>
      <c r="M13">
        <v>108.5</v>
      </c>
      <c r="N13">
        <v>66.75</v>
      </c>
      <c r="O13">
        <v>167.5</v>
      </c>
      <c r="P13">
        <v>191</v>
      </c>
      <c r="Q13">
        <v>109.7</v>
      </c>
      <c r="R13">
        <v>170.5</v>
      </c>
      <c r="S13">
        <v>168.5</v>
      </c>
    </row>
    <row r="14" spans="1:19" x14ac:dyDescent="0.25">
      <c r="A14" s="4" t="s">
        <v>14</v>
      </c>
      <c r="B14" s="9">
        <f>L8/L4</f>
        <v>0.56806123995755642</v>
      </c>
      <c r="C14" s="9">
        <f t="shared" ref="C14:H14" si="5">M8/M4</f>
        <v>0.69594763092269329</v>
      </c>
      <c r="D14" s="9">
        <f t="shared" si="5"/>
        <v>0.85114433933475742</v>
      </c>
      <c r="E14" s="9">
        <f t="shared" si="5"/>
        <v>0.74422801337508626</v>
      </c>
      <c r="F14" s="9">
        <f t="shared" si="5"/>
        <v>0.5868141464124581</v>
      </c>
      <c r="G14" s="9">
        <f t="shared" si="5"/>
        <v>0.80505496996486459</v>
      </c>
      <c r="H14" s="9">
        <f t="shared" si="5"/>
        <v>0.83225232099707491</v>
      </c>
      <c r="I14" s="9">
        <f>S8/S4</f>
        <v>1.0417249091417389</v>
      </c>
      <c r="K14" s="4" t="s">
        <v>29</v>
      </c>
      <c r="L14" s="16">
        <f>L12*L13</f>
        <v>39565.599999999999</v>
      </c>
      <c r="M14" s="16">
        <f t="shared" ref="M14:S14" si="6">M12*M13</f>
        <v>30488.5</v>
      </c>
      <c r="N14" s="16">
        <f t="shared" si="6"/>
        <v>18896.925000000003</v>
      </c>
      <c r="O14" s="16">
        <f t="shared" si="6"/>
        <v>47570</v>
      </c>
      <c r="P14" s="16">
        <f t="shared" si="6"/>
        <v>54358.600000000006</v>
      </c>
      <c r="Q14" s="16">
        <f t="shared" si="6"/>
        <v>31231.59</v>
      </c>
      <c r="R14" s="16">
        <f t="shared" si="6"/>
        <v>48745.95</v>
      </c>
      <c r="S14" s="16">
        <f t="shared" si="6"/>
        <v>48224.7</v>
      </c>
    </row>
    <row r="15" spans="1:19" x14ac:dyDescent="0.25">
      <c r="A15" s="4" t="s">
        <v>40</v>
      </c>
      <c r="B15" s="8">
        <f>L5/L11</f>
        <v>0.15080982811811372</v>
      </c>
      <c r="C15" s="8">
        <f t="shared" ref="C15:I15" si="7">M5/M11</f>
        <v>0.16241068290968724</v>
      </c>
      <c r="D15" s="8">
        <f t="shared" si="7"/>
        <v>0.20814337816275358</v>
      </c>
      <c r="E15" s="8">
        <f t="shared" si="7"/>
        <v>0.27110694183864914</v>
      </c>
      <c r="F15" s="8">
        <f t="shared" si="7"/>
        <v>0.28941137142379586</v>
      </c>
      <c r="G15" s="8">
        <f t="shared" si="7"/>
        <v>0.1854484466096957</v>
      </c>
      <c r="H15" s="8">
        <f t="shared" si="7"/>
        <v>0.17512170125544452</v>
      </c>
      <c r="I15" s="8">
        <f t="shared" si="7"/>
        <v>0.16199583180090721</v>
      </c>
      <c r="K15" s="22"/>
    </row>
    <row r="16" spans="1:19" x14ac:dyDescent="0.25">
      <c r="A16" s="4" t="s">
        <v>15</v>
      </c>
      <c r="B16">
        <v>0.03</v>
      </c>
      <c r="C16">
        <v>3.3000000000000002E-2</v>
      </c>
      <c r="D16">
        <v>0.03</v>
      </c>
      <c r="E16">
        <v>0.02</v>
      </c>
      <c r="F16">
        <v>0.03</v>
      </c>
      <c r="G16">
        <v>3.1E-2</v>
      </c>
      <c r="H16">
        <v>3.6999999999999998E-2</v>
      </c>
      <c r="I16">
        <v>3.2000000000000001E-2</v>
      </c>
    </row>
    <row r="17" spans="1:9" x14ac:dyDescent="0.25">
      <c r="A17" s="4" t="s">
        <v>9</v>
      </c>
      <c r="B17" s="9">
        <f>L10/L2</f>
        <v>4.0091447258853274E-2</v>
      </c>
      <c r="C17" s="9">
        <f t="shared" ref="C17:I17" si="8">M10/M2</f>
        <v>4.4258499901647777E-2</v>
      </c>
      <c r="D17" s="9">
        <f t="shared" si="8"/>
        <v>4.9916124544822221E-3</v>
      </c>
      <c r="E17" s="9">
        <f t="shared" si="8"/>
        <v>3.5861670518322876E-2</v>
      </c>
      <c r="F17" s="9">
        <f t="shared" si="8"/>
        <v>5.4365419403979813E-2</v>
      </c>
      <c r="G17" s="9">
        <f t="shared" si="8"/>
        <v>2.7021365731043152E-2</v>
      </c>
      <c r="H17" s="9">
        <f t="shared" si="8"/>
        <v>3.1451977551400376E-2</v>
      </c>
      <c r="I17" s="9">
        <f t="shared" si="8"/>
        <v>8.841988921198406E-3</v>
      </c>
    </row>
    <row r="18" spans="1:9" x14ac:dyDescent="0.25">
      <c r="A18" s="4" t="s">
        <v>44</v>
      </c>
      <c r="B18">
        <v>1</v>
      </c>
      <c r="C18">
        <v>1</v>
      </c>
      <c r="D18">
        <v>0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s="4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t="s">
        <v>57</v>
      </c>
      <c r="B20">
        <v>-134</v>
      </c>
      <c r="C20">
        <v>-69</v>
      </c>
      <c r="D20">
        <v>21</v>
      </c>
      <c r="E20">
        <v>-112</v>
      </c>
      <c r="F20">
        <v>-117</v>
      </c>
      <c r="G20">
        <v>111</v>
      </c>
      <c r="H20">
        <v>34</v>
      </c>
      <c r="I20">
        <v>41</v>
      </c>
    </row>
    <row r="21" spans="1:9" x14ac:dyDescent="0.25">
      <c r="A21" s="17" t="s">
        <v>58</v>
      </c>
      <c r="B21">
        <v>0</v>
      </c>
      <c r="C21">
        <v>0</v>
      </c>
      <c r="D21">
        <v>1</v>
      </c>
      <c r="E21">
        <v>0</v>
      </c>
      <c r="F21">
        <v>0</v>
      </c>
      <c r="G21">
        <v>1</v>
      </c>
      <c r="H21">
        <v>1</v>
      </c>
      <c r="I21">
        <v>1</v>
      </c>
    </row>
    <row r="22" spans="1:9" x14ac:dyDescent="0.25">
      <c r="A22" s="4"/>
    </row>
    <row r="23" spans="1:9" x14ac:dyDescent="0.25">
      <c r="A23" s="17"/>
    </row>
    <row r="24" spans="1:9" x14ac:dyDescent="0.25">
      <c r="A24" s="17"/>
    </row>
    <row r="25" spans="1:9" x14ac:dyDescent="0.25">
      <c r="A25" s="18"/>
    </row>
    <row r="26" spans="1:9" x14ac:dyDescent="0.25">
      <c r="A26" s="17"/>
    </row>
    <row r="27" spans="1:9" x14ac:dyDescent="0.25">
      <c r="A27" s="17"/>
    </row>
    <row r="28" spans="1:9" x14ac:dyDescent="0.25">
      <c r="A28" s="17"/>
    </row>
    <row r="29" spans="1:9" x14ac:dyDescent="0.25">
      <c r="A29" s="17"/>
    </row>
    <row r="30" spans="1:9" x14ac:dyDescent="0.25">
      <c r="A30" s="17"/>
    </row>
    <row r="31" spans="1:9" x14ac:dyDescent="0.25">
      <c r="A31" s="17"/>
    </row>
    <row r="32" spans="1:9" x14ac:dyDescent="0.25">
      <c r="A32" s="17"/>
    </row>
    <row r="33" spans="1:1" x14ac:dyDescent="0.25">
      <c r="A33" s="17"/>
    </row>
    <row r="34" spans="1:1" x14ac:dyDescent="0.25">
      <c r="A34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7"/>
  <dimension ref="A1:S34"/>
  <sheetViews>
    <sheetView workbookViewId="0">
      <selection activeCell="G11" sqref="G11"/>
    </sheetView>
  </sheetViews>
  <sheetFormatPr defaultRowHeight="15" x14ac:dyDescent="0.25"/>
  <cols>
    <col min="1" max="1" width="19.5703125" customWidth="1"/>
    <col min="2" max="2" width="9" customWidth="1"/>
    <col min="11" max="11" width="12.5703125" customWidth="1"/>
  </cols>
  <sheetData>
    <row r="1" spans="1:19" ht="17.25" x14ac:dyDescent="0.25">
      <c r="A1" s="2" t="s">
        <v>12</v>
      </c>
      <c r="B1" s="36">
        <v>2006</v>
      </c>
      <c r="C1" s="36">
        <v>2007</v>
      </c>
      <c r="D1" s="36">
        <v>2008</v>
      </c>
      <c r="E1" s="36">
        <v>2009</v>
      </c>
      <c r="F1" s="36">
        <v>2010</v>
      </c>
      <c r="G1" s="36">
        <v>2011</v>
      </c>
      <c r="H1" s="36">
        <v>2012</v>
      </c>
      <c r="I1" s="36">
        <v>2013</v>
      </c>
      <c r="K1" s="5"/>
      <c r="L1" s="36">
        <v>2006</v>
      </c>
      <c r="M1" s="36">
        <v>2007</v>
      </c>
      <c r="N1" s="36">
        <v>2008</v>
      </c>
      <c r="O1" s="36">
        <v>2009</v>
      </c>
      <c r="P1" s="36">
        <v>2010</v>
      </c>
      <c r="Q1" s="36">
        <v>2011</v>
      </c>
      <c r="R1" s="36">
        <v>2012</v>
      </c>
      <c r="S1" s="36">
        <v>2013</v>
      </c>
    </row>
    <row r="2" spans="1:19" ht="15.75" x14ac:dyDescent="0.25">
      <c r="A2" s="3" t="s">
        <v>24</v>
      </c>
      <c r="K2" s="4" t="s">
        <v>33</v>
      </c>
      <c r="L2">
        <v>214940</v>
      </c>
      <c r="M2">
        <v>245117</v>
      </c>
      <c r="N2">
        <v>285684</v>
      </c>
      <c r="O2">
        <v>269809</v>
      </c>
      <c r="P2">
        <v>281815</v>
      </c>
      <c r="Q2">
        <v>280349</v>
      </c>
      <c r="R2">
        <v>274996</v>
      </c>
      <c r="S2">
        <v>269190</v>
      </c>
    </row>
    <row r="3" spans="1:19" x14ac:dyDescent="0.25">
      <c r="A3" s="4" t="s">
        <v>10</v>
      </c>
      <c r="B3" s="25">
        <f>LN(L2)</f>
        <v>12.278114198395144</v>
      </c>
      <c r="C3" s="25">
        <f t="shared" ref="C3:I3" si="0">LN(M2)</f>
        <v>12.409490926556073</v>
      </c>
      <c r="D3" s="25">
        <f t="shared" si="0"/>
        <v>12.562641583850509</v>
      </c>
      <c r="E3" s="25">
        <f t="shared" si="0"/>
        <v>12.505469580242421</v>
      </c>
      <c r="F3" s="25">
        <f t="shared" si="0"/>
        <v>12.549006106270687</v>
      </c>
      <c r="G3" s="25">
        <f t="shared" si="0"/>
        <v>12.543790534575598</v>
      </c>
      <c r="H3" s="25">
        <f t="shared" si="0"/>
        <v>12.524511831088377</v>
      </c>
      <c r="I3" s="25">
        <f t="shared" si="0"/>
        <v>12.503172728960212</v>
      </c>
      <c r="K3" s="4" t="s">
        <v>27</v>
      </c>
      <c r="L3">
        <v>172012</v>
      </c>
      <c r="M3">
        <v>179385</v>
      </c>
      <c r="N3">
        <v>200054</v>
      </c>
      <c r="O3">
        <v>202381</v>
      </c>
      <c r="P3">
        <v>199111</v>
      </c>
      <c r="Q3">
        <v>223039</v>
      </c>
      <c r="R3">
        <v>222746</v>
      </c>
      <c r="S3">
        <v>222949</v>
      </c>
    </row>
    <row r="4" spans="1:19" x14ac:dyDescent="0.25">
      <c r="A4" s="4" t="s">
        <v>13</v>
      </c>
      <c r="B4">
        <v>179821</v>
      </c>
      <c r="C4">
        <v>187780</v>
      </c>
      <c r="D4">
        <v>208930</v>
      </c>
      <c r="E4">
        <v>206477</v>
      </c>
      <c r="F4">
        <v>203348</v>
      </c>
      <c r="G4">
        <v>226921</v>
      </c>
      <c r="H4">
        <v>227779</v>
      </c>
      <c r="I4">
        <v>227326</v>
      </c>
      <c r="K4" s="4" t="s">
        <v>28</v>
      </c>
      <c r="L4">
        <v>120113</v>
      </c>
      <c r="M4">
        <v>134112</v>
      </c>
      <c r="N4">
        <v>140823</v>
      </c>
      <c r="O4">
        <v>139870</v>
      </c>
      <c r="P4">
        <v>145106</v>
      </c>
      <c r="Q4">
        <v>143105</v>
      </c>
      <c r="R4">
        <v>136883</v>
      </c>
      <c r="S4">
        <v>140214</v>
      </c>
    </row>
    <row r="5" spans="1:19" x14ac:dyDescent="0.25">
      <c r="A5" s="4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4" t="s">
        <v>53</v>
      </c>
      <c r="L5">
        <v>62280</v>
      </c>
      <c r="M5">
        <v>57716</v>
      </c>
      <c r="N5">
        <v>75005</v>
      </c>
      <c r="O5">
        <v>76724</v>
      </c>
      <c r="P5">
        <v>87150</v>
      </c>
      <c r="Q5">
        <v>80542</v>
      </c>
      <c r="R5">
        <v>76708</v>
      </c>
      <c r="S5">
        <v>77089</v>
      </c>
    </row>
    <row r="6" spans="1:19" x14ac:dyDescent="0.25">
      <c r="A6" s="4" t="s">
        <v>11</v>
      </c>
      <c r="B6" s="8">
        <f>L3/B4</f>
        <v>0.95657348140650977</v>
      </c>
      <c r="C6" s="8">
        <f t="shared" ref="C6:I6" si="1">M3/C4</f>
        <v>0.95529342848013632</v>
      </c>
      <c r="D6" s="8">
        <f t="shared" si="1"/>
        <v>0.95751687167950983</v>
      </c>
      <c r="E6" s="8">
        <f t="shared" si="1"/>
        <v>0.98016243940003001</v>
      </c>
      <c r="F6" s="8">
        <f t="shared" si="1"/>
        <v>0.9791637980211263</v>
      </c>
      <c r="G6" s="8">
        <f t="shared" si="1"/>
        <v>0.98289272478087086</v>
      </c>
      <c r="H6" s="8">
        <f t="shared" si="1"/>
        <v>0.97790402100281415</v>
      </c>
      <c r="I6" s="8">
        <f t="shared" si="1"/>
        <v>0.98074571320482484</v>
      </c>
      <c r="K6" s="21" t="s">
        <v>62</v>
      </c>
      <c r="L6">
        <v>10449</v>
      </c>
      <c r="M6">
        <v>7933</v>
      </c>
      <c r="N6">
        <v>34800</v>
      </c>
      <c r="O6">
        <v>13328</v>
      </c>
      <c r="P6">
        <v>12224</v>
      </c>
      <c r="Q6">
        <v>7368</v>
      </c>
      <c r="R6">
        <v>12728</v>
      </c>
      <c r="S6">
        <v>6497</v>
      </c>
    </row>
    <row r="7" spans="1:19" ht="15.75" x14ac:dyDescent="0.25">
      <c r="A7" s="3" t="s">
        <v>21</v>
      </c>
      <c r="K7" s="4" t="s">
        <v>30</v>
      </c>
      <c r="L7">
        <v>27533</v>
      </c>
      <c r="M7">
        <v>28842</v>
      </c>
      <c r="N7">
        <v>33584</v>
      </c>
      <c r="O7">
        <v>33055</v>
      </c>
      <c r="P7">
        <v>31558</v>
      </c>
      <c r="Q7">
        <v>32638</v>
      </c>
      <c r="R7">
        <v>32833</v>
      </c>
      <c r="S7">
        <v>32236</v>
      </c>
    </row>
    <row r="8" spans="1:19" x14ac:dyDescent="0.25">
      <c r="A8" s="4" t="s">
        <v>8</v>
      </c>
      <c r="B8" s="9">
        <f>(L2+L14-L4)/L2</f>
        <v>2.482704475667628</v>
      </c>
      <c r="C8" s="9">
        <f t="shared" ref="C8:I8" si="2">(M2+M14-M4)/M2</f>
        <v>1.4369268553384711</v>
      </c>
      <c r="D8" s="9">
        <f t="shared" si="2"/>
        <v>1.1621980929978579</v>
      </c>
      <c r="E8" s="9">
        <f t="shared" si="2"/>
        <v>1.2607437112920621</v>
      </c>
      <c r="F8" s="9">
        <f t="shared" si="2"/>
        <v>1.3716606639107218</v>
      </c>
      <c r="G8" s="9">
        <f t="shared" si="2"/>
        <v>1.2946234871535123</v>
      </c>
      <c r="H8" s="9">
        <f t="shared" si="2"/>
        <v>1.2635623790891504</v>
      </c>
      <c r="I8" s="9">
        <f t="shared" si="2"/>
        <v>1.4198781529774509</v>
      </c>
      <c r="K8" s="4" t="s">
        <v>34</v>
      </c>
      <c r="L8">
        <v>21552</v>
      </c>
      <c r="M8">
        <v>33404</v>
      </c>
      <c r="N8">
        <v>40354</v>
      </c>
      <c r="O8">
        <v>40653</v>
      </c>
      <c r="P8">
        <v>35855</v>
      </c>
      <c r="Q8">
        <v>41037</v>
      </c>
      <c r="R8">
        <v>38170</v>
      </c>
      <c r="S8">
        <v>39280</v>
      </c>
    </row>
    <row r="9" spans="1:19" x14ac:dyDescent="0.25">
      <c r="A9" s="4" t="s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K9" s="4" t="s">
        <v>31</v>
      </c>
      <c r="L9">
        <v>3176</v>
      </c>
      <c r="M9">
        <v>3180</v>
      </c>
      <c r="N9">
        <v>3185</v>
      </c>
      <c r="O9">
        <v>3194</v>
      </c>
      <c r="P9">
        <v>3200</v>
      </c>
      <c r="Q9">
        <v>3211</v>
      </c>
      <c r="R9">
        <v>3220</v>
      </c>
      <c r="S9">
        <v>4503</v>
      </c>
    </row>
    <row r="10" spans="1:19" x14ac:dyDescent="0.25">
      <c r="A10" s="4" t="s">
        <v>5</v>
      </c>
      <c r="B10">
        <v>10449</v>
      </c>
      <c r="C10">
        <v>7933</v>
      </c>
      <c r="D10">
        <v>34800</v>
      </c>
      <c r="E10">
        <v>13328</v>
      </c>
      <c r="F10">
        <v>12224</v>
      </c>
      <c r="G10">
        <v>7368</v>
      </c>
      <c r="H10">
        <v>12728</v>
      </c>
      <c r="I10">
        <v>6497</v>
      </c>
      <c r="K10" s="4" t="s">
        <v>32</v>
      </c>
      <c r="L10">
        <v>26436</v>
      </c>
      <c r="M10">
        <v>22135</v>
      </c>
      <c r="N10">
        <v>11667</v>
      </c>
      <c r="O10">
        <v>4127</v>
      </c>
      <c r="P10">
        <v>11235</v>
      </c>
      <c r="Q10">
        <v>12569</v>
      </c>
      <c r="R10">
        <v>5938</v>
      </c>
      <c r="S10">
        <v>12174</v>
      </c>
    </row>
    <row r="11" spans="1:19" x14ac:dyDescent="0.25">
      <c r="A11" s="4" t="s">
        <v>7</v>
      </c>
      <c r="B11" s="9">
        <f>B10/B4</f>
        <v>5.8107784963936357E-2</v>
      </c>
      <c r="C11" s="9">
        <f t="shared" ref="C11:I11" si="3">C10/C4</f>
        <v>4.2246245606560866E-2</v>
      </c>
      <c r="D11" s="9">
        <f t="shared" si="3"/>
        <v>0.16656296367204326</v>
      </c>
      <c r="E11" s="9">
        <f t="shared" si="3"/>
        <v>6.4549562420996048E-2</v>
      </c>
      <c r="F11" s="9">
        <f t="shared" si="3"/>
        <v>6.0113696716958119E-2</v>
      </c>
      <c r="G11" s="9">
        <f t="shared" si="3"/>
        <v>3.2469449720387268E-2</v>
      </c>
      <c r="H11" s="9">
        <f t="shared" si="3"/>
        <v>5.5878724553185322E-2</v>
      </c>
      <c r="I11" s="9">
        <f t="shared" si="3"/>
        <v>2.858010082436677E-2</v>
      </c>
      <c r="K11" s="4" t="s">
        <v>54</v>
      </c>
      <c r="L11">
        <v>23724</v>
      </c>
      <c r="M11">
        <v>32389</v>
      </c>
      <c r="N11">
        <v>39483</v>
      </c>
      <c r="O11">
        <v>43295</v>
      </c>
      <c r="P11">
        <v>38267</v>
      </c>
      <c r="Q11">
        <v>38050</v>
      </c>
      <c r="R11">
        <v>39109</v>
      </c>
      <c r="S11">
        <v>36223</v>
      </c>
    </row>
    <row r="12" spans="1:19" ht="15.75" x14ac:dyDescent="0.25">
      <c r="A12" s="3" t="s">
        <v>0</v>
      </c>
      <c r="K12" s="4" t="s">
        <v>51</v>
      </c>
      <c r="L12">
        <v>3174</v>
      </c>
      <c r="M12">
        <v>3178</v>
      </c>
      <c r="N12">
        <v>3183</v>
      </c>
      <c r="O12">
        <v>3190</v>
      </c>
      <c r="P12">
        <v>3197</v>
      </c>
      <c r="Q12">
        <v>3206</v>
      </c>
      <c r="R12">
        <v>3216</v>
      </c>
      <c r="S12">
        <v>3226</v>
      </c>
    </row>
    <row r="13" spans="1:19" x14ac:dyDescent="0.25">
      <c r="A13" s="4" t="s">
        <v>16</v>
      </c>
      <c r="B13" s="9">
        <f>L7/B4</f>
        <v>0.15311337385511148</v>
      </c>
      <c r="C13" s="9">
        <f t="shared" ref="C13:I13" si="4">M7/C4</f>
        <v>0.15359463201618917</v>
      </c>
      <c r="D13" s="9">
        <f t="shared" si="4"/>
        <v>0.16074283252764085</v>
      </c>
      <c r="E13" s="9">
        <f t="shared" si="4"/>
        <v>0.16009047012500183</v>
      </c>
      <c r="F13" s="9">
        <f t="shared" si="4"/>
        <v>0.15519208450537994</v>
      </c>
      <c r="G13" s="9">
        <f t="shared" si="4"/>
        <v>0.14382979098452767</v>
      </c>
      <c r="H13" s="9">
        <f t="shared" si="4"/>
        <v>0.14414410459260951</v>
      </c>
      <c r="I13" s="9">
        <f t="shared" si="4"/>
        <v>0.14180516087029199</v>
      </c>
      <c r="K13" s="4" t="s">
        <v>52</v>
      </c>
      <c r="L13">
        <v>138.25</v>
      </c>
      <c r="M13">
        <v>75.900000000000006</v>
      </c>
      <c r="N13">
        <v>58.8</v>
      </c>
      <c r="O13">
        <v>65.900000000000006</v>
      </c>
      <c r="P13">
        <v>78.150000000000006</v>
      </c>
      <c r="Q13">
        <v>70.400000000000006</v>
      </c>
      <c r="R13">
        <v>65.099999999999994</v>
      </c>
      <c r="S13">
        <v>78.5</v>
      </c>
    </row>
    <row r="14" spans="1:19" x14ac:dyDescent="0.25">
      <c r="A14" s="4" t="s">
        <v>14</v>
      </c>
      <c r="B14" s="8">
        <f>L8/L4</f>
        <v>0.17943103577464553</v>
      </c>
      <c r="C14" s="8">
        <f t="shared" ref="C14:I14" si="5">M8/M4</f>
        <v>0.24907539966595085</v>
      </c>
      <c r="D14" s="8">
        <f t="shared" si="5"/>
        <v>0.28655830368618762</v>
      </c>
      <c r="E14" s="8">
        <f t="shared" si="5"/>
        <v>0.29064845928362049</v>
      </c>
      <c r="F14" s="8">
        <f t="shared" si="5"/>
        <v>0.2470952269375491</v>
      </c>
      <c r="G14" s="8">
        <f t="shared" si="5"/>
        <v>0.28676146885154258</v>
      </c>
      <c r="H14" s="8">
        <f t="shared" si="5"/>
        <v>0.27885128175156887</v>
      </c>
      <c r="I14" s="8">
        <f t="shared" si="5"/>
        <v>0.28014320966522599</v>
      </c>
      <c r="K14" s="4" t="s">
        <v>29</v>
      </c>
      <c r="L14" s="16">
        <f>L12*L13</f>
        <v>438805.5</v>
      </c>
      <c r="M14" s="16">
        <f t="shared" ref="M14:S14" si="6">M12*M13</f>
        <v>241210.2</v>
      </c>
      <c r="N14" s="16">
        <f t="shared" si="6"/>
        <v>187160.4</v>
      </c>
      <c r="O14" s="16">
        <f t="shared" si="6"/>
        <v>210221.00000000003</v>
      </c>
      <c r="P14" s="16">
        <f t="shared" si="6"/>
        <v>249845.55000000002</v>
      </c>
      <c r="Q14" s="16">
        <f t="shared" si="6"/>
        <v>225702.40000000002</v>
      </c>
      <c r="R14" s="16">
        <f t="shared" si="6"/>
        <v>209361.59999999998</v>
      </c>
      <c r="S14" s="16">
        <f t="shared" si="6"/>
        <v>253241</v>
      </c>
    </row>
    <row r="15" spans="1:19" x14ac:dyDescent="0.25">
      <c r="A15" s="4" t="s">
        <v>40</v>
      </c>
      <c r="B15" s="9">
        <f>L5/L11</f>
        <v>2.6251896813353568</v>
      </c>
      <c r="C15" s="9">
        <f t="shared" ref="C15:I15" si="7">M5/M11</f>
        <v>1.7819630121337491</v>
      </c>
      <c r="D15" s="9">
        <f t="shared" si="7"/>
        <v>1.8996783425778183</v>
      </c>
      <c r="E15" s="9">
        <f t="shared" si="7"/>
        <v>1.7721214920891557</v>
      </c>
      <c r="F15" s="9">
        <f t="shared" si="7"/>
        <v>2.2774191862440221</v>
      </c>
      <c r="G15" s="9">
        <f t="shared" si="7"/>
        <v>2.1167411300919841</v>
      </c>
      <c r="H15" s="9">
        <f t="shared" si="7"/>
        <v>1.9613899613899615</v>
      </c>
      <c r="I15" s="9">
        <f t="shared" si="7"/>
        <v>2.1281782293018248</v>
      </c>
    </row>
    <row r="16" spans="1:19" x14ac:dyDescent="0.25">
      <c r="A16" s="4" t="s">
        <v>15</v>
      </c>
      <c r="B16" s="8">
        <f>L9/B4</f>
        <v>1.7662008330506448E-2</v>
      </c>
      <c r="C16" s="8">
        <f t="shared" ref="C16:I16" si="8">M9/C4</f>
        <v>1.6934710831824476E-2</v>
      </c>
      <c r="D16" s="8">
        <f t="shared" si="8"/>
        <v>1.5244340209639592E-2</v>
      </c>
      <c r="E16" s="8">
        <f t="shared" si="8"/>
        <v>1.5469035292066429E-2</v>
      </c>
      <c r="F16" s="8">
        <f t="shared" si="8"/>
        <v>1.5736569821193227E-2</v>
      </c>
      <c r="G16" s="8">
        <f t="shared" si="8"/>
        <v>1.4150299002736635E-2</v>
      </c>
      <c r="H16" s="8">
        <f t="shared" si="8"/>
        <v>1.4136509511412378E-2</v>
      </c>
      <c r="I16" s="8">
        <f t="shared" si="8"/>
        <v>1.9808556874268673E-2</v>
      </c>
    </row>
    <row r="17" spans="1:9" x14ac:dyDescent="0.25">
      <c r="A17" s="4" t="s">
        <v>9</v>
      </c>
      <c r="B17" s="8">
        <f>L10/L2</f>
        <v>0.12299246301293384</v>
      </c>
      <c r="C17" s="8">
        <f t="shared" ref="C17:I17" si="9">M10/M2</f>
        <v>9.0303814096941465E-2</v>
      </c>
      <c r="D17" s="8">
        <f t="shared" si="9"/>
        <v>4.0838828915865079E-2</v>
      </c>
      <c r="E17" s="8">
        <f t="shared" si="9"/>
        <v>1.5296005692916099E-2</v>
      </c>
      <c r="F17" s="8">
        <f t="shared" si="9"/>
        <v>3.986657913879673E-2</v>
      </c>
      <c r="G17" s="8">
        <f t="shared" si="9"/>
        <v>4.4833404078487883E-2</v>
      </c>
      <c r="H17" s="8">
        <f t="shared" si="9"/>
        <v>2.1593041353328776E-2</v>
      </c>
      <c r="I17" s="8">
        <f t="shared" si="9"/>
        <v>4.5224562576618742E-2</v>
      </c>
    </row>
    <row r="18" spans="1:9" x14ac:dyDescent="0.25">
      <c r="A18" s="4" t="s">
        <v>44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s="4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t="s">
        <v>57</v>
      </c>
      <c r="B20">
        <v>2209</v>
      </c>
      <c r="C20">
        <v>-806</v>
      </c>
      <c r="D20">
        <v>-3888</v>
      </c>
      <c r="E20">
        <v>3493</v>
      </c>
      <c r="F20">
        <v>592</v>
      </c>
      <c r="G20">
        <v>-1032</v>
      </c>
      <c r="H20">
        <v>-1008</v>
      </c>
      <c r="I20">
        <v>-821</v>
      </c>
    </row>
    <row r="21" spans="1:9" x14ac:dyDescent="0.25">
      <c r="A21" s="17" t="s">
        <v>58</v>
      </c>
      <c r="B21">
        <v>1</v>
      </c>
      <c r="C21">
        <v>0</v>
      </c>
      <c r="D21">
        <v>0</v>
      </c>
      <c r="E21">
        <v>1</v>
      </c>
      <c r="F21">
        <v>1</v>
      </c>
      <c r="G21">
        <v>0</v>
      </c>
      <c r="H21">
        <v>0</v>
      </c>
      <c r="I21">
        <v>0</v>
      </c>
    </row>
    <row r="22" spans="1:9" x14ac:dyDescent="0.25">
      <c r="A22" s="17"/>
    </row>
    <row r="23" spans="1:9" x14ac:dyDescent="0.25">
      <c r="A23" s="17"/>
    </row>
    <row r="24" spans="1:9" x14ac:dyDescent="0.25">
      <c r="A24" s="17"/>
    </row>
    <row r="25" spans="1:9" x14ac:dyDescent="0.25">
      <c r="A25" s="18"/>
    </row>
    <row r="26" spans="1:9" x14ac:dyDescent="0.25">
      <c r="A26" s="17"/>
    </row>
    <row r="27" spans="1:9" x14ac:dyDescent="0.25">
      <c r="A27" s="17"/>
    </row>
    <row r="28" spans="1:9" x14ac:dyDescent="0.25">
      <c r="A28" s="17"/>
    </row>
    <row r="29" spans="1:9" x14ac:dyDescent="0.25">
      <c r="A29" s="17"/>
    </row>
    <row r="30" spans="1:9" x14ac:dyDescent="0.25">
      <c r="A30" s="17"/>
    </row>
    <row r="31" spans="1:9" x14ac:dyDescent="0.25">
      <c r="A31" s="17"/>
    </row>
    <row r="32" spans="1:9" x14ac:dyDescent="0.25">
      <c r="A32" s="17"/>
    </row>
    <row r="33" spans="1:1" x14ac:dyDescent="0.25">
      <c r="A33" s="17"/>
    </row>
    <row r="34" spans="1:1" x14ac:dyDescent="0.25">
      <c r="A34" s="14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8"/>
  <dimension ref="A1:S34"/>
  <sheetViews>
    <sheetView workbookViewId="0">
      <selection activeCell="H11" sqref="H11"/>
    </sheetView>
  </sheetViews>
  <sheetFormatPr defaultRowHeight="15" x14ac:dyDescent="0.25"/>
  <cols>
    <col min="1" max="1" width="19.5703125" customWidth="1"/>
    <col min="10" max="10" width="9.140625" customWidth="1"/>
    <col min="11" max="11" width="12.5703125" customWidth="1"/>
  </cols>
  <sheetData>
    <row r="1" spans="1:19" ht="17.25" x14ac:dyDescent="0.25">
      <c r="A1" s="2" t="s">
        <v>12</v>
      </c>
      <c r="B1" s="36">
        <v>2006</v>
      </c>
      <c r="C1" s="36">
        <v>2007</v>
      </c>
      <c r="D1" s="36">
        <v>2008</v>
      </c>
      <c r="E1" s="36">
        <v>2009</v>
      </c>
      <c r="F1" s="36">
        <v>2010</v>
      </c>
      <c r="G1" s="36">
        <v>2011</v>
      </c>
      <c r="H1" s="36">
        <v>2012</v>
      </c>
      <c r="I1" s="36">
        <v>2013</v>
      </c>
      <c r="K1" s="5"/>
      <c r="L1" s="36">
        <v>2006</v>
      </c>
      <c r="M1" s="36">
        <v>2007</v>
      </c>
      <c r="N1" s="36">
        <v>2008</v>
      </c>
      <c r="O1" s="36">
        <v>2009</v>
      </c>
      <c r="P1" s="36">
        <v>2010</v>
      </c>
      <c r="Q1" s="36">
        <v>2011</v>
      </c>
      <c r="R1" s="36">
        <v>2012</v>
      </c>
      <c r="S1" s="36">
        <v>2013</v>
      </c>
    </row>
    <row r="2" spans="1:19" ht="15.75" x14ac:dyDescent="0.25">
      <c r="A2" s="3" t="s">
        <v>24</v>
      </c>
      <c r="K2" s="4" t="s">
        <v>33</v>
      </c>
      <c r="L2">
        <v>15877</v>
      </c>
      <c r="M2">
        <v>22970</v>
      </c>
      <c r="N2">
        <v>33032</v>
      </c>
      <c r="O2">
        <v>37498</v>
      </c>
      <c r="P2">
        <v>34585</v>
      </c>
      <c r="Q2">
        <v>41469</v>
      </c>
      <c r="R2">
        <v>42921</v>
      </c>
      <c r="S2">
        <v>44303</v>
      </c>
    </row>
    <row r="3" spans="1:19" x14ac:dyDescent="0.25">
      <c r="A3" s="4" t="s">
        <v>10</v>
      </c>
      <c r="B3" s="9">
        <f>LN(L2)</f>
        <v>9.6726268000775111</v>
      </c>
      <c r="C3" s="9">
        <f t="shared" ref="C3:I3" si="0">LN(M2)</f>
        <v>10.041944295683145</v>
      </c>
      <c r="D3" s="9">
        <f t="shared" si="0"/>
        <v>10.405232067565926</v>
      </c>
      <c r="E3" s="9">
        <f t="shared" si="0"/>
        <v>10.532042877202896</v>
      </c>
      <c r="F3" s="9">
        <f t="shared" si="0"/>
        <v>10.451175341034686</v>
      </c>
      <c r="G3" s="9">
        <f t="shared" si="0"/>
        <v>10.632701439132466</v>
      </c>
      <c r="H3" s="9">
        <f t="shared" si="0"/>
        <v>10.667116495634444</v>
      </c>
      <c r="I3" s="9">
        <f t="shared" si="0"/>
        <v>10.698807673830618</v>
      </c>
      <c r="K3" s="4" t="s">
        <v>27</v>
      </c>
      <c r="L3">
        <v>12534</v>
      </c>
      <c r="M3">
        <v>15896</v>
      </c>
      <c r="N3">
        <v>18852</v>
      </c>
      <c r="O3">
        <v>22412</v>
      </c>
      <c r="P3">
        <v>21817</v>
      </c>
      <c r="Q3">
        <v>21412</v>
      </c>
      <c r="R3">
        <v>23819</v>
      </c>
      <c r="S3">
        <v>24823</v>
      </c>
    </row>
    <row r="4" spans="1:19" x14ac:dyDescent="0.25">
      <c r="A4" s="4" t="s">
        <v>13</v>
      </c>
      <c r="B4">
        <v>13001</v>
      </c>
      <c r="C4">
        <v>16445</v>
      </c>
      <c r="D4">
        <v>19272</v>
      </c>
      <c r="E4">
        <v>22816</v>
      </c>
      <c r="F4">
        <v>22172</v>
      </c>
      <c r="G4">
        <v>21854</v>
      </c>
      <c r="H4">
        <v>24248</v>
      </c>
      <c r="I4">
        <v>25287</v>
      </c>
      <c r="K4" s="4" t="s">
        <v>28</v>
      </c>
      <c r="L4">
        <v>6005</v>
      </c>
      <c r="M4">
        <v>6805</v>
      </c>
      <c r="N4">
        <v>10890</v>
      </c>
      <c r="O4">
        <v>12726</v>
      </c>
      <c r="P4" s="16">
        <v>13248</v>
      </c>
      <c r="Q4" s="16">
        <v>14636</v>
      </c>
      <c r="R4" s="16">
        <v>15200</v>
      </c>
      <c r="S4" s="16">
        <v>16560</v>
      </c>
    </row>
    <row r="5" spans="1:19" x14ac:dyDescent="0.25">
      <c r="A5" s="4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4" t="s">
        <v>53</v>
      </c>
      <c r="L5">
        <v>673</v>
      </c>
      <c r="M5">
        <v>894</v>
      </c>
      <c r="N5">
        <v>1506</v>
      </c>
      <c r="O5">
        <v>1389</v>
      </c>
      <c r="P5" s="16">
        <v>1093</v>
      </c>
      <c r="Q5" s="16">
        <v>1207</v>
      </c>
      <c r="R5" s="16">
        <v>1254</v>
      </c>
      <c r="S5" s="16">
        <v>1148</v>
      </c>
    </row>
    <row r="6" spans="1:19" x14ac:dyDescent="0.25">
      <c r="A6" s="4" t="s">
        <v>11</v>
      </c>
      <c r="B6" s="8">
        <f>L3/B4</f>
        <v>0.96407968617798634</v>
      </c>
      <c r="C6" s="8">
        <f t="shared" ref="C6:I6" si="1">M3/C4</f>
        <v>0.96661599270294918</v>
      </c>
      <c r="D6" s="8">
        <f t="shared" si="1"/>
        <v>0.97820672478206727</v>
      </c>
      <c r="E6" s="8">
        <f t="shared" si="1"/>
        <v>0.98229312762973353</v>
      </c>
      <c r="F6" s="8">
        <f t="shared" si="1"/>
        <v>0.98398881472127009</v>
      </c>
      <c r="G6" s="8">
        <f t="shared" si="1"/>
        <v>0.97977486958909121</v>
      </c>
      <c r="H6" s="8">
        <f t="shared" si="1"/>
        <v>0.98230781920158361</v>
      </c>
      <c r="I6" s="8">
        <f t="shared" si="1"/>
        <v>0.98165065053189382</v>
      </c>
      <c r="K6" s="21" t="s">
        <v>62</v>
      </c>
      <c r="L6">
        <v>5664</v>
      </c>
      <c r="M6">
        <v>7718</v>
      </c>
      <c r="N6">
        <v>12193</v>
      </c>
      <c r="O6">
        <v>12102</v>
      </c>
      <c r="P6" s="16">
        <v>10619</v>
      </c>
      <c r="Q6" s="16">
        <v>11268</v>
      </c>
      <c r="R6" s="16">
        <v>12144</v>
      </c>
      <c r="S6" s="16">
        <v>11460</v>
      </c>
    </row>
    <row r="7" spans="1:19" ht="15.75" x14ac:dyDescent="0.25">
      <c r="A7" s="3" t="s">
        <v>21</v>
      </c>
      <c r="K7" s="4" t="s">
        <v>30</v>
      </c>
      <c r="L7">
        <v>282</v>
      </c>
      <c r="M7">
        <v>335</v>
      </c>
      <c r="N7">
        <v>497</v>
      </c>
      <c r="O7">
        <v>539</v>
      </c>
      <c r="P7" s="16">
        <v>441</v>
      </c>
      <c r="Q7" s="16">
        <v>540</v>
      </c>
      <c r="R7" s="16">
        <v>598</v>
      </c>
      <c r="S7" s="16">
        <v>619</v>
      </c>
    </row>
    <row r="8" spans="1:19" x14ac:dyDescent="0.25">
      <c r="A8" s="4" t="s">
        <v>8</v>
      </c>
      <c r="B8" s="9">
        <f>(L2+L14-L4)/L2</f>
        <v>2.5737639352522517</v>
      </c>
      <c r="C8" s="9">
        <f t="shared" ref="C8:I8" si="2">(M2+M14-M4)/M2</f>
        <v>2.2287614279494994</v>
      </c>
      <c r="D8" s="9">
        <f t="shared" si="2"/>
        <v>1.2418155122305643</v>
      </c>
      <c r="E8" s="9">
        <f t="shared" si="2"/>
        <v>1.426850498693264</v>
      </c>
      <c r="F8" s="9">
        <f t="shared" si="2"/>
        <v>1.5877828538383694</v>
      </c>
      <c r="G8" s="9">
        <f t="shared" si="2"/>
        <v>1.6492444958884951</v>
      </c>
      <c r="H8" s="9">
        <f t="shared" si="2"/>
        <v>1.8673143682579623</v>
      </c>
      <c r="I8" s="9">
        <f t="shared" si="2"/>
        <v>1.8095614292485835</v>
      </c>
      <c r="K8" s="4" t="s">
        <v>34</v>
      </c>
      <c r="L8">
        <v>4609</v>
      </c>
      <c r="M8">
        <v>9455</v>
      </c>
      <c r="N8">
        <v>13244</v>
      </c>
      <c r="O8">
        <v>16052</v>
      </c>
      <c r="P8" s="16">
        <v>12656</v>
      </c>
      <c r="Q8" s="16">
        <v>16689</v>
      </c>
      <c r="R8" s="16">
        <v>17525</v>
      </c>
      <c r="S8" s="16">
        <v>17169</v>
      </c>
    </row>
    <row r="9" spans="1:19" x14ac:dyDescent="0.25">
      <c r="A9" s="4" t="s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K9" s="4" t="s">
        <v>31</v>
      </c>
      <c r="L9">
        <v>165</v>
      </c>
      <c r="M9">
        <v>468</v>
      </c>
      <c r="N9">
        <v>642</v>
      </c>
      <c r="O9">
        <v>907</v>
      </c>
      <c r="P9" s="16">
        <v>588</v>
      </c>
      <c r="Q9" s="16">
        <v>688</v>
      </c>
      <c r="R9" s="16">
        <v>959</v>
      </c>
      <c r="S9" s="16">
        <v>1004</v>
      </c>
    </row>
    <row r="10" spans="1:19" x14ac:dyDescent="0.25">
      <c r="A10" s="4" t="s">
        <v>5</v>
      </c>
      <c r="B10">
        <v>5664</v>
      </c>
      <c r="C10">
        <v>7718</v>
      </c>
      <c r="D10">
        <v>12193</v>
      </c>
      <c r="E10">
        <v>12102</v>
      </c>
      <c r="F10" s="16">
        <v>10619</v>
      </c>
      <c r="G10" s="16">
        <v>11268</v>
      </c>
      <c r="H10" s="16">
        <v>12144</v>
      </c>
      <c r="I10" s="16">
        <v>11460</v>
      </c>
      <c r="K10" s="4" t="s">
        <v>32</v>
      </c>
      <c r="L10">
        <v>1259</v>
      </c>
      <c r="M10">
        <v>1233</v>
      </c>
      <c r="N10">
        <v>1523</v>
      </c>
      <c r="O10">
        <v>1914</v>
      </c>
      <c r="P10" s="16">
        <v>2280</v>
      </c>
      <c r="Q10" s="16">
        <v>2537</v>
      </c>
      <c r="R10" s="16">
        <v>2531</v>
      </c>
      <c r="S10" s="16">
        <v>2295</v>
      </c>
    </row>
    <row r="11" spans="1:19" x14ac:dyDescent="0.25">
      <c r="A11" s="4" t="s">
        <v>7</v>
      </c>
      <c r="B11" s="9">
        <f>B10/B4</f>
        <v>0.43565879547727099</v>
      </c>
      <c r="C11" s="9">
        <f t="shared" ref="C11:I11" si="3">C10/C4</f>
        <v>0.46932198236546063</v>
      </c>
      <c r="D11" s="9">
        <f t="shared" si="3"/>
        <v>0.63267953507679531</v>
      </c>
      <c r="E11" s="9">
        <f t="shared" si="3"/>
        <v>0.53041725105189341</v>
      </c>
      <c r="F11" s="9">
        <f t="shared" si="3"/>
        <v>0.4789373985206567</v>
      </c>
      <c r="G11" s="9">
        <f t="shared" si="3"/>
        <v>0.5156035508373753</v>
      </c>
      <c r="H11" s="9">
        <f t="shared" si="3"/>
        <v>0.50082481029363246</v>
      </c>
      <c r="I11" s="9">
        <f t="shared" si="3"/>
        <v>0.45319729505279394</v>
      </c>
      <c r="K11" s="4" t="s">
        <v>54</v>
      </c>
      <c r="L11">
        <v>3304</v>
      </c>
      <c r="M11">
        <v>4439</v>
      </c>
      <c r="N11">
        <v>5946</v>
      </c>
      <c r="O11">
        <v>5442</v>
      </c>
      <c r="P11" s="16">
        <v>6473</v>
      </c>
      <c r="Q11" s="16">
        <v>7528</v>
      </c>
      <c r="R11" s="16">
        <v>10003</v>
      </c>
      <c r="S11" s="16">
        <v>10140</v>
      </c>
    </row>
    <row r="12" spans="1:19" ht="15.75" x14ac:dyDescent="0.25">
      <c r="A12" s="3" t="s">
        <v>0</v>
      </c>
      <c r="K12" s="4" t="s">
        <v>51</v>
      </c>
      <c r="L12">
        <v>201.9</v>
      </c>
      <c r="M12">
        <v>201.9</v>
      </c>
      <c r="N12">
        <v>201.9</v>
      </c>
      <c r="O12">
        <v>210.8</v>
      </c>
      <c r="P12" s="28">
        <v>238.3</v>
      </c>
      <c r="Q12" s="28">
        <v>238.3</v>
      </c>
      <c r="R12" s="28">
        <v>238.3</v>
      </c>
      <c r="S12" s="28">
        <v>238.3</v>
      </c>
    </row>
    <row r="13" spans="1:19" x14ac:dyDescent="0.25">
      <c r="A13" s="4" t="s">
        <v>16</v>
      </c>
      <c r="B13" s="8">
        <f>L7/B4</f>
        <v>2.1690639181601416E-2</v>
      </c>
      <c r="C13" s="8">
        <f t="shared" ref="C13:I13" si="4">M7/C4</f>
        <v>2.0370933414411676E-2</v>
      </c>
      <c r="D13" s="8">
        <f t="shared" si="4"/>
        <v>2.578870900788709E-2</v>
      </c>
      <c r="E13" s="8">
        <f t="shared" si="4"/>
        <v>2.3623772791023841E-2</v>
      </c>
      <c r="F13" s="8">
        <f t="shared" si="4"/>
        <v>1.9889951289915209E-2</v>
      </c>
      <c r="G13" s="8">
        <f t="shared" si="4"/>
        <v>2.4709435343644184E-2</v>
      </c>
      <c r="H13" s="8">
        <f t="shared" si="4"/>
        <v>2.4661827779610689E-2</v>
      </c>
      <c r="I13" s="8">
        <f t="shared" si="4"/>
        <v>2.4478981294736427E-2</v>
      </c>
      <c r="K13" s="4" t="s">
        <v>52</v>
      </c>
      <c r="L13">
        <v>153.5</v>
      </c>
      <c r="M13">
        <v>173.5</v>
      </c>
      <c r="N13">
        <v>93.5</v>
      </c>
      <c r="O13">
        <v>136.30000000000001</v>
      </c>
      <c r="P13" s="25">
        <v>140.9</v>
      </c>
      <c r="Q13" s="25">
        <v>174.4</v>
      </c>
      <c r="R13" s="25">
        <v>220</v>
      </c>
      <c r="S13" s="25">
        <v>220</v>
      </c>
    </row>
    <row r="14" spans="1:19" x14ac:dyDescent="0.25">
      <c r="A14" s="4" t="s">
        <v>14</v>
      </c>
      <c r="B14" s="9">
        <f>L8/L4</f>
        <v>0.76752706078268107</v>
      </c>
      <c r="C14" s="9">
        <f t="shared" ref="C14:I14" si="5">M8/M4</f>
        <v>1.3894195444526083</v>
      </c>
      <c r="D14" s="9">
        <f t="shared" si="5"/>
        <v>1.2161616161616162</v>
      </c>
      <c r="E14" s="9">
        <f t="shared" si="5"/>
        <v>1.2613547068992614</v>
      </c>
      <c r="F14" s="9">
        <f t="shared" si="5"/>
        <v>0.95531400966183577</v>
      </c>
      <c r="G14" s="9">
        <f t="shared" si="5"/>
        <v>1.1402705657283412</v>
      </c>
      <c r="H14" s="9">
        <f t="shared" si="5"/>
        <v>1.1529605263157894</v>
      </c>
      <c r="I14" s="9">
        <f t="shared" si="5"/>
        <v>1.0367753623188405</v>
      </c>
      <c r="K14" s="4" t="s">
        <v>29</v>
      </c>
      <c r="L14" s="16">
        <f>L12*L13</f>
        <v>30991.65</v>
      </c>
      <c r="M14" s="16">
        <f t="shared" ref="M14:O14" si="6">M12*M13</f>
        <v>35029.65</v>
      </c>
      <c r="N14" s="16">
        <f t="shared" si="6"/>
        <v>18877.650000000001</v>
      </c>
      <c r="O14" s="16">
        <f t="shared" si="6"/>
        <v>28732.040000000005</v>
      </c>
      <c r="P14" s="16">
        <f t="shared" ref="P14" si="7">P12*P13</f>
        <v>33576.47</v>
      </c>
      <c r="Q14" s="16">
        <f t="shared" ref="Q14" si="8">Q12*Q13</f>
        <v>41559.520000000004</v>
      </c>
      <c r="R14" s="16">
        <f t="shared" ref="R14" si="9">R12*R13</f>
        <v>52426</v>
      </c>
      <c r="S14" s="16">
        <f t="shared" ref="S14" si="10">S12*S13</f>
        <v>52426</v>
      </c>
    </row>
    <row r="15" spans="1:19" x14ac:dyDescent="0.25">
      <c r="A15" s="4" t="s">
        <v>40</v>
      </c>
      <c r="B15" s="9">
        <f>L5/L11</f>
        <v>0.20369249394673122</v>
      </c>
      <c r="C15" s="9">
        <f t="shared" ref="C15:I15" si="11">M5/M11</f>
        <v>0.20139671097093939</v>
      </c>
      <c r="D15" s="9">
        <f t="shared" si="11"/>
        <v>0.25327951564076689</v>
      </c>
      <c r="E15" s="9">
        <f t="shared" si="11"/>
        <v>0.25523704520396912</v>
      </c>
      <c r="F15" s="9">
        <f t="shared" si="11"/>
        <v>0.16885524486327824</v>
      </c>
      <c r="G15" s="9">
        <f t="shared" si="11"/>
        <v>0.16033475026567481</v>
      </c>
      <c r="H15" s="9">
        <f t="shared" si="11"/>
        <v>0.12536239128261523</v>
      </c>
      <c r="I15" s="9">
        <f t="shared" si="11"/>
        <v>0.11321499013806706</v>
      </c>
    </row>
    <row r="16" spans="1:19" x14ac:dyDescent="0.25">
      <c r="A16" s="4" t="s">
        <v>15</v>
      </c>
      <c r="B16" s="8">
        <f>L9/B4</f>
        <v>1.2691331436043382E-2</v>
      </c>
      <c r="C16" s="8">
        <f t="shared" ref="C16:I16" si="12">M9/C4</f>
        <v>2.8458498023715414E-2</v>
      </c>
      <c r="D16" s="8">
        <f t="shared" si="12"/>
        <v>3.331257783312578E-2</v>
      </c>
      <c r="E16" s="8">
        <f t="shared" si="12"/>
        <v>3.9752805049088361E-2</v>
      </c>
      <c r="F16" s="8">
        <f t="shared" si="12"/>
        <v>2.6519935053220277E-2</v>
      </c>
      <c r="G16" s="8">
        <f t="shared" si="12"/>
        <v>3.1481650956346661E-2</v>
      </c>
      <c r="H16" s="8">
        <f t="shared" si="12"/>
        <v>3.9549653579676672E-2</v>
      </c>
      <c r="I16" s="8">
        <f t="shared" si="12"/>
        <v>3.9704195831850357E-2</v>
      </c>
    </row>
    <row r="17" spans="1:9" x14ac:dyDescent="0.25">
      <c r="A17" s="4" t="s">
        <v>9</v>
      </c>
      <c r="B17" s="8">
        <f>L10/L2</f>
        <v>7.9297096428796371E-2</v>
      </c>
      <c r="C17" s="8">
        <f t="shared" ref="C17:I17" si="13">M10/M2</f>
        <v>5.367871136264693E-2</v>
      </c>
      <c r="D17" s="8">
        <f t="shared" si="13"/>
        <v>4.6106805521918141E-2</v>
      </c>
      <c r="E17" s="8">
        <f t="shared" si="13"/>
        <v>5.1042722278521524E-2</v>
      </c>
      <c r="F17" s="8">
        <f t="shared" si="13"/>
        <v>6.5924533757409282E-2</v>
      </c>
      <c r="G17" s="8">
        <f t="shared" si="13"/>
        <v>6.1178229520846901E-2</v>
      </c>
      <c r="H17" s="8">
        <f t="shared" si="13"/>
        <v>5.8968803149973208E-2</v>
      </c>
      <c r="I17" s="8">
        <f t="shared" si="13"/>
        <v>5.1802361013926823E-2</v>
      </c>
    </row>
    <row r="18" spans="1:9" x14ac:dyDescent="0.25">
      <c r="A18" s="4" t="s">
        <v>44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s="4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t="s">
        <v>57</v>
      </c>
      <c r="B20">
        <v>-58</v>
      </c>
      <c r="C20">
        <v>-79</v>
      </c>
      <c r="D20">
        <v>-806</v>
      </c>
      <c r="E20">
        <v>1211</v>
      </c>
      <c r="F20">
        <v>176</v>
      </c>
      <c r="G20">
        <v>-722</v>
      </c>
      <c r="H20">
        <v>-36</v>
      </c>
      <c r="I20">
        <v>290</v>
      </c>
    </row>
    <row r="21" spans="1:9" x14ac:dyDescent="0.25">
      <c r="A21" s="17" t="s">
        <v>58</v>
      </c>
      <c r="B21">
        <v>0</v>
      </c>
      <c r="C21">
        <v>0</v>
      </c>
      <c r="D21">
        <v>0</v>
      </c>
      <c r="E21">
        <v>1</v>
      </c>
      <c r="F21">
        <v>1</v>
      </c>
      <c r="G21">
        <v>0</v>
      </c>
      <c r="H21">
        <v>0</v>
      </c>
      <c r="I21">
        <v>1</v>
      </c>
    </row>
    <row r="22" spans="1:9" x14ac:dyDescent="0.25">
      <c r="A22" s="17"/>
    </row>
    <row r="23" spans="1:9" x14ac:dyDescent="0.25">
      <c r="A23" s="17"/>
    </row>
    <row r="24" spans="1:9" x14ac:dyDescent="0.25">
      <c r="A24" s="17"/>
    </row>
    <row r="25" spans="1:9" x14ac:dyDescent="0.25">
      <c r="A25" s="18"/>
    </row>
    <row r="26" spans="1:9" x14ac:dyDescent="0.25">
      <c r="A26" s="17"/>
    </row>
    <row r="27" spans="1:9" x14ac:dyDescent="0.25">
      <c r="A27" s="17"/>
    </row>
    <row r="28" spans="1:9" x14ac:dyDescent="0.25">
      <c r="A28" s="17"/>
    </row>
    <row r="29" spans="1:9" x14ac:dyDescent="0.25">
      <c r="A29" s="17"/>
    </row>
    <row r="30" spans="1:9" x14ac:dyDescent="0.25">
      <c r="A30" s="17"/>
    </row>
    <row r="31" spans="1:9" x14ac:dyDescent="0.25">
      <c r="A31" s="17"/>
    </row>
    <row r="32" spans="1:9" x14ac:dyDescent="0.25">
      <c r="A32" s="17"/>
    </row>
    <row r="33" spans="1:1" x14ac:dyDescent="0.25">
      <c r="A33" s="17"/>
    </row>
    <row r="34" spans="1:1" x14ac:dyDescent="0.25">
      <c r="A34" s="1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9"/>
  <dimension ref="A1:S34"/>
  <sheetViews>
    <sheetView workbookViewId="0">
      <selection activeCell="G11" sqref="G11"/>
    </sheetView>
  </sheetViews>
  <sheetFormatPr defaultRowHeight="15" x14ac:dyDescent="0.25"/>
  <cols>
    <col min="1" max="1" width="19.5703125" customWidth="1"/>
    <col min="11" max="11" width="12.5703125" customWidth="1"/>
  </cols>
  <sheetData>
    <row r="1" spans="1:19" ht="17.25" x14ac:dyDescent="0.25">
      <c r="A1" s="2" t="s">
        <v>12</v>
      </c>
      <c r="B1" s="36">
        <v>2006</v>
      </c>
      <c r="C1" s="36">
        <v>2007</v>
      </c>
      <c r="D1" s="36">
        <v>2008</v>
      </c>
      <c r="E1" s="36">
        <v>2009</v>
      </c>
      <c r="F1" s="36">
        <v>2010</v>
      </c>
      <c r="G1" s="36">
        <v>2011</v>
      </c>
      <c r="H1" s="36">
        <v>2012</v>
      </c>
      <c r="I1" s="36">
        <v>2013</v>
      </c>
      <c r="K1" s="5"/>
      <c r="L1" s="36">
        <v>2006</v>
      </c>
      <c r="M1" s="36">
        <v>2007</v>
      </c>
      <c r="N1" s="36">
        <v>2008</v>
      </c>
      <c r="O1" s="36">
        <v>2009</v>
      </c>
      <c r="P1" s="36">
        <v>2010</v>
      </c>
      <c r="Q1" s="36">
        <v>2011</v>
      </c>
      <c r="R1" s="36">
        <v>2012</v>
      </c>
      <c r="S1" s="36">
        <v>2013</v>
      </c>
    </row>
    <row r="2" spans="1:19" ht="15.75" x14ac:dyDescent="0.25">
      <c r="A2" s="3" t="s">
        <v>24</v>
      </c>
      <c r="K2" s="4" t="s">
        <v>33</v>
      </c>
      <c r="L2">
        <v>35555</v>
      </c>
      <c r="M2">
        <v>41734</v>
      </c>
      <c r="N2">
        <v>51243</v>
      </c>
      <c r="O2">
        <v>54363</v>
      </c>
      <c r="P2">
        <v>59182</v>
      </c>
      <c r="Q2">
        <v>60188</v>
      </c>
      <c r="R2">
        <v>60173</v>
      </c>
      <c r="S2">
        <v>65676</v>
      </c>
    </row>
    <row r="3" spans="1:19" x14ac:dyDescent="0.25">
      <c r="A3" s="4" t="s">
        <v>10</v>
      </c>
      <c r="B3" s="9">
        <f>LN(L2)</f>
        <v>10.478836072317618</v>
      </c>
      <c r="C3" s="9">
        <f t="shared" ref="C3:I3" si="0">LN(M2)</f>
        <v>10.639071423293331</v>
      </c>
      <c r="D3" s="9">
        <f t="shared" si="0"/>
        <v>10.844334302306171</v>
      </c>
      <c r="E3" s="9">
        <f t="shared" si="0"/>
        <v>10.903439054380268</v>
      </c>
      <c r="F3" s="9">
        <f t="shared" si="0"/>
        <v>10.988372720584238</v>
      </c>
      <c r="G3" s="9">
        <f t="shared" si="0"/>
        <v>11.005228275878769</v>
      </c>
      <c r="H3" s="9">
        <f t="shared" si="0"/>
        <v>11.004979025705079</v>
      </c>
      <c r="I3" s="9">
        <f t="shared" si="0"/>
        <v>11.092488840931919</v>
      </c>
      <c r="K3" s="4" t="s">
        <v>27</v>
      </c>
      <c r="L3">
        <v>63041</v>
      </c>
      <c r="M3">
        <v>72558</v>
      </c>
      <c r="N3">
        <v>82559</v>
      </c>
      <c r="O3">
        <v>95070</v>
      </c>
      <c r="P3">
        <v>101741</v>
      </c>
      <c r="Q3">
        <v>103295</v>
      </c>
      <c r="R3">
        <v>114174</v>
      </c>
      <c r="S3">
        <v>121910</v>
      </c>
    </row>
    <row r="4" spans="1:19" x14ac:dyDescent="0.25">
      <c r="A4" s="4" t="s">
        <v>13</v>
      </c>
      <c r="B4">
        <v>68400</v>
      </c>
      <c r="C4">
        <v>78346</v>
      </c>
      <c r="D4">
        <v>88532</v>
      </c>
      <c r="E4">
        <v>101393</v>
      </c>
      <c r="F4">
        <v>108483</v>
      </c>
      <c r="G4">
        <v>109999</v>
      </c>
      <c r="H4">
        <v>120799</v>
      </c>
      <c r="I4">
        <v>128562</v>
      </c>
      <c r="K4" s="4" t="s">
        <v>28</v>
      </c>
      <c r="L4">
        <v>27779</v>
      </c>
      <c r="M4">
        <v>32093</v>
      </c>
      <c r="N4">
        <v>36950</v>
      </c>
      <c r="O4">
        <v>40613</v>
      </c>
      <c r="P4">
        <v>44172</v>
      </c>
      <c r="Q4">
        <v>44104</v>
      </c>
      <c r="R4">
        <v>43835</v>
      </c>
      <c r="S4">
        <v>45248</v>
      </c>
    </row>
    <row r="5" spans="1:19" x14ac:dyDescent="0.25">
      <c r="A5" s="4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 s="4" t="s">
        <v>53</v>
      </c>
      <c r="L5">
        <v>9877</v>
      </c>
      <c r="M5">
        <v>16064</v>
      </c>
      <c r="N5">
        <v>22726</v>
      </c>
      <c r="O5">
        <v>19024</v>
      </c>
      <c r="P5">
        <v>16691</v>
      </c>
      <c r="Q5">
        <v>14319</v>
      </c>
      <c r="R5">
        <v>14148</v>
      </c>
      <c r="S5">
        <v>13918</v>
      </c>
    </row>
    <row r="6" spans="1:19" x14ac:dyDescent="0.25">
      <c r="A6" s="4" t="s">
        <v>11</v>
      </c>
      <c r="B6" s="9">
        <f>L3/B4</f>
        <v>0.92165204678362578</v>
      </c>
      <c r="C6" s="9">
        <f t="shared" ref="C6:I6" si="1">M3/C4</f>
        <v>0.92612258443315554</v>
      </c>
      <c r="D6" s="9">
        <f t="shared" si="1"/>
        <v>0.93253286947092573</v>
      </c>
      <c r="E6" s="9">
        <f t="shared" si="1"/>
        <v>0.93763869300642055</v>
      </c>
      <c r="F6" s="9">
        <f t="shared" si="1"/>
        <v>0.93785201367956272</v>
      </c>
      <c r="G6" s="9">
        <f t="shared" si="1"/>
        <v>0.93905399139992185</v>
      </c>
      <c r="H6" s="9">
        <f t="shared" si="1"/>
        <v>0.94515683076846657</v>
      </c>
      <c r="I6" s="9">
        <f t="shared" si="1"/>
        <v>0.94825842784026382</v>
      </c>
      <c r="K6" s="21" t="s">
        <v>62</v>
      </c>
      <c r="L6">
        <v>3590</v>
      </c>
      <c r="M6">
        <v>4479</v>
      </c>
      <c r="N6">
        <v>24610</v>
      </c>
      <c r="O6">
        <v>24636</v>
      </c>
      <c r="P6">
        <v>21864</v>
      </c>
      <c r="Q6">
        <v>24103</v>
      </c>
      <c r="R6">
        <v>25104</v>
      </c>
      <c r="S6">
        <v>25953</v>
      </c>
    </row>
    <row r="7" spans="1:19" ht="15.75" x14ac:dyDescent="0.25">
      <c r="A7" s="3" t="s">
        <v>21</v>
      </c>
      <c r="K7" s="4" t="s">
        <v>30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25">
      <c r="A8" s="4" t="s">
        <v>8</v>
      </c>
      <c r="B8" s="9">
        <f>(L2+L14-L4)/L2</f>
        <v>7.6430459850935168</v>
      </c>
      <c r="C8" s="9">
        <f t="shared" ref="C8:I8" si="2">(M2+M14-M4)/M2</f>
        <v>8.1423659366463799</v>
      </c>
      <c r="D8" s="9">
        <f t="shared" si="2"/>
        <v>5.0911929434264191</v>
      </c>
      <c r="E8" s="9">
        <f t="shared" si="2"/>
        <v>6.5292361532660079</v>
      </c>
      <c r="F8" s="9">
        <f t="shared" si="2"/>
        <v>6.8816312392281427</v>
      </c>
      <c r="G8" s="9">
        <f t="shared" si="2"/>
        <v>6.1519804612215054</v>
      </c>
      <c r="H8" s="9">
        <f t="shared" si="2"/>
        <v>6.2099960115001736</v>
      </c>
      <c r="I8" s="9">
        <f t="shared" si="2"/>
        <v>7.3169163773676846</v>
      </c>
      <c r="K8" s="4" t="s">
        <v>34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25">
      <c r="A9" s="4" t="s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K9" s="4" t="s">
        <v>31</v>
      </c>
      <c r="L9">
        <v>1964</v>
      </c>
      <c r="M9">
        <v>3522</v>
      </c>
      <c r="N9">
        <v>185</v>
      </c>
      <c r="O9">
        <v>102</v>
      </c>
      <c r="P9">
        <v>100</v>
      </c>
      <c r="Q9">
        <v>119</v>
      </c>
      <c r="R9">
        <v>6071</v>
      </c>
      <c r="S9">
        <v>8010</v>
      </c>
    </row>
    <row r="10" spans="1:19" x14ac:dyDescent="0.25">
      <c r="A10" s="4" t="s">
        <v>5</v>
      </c>
      <c r="B10">
        <v>3590</v>
      </c>
      <c r="C10">
        <v>4479</v>
      </c>
      <c r="D10">
        <v>24610</v>
      </c>
      <c r="E10">
        <v>24636</v>
      </c>
      <c r="F10">
        <v>21864</v>
      </c>
      <c r="G10">
        <v>24103</v>
      </c>
      <c r="H10">
        <v>25104</v>
      </c>
      <c r="I10">
        <v>25953</v>
      </c>
      <c r="K10" s="4" t="s">
        <v>32</v>
      </c>
      <c r="L10">
        <v>10797</v>
      </c>
      <c r="M10">
        <v>13588</v>
      </c>
      <c r="N10">
        <v>15294</v>
      </c>
      <c r="O10">
        <v>16384</v>
      </c>
      <c r="P10">
        <v>18681</v>
      </c>
      <c r="Q10">
        <v>15821</v>
      </c>
      <c r="R10">
        <v>16867</v>
      </c>
      <c r="S10">
        <v>17152</v>
      </c>
    </row>
    <row r="11" spans="1:19" x14ac:dyDescent="0.25">
      <c r="A11" s="4" t="s">
        <v>7</v>
      </c>
      <c r="B11" s="9">
        <f>B10/B4</f>
        <v>5.2485380116959066E-2</v>
      </c>
      <c r="C11" s="9">
        <f t="shared" ref="C11:I11" si="3">C10/C4</f>
        <v>5.7169478977867408E-2</v>
      </c>
      <c r="D11" s="9">
        <f t="shared" si="3"/>
        <v>0.27797858401481951</v>
      </c>
      <c r="E11" s="9">
        <f t="shared" si="3"/>
        <v>0.24297535332813902</v>
      </c>
      <c r="F11" s="9">
        <f t="shared" si="3"/>
        <v>0.2015430989187246</v>
      </c>
      <c r="G11" s="9">
        <f t="shared" si="3"/>
        <v>0.21912017381976201</v>
      </c>
      <c r="H11" s="9">
        <f t="shared" si="3"/>
        <v>0.20781628986994927</v>
      </c>
      <c r="I11" s="9">
        <f t="shared" si="3"/>
        <v>0.2018714705745088</v>
      </c>
      <c r="K11" s="4" t="s">
        <v>54</v>
      </c>
      <c r="L11">
        <v>6996</v>
      </c>
      <c r="M11">
        <v>8834</v>
      </c>
      <c r="N11">
        <v>11879</v>
      </c>
      <c r="O11">
        <v>11090</v>
      </c>
      <c r="P11">
        <v>13847</v>
      </c>
      <c r="Q11">
        <v>14757</v>
      </c>
      <c r="R11">
        <v>14010</v>
      </c>
      <c r="S11">
        <v>17397</v>
      </c>
    </row>
    <row r="12" spans="1:19" ht="15.75" x14ac:dyDescent="0.25">
      <c r="A12" s="3" t="s">
        <v>0</v>
      </c>
      <c r="K12" s="4" t="s">
        <v>51</v>
      </c>
      <c r="L12">
        <v>827.5</v>
      </c>
      <c r="M12">
        <v>827.5</v>
      </c>
      <c r="N12">
        <v>827.5</v>
      </c>
      <c r="O12">
        <v>1655.1</v>
      </c>
      <c r="P12">
        <v>1655.1</v>
      </c>
      <c r="Q12">
        <v>1655.1</v>
      </c>
      <c r="R12">
        <v>1655.1</v>
      </c>
      <c r="S12">
        <v>1655.1</v>
      </c>
    </row>
    <row r="13" spans="1:19" x14ac:dyDescent="0.25">
      <c r="A13" s="4" t="s">
        <v>16</v>
      </c>
      <c r="B13">
        <f>L7/B4</f>
        <v>0</v>
      </c>
      <c r="C13">
        <f t="shared" ref="C13:I13" si="4">M7/C4</f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K13" s="4" t="s">
        <v>52</v>
      </c>
      <c r="L13">
        <v>319</v>
      </c>
      <c r="M13">
        <v>399</v>
      </c>
      <c r="N13">
        <v>298</v>
      </c>
      <c r="O13">
        <v>206.15</v>
      </c>
      <c r="P13">
        <v>237</v>
      </c>
      <c r="Q13">
        <v>214</v>
      </c>
      <c r="R13">
        <v>215.9</v>
      </c>
      <c r="S13">
        <v>278</v>
      </c>
    </row>
    <row r="14" spans="1:19" x14ac:dyDescent="0.25">
      <c r="A14" s="4" t="s">
        <v>14</v>
      </c>
      <c r="B14">
        <f>L8/L4</f>
        <v>0</v>
      </c>
      <c r="C14">
        <f t="shared" ref="C14:I14" si="5">M8/M4</f>
        <v>0</v>
      </c>
      <c r="D14">
        <f t="shared" si="5"/>
        <v>0</v>
      </c>
      <c r="E14">
        <f t="shared" si="5"/>
        <v>0</v>
      </c>
      <c r="F14">
        <f t="shared" si="5"/>
        <v>0</v>
      </c>
      <c r="G14">
        <f t="shared" si="5"/>
        <v>0</v>
      </c>
      <c r="H14">
        <f t="shared" si="5"/>
        <v>0</v>
      </c>
      <c r="I14">
        <f t="shared" si="5"/>
        <v>0</v>
      </c>
      <c r="K14" s="4" t="s">
        <v>29</v>
      </c>
      <c r="L14">
        <f>L13*L12</f>
        <v>263972.5</v>
      </c>
      <c r="M14">
        <f t="shared" ref="M14:S14" si="6">M13*M12</f>
        <v>330172.5</v>
      </c>
      <c r="N14">
        <f t="shared" si="6"/>
        <v>246595</v>
      </c>
      <c r="O14">
        <f t="shared" si="6"/>
        <v>341198.86499999999</v>
      </c>
      <c r="P14">
        <f t="shared" si="6"/>
        <v>392258.69999999995</v>
      </c>
      <c r="Q14">
        <f t="shared" si="6"/>
        <v>354191.39999999997</v>
      </c>
      <c r="R14">
        <f t="shared" si="6"/>
        <v>357336.08999999997</v>
      </c>
      <c r="S14">
        <f t="shared" si="6"/>
        <v>460117.8</v>
      </c>
    </row>
    <row r="15" spans="1:19" x14ac:dyDescent="0.25">
      <c r="A15" s="4" t="s">
        <v>40</v>
      </c>
      <c r="B15" s="9">
        <f>L5/L11</f>
        <v>1.4118067467124071</v>
      </c>
      <c r="C15" s="9">
        <f t="shared" ref="C15:I15" si="7">M5/M11</f>
        <v>1.8184287978265792</v>
      </c>
      <c r="D15" s="9">
        <f t="shared" si="7"/>
        <v>1.9131240003367287</v>
      </c>
      <c r="E15" s="9">
        <f t="shared" si="7"/>
        <v>1.715419296663661</v>
      </c>
      <c r="F15" s="9">
        <f t="shared" si="7"/>
        <v>1.2053874485448111</v>
      </c>
      <c r="G15" s="9">
        <f t="shared" si="7"/>
        <v>0.97031917056312256</v>
      </c>
      <c r="H15" s="9">
        <f t="shared" si="7"/>
        <v>1.0098501070663812</v>
      </c>
      <c r="I15" s="9">
        <f t="shared" si="7"/>
        <v>0.80002299246996611</v>
      </c>
    </row>
    <row r="16" spans="1:19" x14ac:dyDescent="0.25">
      <c r="A16" s="4" t="s">
        <v>15</v>
      </c>
      <c r="B16" s="8">
        <f>L9/B4</f>
        <v>2.871345029239766E-2</v>
      </c>
      <c r="C16" s="8">
        <f t="shared" ref="C16:I16" si="8">M9/C4</f>
        <v>4.495443290021188E-2</v>
      </c>
      <c r="D16" s="8">
        <f t="shared" si="8"/>
        <v>2.0896399042154251E-3</v>
      </c>
      <c r="E16" s="8">
        <f t="shared" si="8"/>
        <v>1.0059866065704733E-3</v>
      </c>
      <c r="F16" s="8">
        <f t="shared" si="8"/>
        <v>9.2180341620346049E-4</v>
      </c>
      <c r="G16" s="8">
        <f t="shared" si="8"/>
        <v>1.081828016618333E-3</v>
      </c>
      <c r="H16" s="8">
        <f t="shared" si="8"/>
        <v>5.0257038551643637E-2</v>
      </c>
      <c r="I16" s="8">
        <f t="shared" si="8"/>
        <v>6.2304569001726796E-2</v>
      </c>
    </row>
    <row r="17" spans="1:9" x14ac:dyDescent="0.25">
      <c r="A17" s="4" t="s">
        <v>9</v>
      </c>
      <c r="B17" s="9">
        <f>L10/L2</f>
        <v>0.30367036984952889</v>
      </c>
      <c r="C17" s="9">
        <f t="shared" ref="C17:I17" si="9">M10/M2</f>
        <v>0.32558585326112999</v>
      </c>
      <c r="D17" s="9">
        <f t="shared" si="9"/>
        <v>0.29846027750131726</v>
      </c>
      <c r="E17" s="9">
        <f t="shared" si="9"/>
        <v>0.30138145429795998</v>
      </c>
      <c r="F17" s="9">
        <f t="shared" si="9"/>
        <v>0.31565340813085058</v>
      </c>
      <c r="G17" s="9">
        <f t="shared" si="9"/>
        <v>0.26285970625373828</v>
      </c>
      <c r="H17" s="9">
        <f t="shared" si="9"/>
        <v>0.28030844398650556</v>
      </c>
      <c r="I17" s="9">
        <f t="shared" si="9"/>
        <v>0.26116085023448443</v>
      </c>
    </row>
    <row r="18" spans="1:9" x14ac:dyDescent="0.25">
      <c r="A18" s="4" t="s">
        <v>44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s="4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t="s">
        <v>57</v>
      </c>
      <c r="B20">
        <v>-103</v>
      </c>
      <c r="C20">
        <v>-41</v>
      </c>
      <c r="D20">
        <v>72</v>
      </c>
      <c r="E20">
        <v>-169</v>
      </c>
      <c r="F20">
        <v>386</v>
      </c>
      <c r="G20">
        <v>-113</v>
      </c>
      <c r="H20">
        <v>-272</v>
      </c>
      <c r="I20">
        <v>-61</v>
      </c>
    </row>
    <row r="21" spans="1:9" x14ac:dyDescent="0.25">
      <c r="A21" s="17" t="s">
        <v>58</v>
      </c>
      <c r="B21">
        <v>0</v>
      </c>
      <c r="C21">
        <v>0</v>
      </c>
      <c r="D21">
        <v>1</v>
      </c>
      <c r="E21">
        <v>0</v>
      </c>
      <c r="F21">
        <v>1</v>
      </c>
      <c r="G21">
        <v>0</v>
      </c>
      <c r="H21">
        <v>0</v>
      </c>
      <c r="I21">
        <v>0</v>
      </c>
    </row>
    <row r="22" spans="1:9" x14ac:dyDescent="0.25">
      <c r="A22" s="17"/>
    </row>
    <row r="23" spans="1:9" x14ac:dyDescent="0.25">
      <c r="A23" s="17"/>
    </row>
    <row r="24" spans="1:9" x14ac:dyDescent="0.25">
      <c r="A24" s="17"/>
    </row>
    <row r="25" spans="1:9" x14ac:dyDescent="0.25">
      <c r="A25" s="18"/>
    </row>
    <row r="26" spans="1:9" x14ac:dyDescent="0.25">
      <c r="A26" s="17"/>
    </row>
    <row r="27" spans="1:9" x14ac:dyDescent="0.25">
      <c r="A27" s="17"/>
    </row>
    <row r="28" spans="1:9" x14ac:dyDescent="0.25">
      <c r="A28" s="17"/>
    </row>
    <row r="29" spans="1:9" x14ac:dyDescent="0.25">
      <c r="A29" s="17"/>
    </row>
    <row r="30" spans="1:9" x14ac:dyDescent="0.25">
      <c r="A30" s="17"/>
    </row>
    <row r="31" spans="1:9" x14ac:dyDescent="0.25">
      <c r="A31" s="17"/>
    </row>
    <row r="32" spans="1:9" x14ac:dyDescent="0.25">
      <c r="A32" s="17"/>
    </row>
    <row r="33" spans="1:1" x14ac:dyDescent="0.25">
      <c r="A33" s="17"/>
    </row>
    <row r="34" spans="1:1" x14ac:dyDescent="0.25">
      <c r="A34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43</vt:i4>
      </vt:variant>
    </vt:vector>
  </HeadingPairs>
  <TitlesOfParts>
    <vt:vector size="43" baseType="lpstr">
      <vt:lpstr>Explanations of the table</vt:lpstr>
      <vt:lpstr>Alfa Laval</vt:lpstr>
      <vt:lpstr>ASSA ABLOY B</vt:lpstr>
      <vt:lpstr>Atlas Copco</vt:lpstr>
      <vt:lpstr>Boliden</vt:lpstr>
      <vt:lpstr>Electrolux B</vt:lpstr>
      <vt:lpstr>Ericsson B</vt:lpstr>
      <vt:lpstr>Getinge B</vt:lpstr>
      <vt:lpstr>Hennes and Mauritz B</vt:lpstr>
      <vt:lpstr>Investor</vt:lpstr>
      <vt:lpstr>Lundin Petroleum</vt:lpstr>
      <vt:lpstr>Modern times group B</vt:lpstr>
      <vt:lpstr>Sandvik</vt:lpstr>
      <vt:lpstr>SCA B</vt:lpstr>
      <vt:lpstr>Securitas B</vt:lpstr>
      <vt:lpstr>Skanska B</vt:lpstr>
      <vt:lpstr>SKF B</vt:lpstr>
      <vt:lpstr>SSAB A</vt:lpstr>
      <vt:lpstr>Swedish match</vt:lpstr>
      <vt:lpstr>Tele2 B</vt:lpstr>
      <vt:lpstr>TeliaSonera</vt:lpstr>
      <vt:lpstr>Volvo </vt:lpstr>
      <vt:lpstr>AAK</vt:lpstr>
      <vt:lpstr>Fagerhult</vt:lpstr>
      <vt:lpstr>B&amp;B tools</vt:lpstr>
      <vt:lpstr>Beijer alma</vt:lpstr>
      <vt:lpstr>Mycronic</vt:lpstr>
      <vt:lpstr>Clas Ohlson</vt:lpstr>
      <vt:lpstr>Total</vt:lpstr>
      <vt:lpstr>Active Biotech</vt:lpstr>
      <vt:lpstr>Arcam</vt:lpstr>
      <vt:lpstr>ÅF B</vt:lpstr>
      <vt:lpstr>Kinnevik</vt:lpstr>
      <vt:lpstr>Cavotec</vt:lpstr>
      <vt:lpstr>Bilia</vt:lpstr>
      <vt:lpstr>Beijer ref</vt:lpstr>
      <vt:lpstr>BioGaia</vt:lpstr>
      <vt:lpstr>Bure equity</vt:lpstr>
      <vt:lpstr>Catena</vt:lpstr>
      <vt:lpstr>Duni</vt:lpstr>
      <vt:lpstr>Eniro</vt:lpstr>
      <vt:lpstr>Sweco 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Leonel SZperling</cp:lastModifiedBy>
  <dcterms:created xsi:type="dcterms:W3CDTF">2015-02-07T18:09:41Z</dcterms:created>
  <dcterms:modified xsi:type="dcterms:W3CDTF">2015-05-06T15:15:30Z</dcterms:modified>
</cp:coreProperties>
</file>