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urph/Desktop/UNC Project Folder/Crowdfunding Analysis Project/"/>
    </mc:Choice>
  </mc:AlternateContent>
  <xr:revisionPtr revIDLastSave="0" documentId="13_ncr:1_{89247633-D132-8840-8693-138CEFF12576}" xr6:coauthVersionLast="47" xr6:coauthVersionMax="47" xr10:uidLastSave="{00000000-0000-0000-0000-000000000000}"/>
  <bookViews>
    <workbookView xWindow="-32760" yWindow="1840" windowWidth="28800" windowHeight="17500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2" r:id="rId4"/>
    <sheet name="Subcategory Statistics (thtr)" sheetId="3" r:id="rId5"/>
    <sheet name="Edinburgh Research (thtr)" sheetId="7" r:id="rId6"/>
    <sheet name="Successful US Kickstarters" sheetId="8" r:id="rId7"/>
    <sheet name="Failed US Kickstarters" sheetId="9" r:id="rId8"/>
    <sheet name="DescriptiveStatistics (thtr)" sheetId="10" r:id="rId9"/>
    <sheet name="Chart1" sheetId="11" r:id="rId10"/>
  </sheets>
  <definedNames>
    <definedName name="_xlnm._FilterDatabase" localSheetId="0" hidden="1">Kickstarter!$A$1:$U$1</definedName>
    <definedName name="_xlnm._FilterDatabase" localSheetId="1" hidden="1">'Outcomes Based on Goals'!$A$1:$H$13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6" r:id="rId11"/>
    <pivotCache cacheId="6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D13" i="13" l="1"/>
  <c r="D12" i="13"/>
  <c r="D11" i="13"/>
  <c r="D10" i="13"/>
  <c r="D9" i="13"/>
  <c r="D8" i="13"/>
  <c r="D7" i="13"/>
  <c r="D16" i="13"/>
  <c r="D6" i="13"/>
  <c r="D5" i="13"/>
  <c r="D4" i="13"/>
  <c r="D3" i="13"/>
  <c r="D2" i="13"/>
  <c r="C16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B16" i="13"/>
  <c r="C13" i="10"/>
  <c r="C12" i="10"/>
  <c r="C14" i="10" s="1"/>
  <c r="C11" i="10"/>
  <c r="B13" i="10"/>
  <c r="B12" i="10"/>
  <c r="B14" i="10" s="1"/>
  <c r="B11" i="10"/>
  <c r="C6" i="10"/>
  <c r="C5" i="10"/>
  <c r="C7" i="10" s="1"/>
  <c r="C4" i="10"/>
  <c r="B6" i="10"/>
  <c r="B5" i="10"/>
  <c r="B7" i="10" s="1"/>
  <c r="B4" i="10"/>
  <c r="C2" i="10"/>
  <c r="C10" i="10"/>
  <c r="C9" i="10"/>
  <c r="B10" i="10"/>
  <c r="B9" i="10"/>
  <c r="C3" i="10"/>
  <c r="B3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6" i="13" l="1"/>
  <c r="E5" i="13"/>
  <c r="H5" i="13" s="1"/>
  <c r="E9" i="13"/>
  <c r="H9" i="13" s="1"/>
  <c r="E3" i="13"/>
  <c r="H3" i="13" s="1"/>
  <c r="E11" i="13"/>
  <c r="F11" i="13" s="1"/>
  <c r="E12" i="13"/>
  <c r="H12" i="13" s="1"/>
  <c r="E13" i="13"/>
  <c r="F13" i="13" s="1"/>
  <c r="E7" i="13"/>
  <c r="F7" i="13" s="1"/>
  <c r="E4" i="13"/>
  <c r="F4" i="13" s="1"/>
  <c r="E8" i="13"/>
  <c r="G8" i="13" s="1"/>
  <c r="E2" i="13"/>
  <c r="F2" i="13" s="1"/>
  <c r="E6" i="13"/>
  <c r="G6" i="13" s="1"/>
  <c r="E10" i="13"/>
  <c r="G10" i="13" s="1"/>
  <c r="B15" i="13"/>
  <c r="D15" i="13"/>
  <c r="C15" i="13"/>
  <c r="G11" i="13" l="1"/>
  <c r="F8" i="13"/>
  <c r="G2" i="13"/>
  <c r="G13" i="13"/>
  <c r="F10" i="13"/>
  <c r="G4" i="13"/>
  <c r="G7" i="13"/>
  <c r="G9" i="13"/>
  <c r="F6" i="13"/>
  <c r="G3" i="13"/>
  <c r="G5" i="13"/>
  <c r="G12" i="13"/>
  <c r="F9" i="13"/>
  <c r="H2" i="13"/>
  <c r="F12" i="13"/>
  <c r="F3" i="13"/>
  <c r="F5" i="13"/>
  <c r="H13" i="13"/>
  <c r="H7" i="13"/>
  <c r="H11" i="13"/>
  <c r="H4" i="13"/>
  <c r="H8" i="13"/>
  <c r="H10" i="13"/>
  <c r="H6" i="13"/>
  <c r="E15" i="13"/>
</calcChain>
</file>

<file path=xl/sharedStrings.xml><?xml version="1.0" encoding="utf-8"?>
<sst xmlns="http://schemas.openxmlformats.org/spreadsheetml/2006/main" count="38413" uniqueCount="8420">
  <si>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</si>
  <si>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</si>
  <si>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</si>
  <si>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</si>
  <si>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</si>
  <si>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</si>
  <si>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</si>
  <si>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</si>
  <si>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</si>
  <si>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</si>
  <si>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</si>
  <si>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</si>
  <si>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</si>
  <si>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</si>
  <si>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</si>
  <si>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</si>
  <si>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</si>
  <si>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</si>
  <si>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</si>
  <si>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</si>
  <si>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</si>
  <si>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</si>
  <si>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</si>
  <si>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</si>
  <si>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</si>
  <si>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</si>
  <si>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</si>
  <si>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</si>
  <si>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</si>
  <si>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</si>
  <si>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</si>
  <si>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</si>
  <si>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</si>
  <si>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</si>
  <si>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</si>
  <si>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</si>
  <si>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</si>
  <si>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</si>
  <si>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</si>
  <si>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</si>
  <si>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</si>
  <si>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</si>
  <si>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</si>
  <si>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</si>
  <si>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</si>
  <si>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</si>
  <si>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</si>
  <si>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</si>
  <si>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</si>
  <si>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</si>
  <si>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</si>
  <si>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</si>
  <si>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</si>
  <si>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</si>
  <si>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</si>
  <si>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</si>
  <si>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</si>
  <si>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</si>
  <si>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</si>
  <si>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</si>
  <si>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</si>
  <si>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</si>
  <si>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</si>
  <si>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</si>
  <si>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</si>
  <si>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</si>
  <si>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</si>
  <si>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</si>
  <si>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</si>
  <si>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</si>
  <si>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</si>
  <si>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</si>
  <si>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</si>
  <si>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</si>
  <si>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</si>
  <si>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</si>
  <si>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</si>
  <si>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</si>
  <si>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</si>
  <si>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</si>
  <si>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</si>
  <si>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</si>
  <si>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</si>
  <si>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</si>
  <si>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</si>
  <si>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</si>
  <si>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</si>
  <si>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</si>
  <si>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</si>
  <si>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</si>
  <si>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</si>
  <si>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</si>
  <si>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</si>
  <si>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</si>
  <si>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</si>
  <si>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</si>
  <si>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</si>
  <si>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</si>
  <si>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</si>
  <si>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</si>
  <si>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</si>
  <si>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</si>
  <si>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</si>
  <si>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</si>
  <si>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</si>
  <si>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</si>
  <si>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</si>
  <si>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</si>
  <si>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</si>
  <si>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</si>
  <si>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</si>
  <si>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</si>
  <si>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</si>
  <si>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</si>
  <si>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</si>
  <si>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</si>
  <si>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</si>
  <si>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</si>
  <si>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</si>
  <si>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</si>
  <si>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</si>
  <si>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</si>
  <si>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</si>
  <si>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</si>
  <si>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</si>
  <si>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</si>
  <si>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</si>
  <si>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</si>
  <si>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</si>
  <si>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</si>
  <si>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</si>
  <si>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</si>
  <si>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</si>
  <si>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</si>
  <si>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</si>
  <si>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</si>
  <si>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</si>
  <si>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</si>
  <si>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</si>
  <si>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</si>
  <si>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</si>
  <si>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</si>
  <si>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</si>
  <si>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</si>
  <si>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</si>
  <si>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</si>
  <si>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</si>
  <si>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</si>
  <si>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</si>
  <si>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</si>
  <si>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</si>
  <si>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</si>
  <si>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</si>
  <si>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</si>
  <si>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</si>
  <si>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</si>
  <si>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</si>
  <si>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</si>
  <si>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</si>
  <si>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</si>
  <si>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</si>
  <si>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</si>
  <si>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</si>
  <si>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</si>
  <si>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</si>
  <si>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</si>
  <si>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</si>
  <si>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</si>
  <si>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</si>
  <si>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</si>
  <si>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</si>
  <si>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</si>
  <si>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</si>
  <si>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</si>
  <si>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</si>
  <si>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</si>
  <si>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</si>
  <si>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</si>
  <si>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</si>
  <si>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</si>
  <si>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</si>
  <si>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</si>
  <si>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</si>
  <si>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</si>
  <si>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</si>
  <si>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</si>
  <si>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</si>
  <si>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</si>
  <si>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</si>
  <si>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</si>
  <si>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</si>
  <si>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</si>
  <si>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</si>
  <si>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</si>
  <si>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</si>
  <si>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</si>
  <si>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</si>
  <si>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</si>
  <si>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</si>
  <si>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</si>
  <si>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</si>
  <si>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</si>
  <si>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</si>
  <si>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</si>
  <si>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</si>
  <si>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</si>
  <si>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</si>
  <si>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</si>
  <si>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</si>
  <si>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</si>
  <si>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</si>
  <si>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</si>
  <si>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</si>
  <si>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</si>
  <si>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</si>
  <si>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</si>
  <si>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</si>
  <si>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</si>
  <si>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</si>
  <si>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</si>
  <si>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</si>
  <si>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</si>
  <si>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</si>
  <si>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</si>
  <si>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</si>
  <si>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</si>
  <si>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</si>
  <si>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</si>
  <si>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</si>
  <si>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</si>
  <si>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</si>
  <si>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</si>
  <si>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</si>
  <si>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</si>
  <si>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</si>
  <si>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</si>
  <si>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</si>
  <si>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</si>
  <si>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</si>
  <si>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</si>
  <si>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</si>
  <si>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</si>
  <si>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</si>
  <si>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</si>
  <si>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</si>
  <si>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</si>
  <si>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</si>
  <si>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</si>
  <si>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</si>
  <si>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</si>
  <si>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</si>
  <si>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</si>
  <si>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</si>
  <si>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</si>
  <si>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</si>
  <si>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</si>
  <si>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</si>
  <si>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</si>
  <si>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</si>
  <si>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</si>
  <si>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</si>
  <si>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</si>
  <si>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</si>
  <si>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</si>
  <si>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</si>
  <si>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</si>
  <si>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</si>
  <si>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</si>
  <si>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</si>
  <si>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</si>
  <si>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</si>
  <si>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</si>
  <si>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</si>
  <si>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</si>
  <si>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</si>
  <si>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</si>
  <si>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</si>
  <si>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</si>
  <si>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</si>
  <si>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</si>
  <si>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</si>
  <si>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</si>
  <si>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</si>
  <si>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</si>
  <si>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</si>
  <si>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</si>
  <si>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</si>
  <si>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</si>
  <si>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</si>
  <si>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</si>
  <si>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</si>
  <si>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</si>
  <si>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</si>
  <si>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</si>
  <si>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</si>
  <si>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</si>
  <si>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</si>
  <si>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</si>
  <si>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</si>
  <si>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</si>
  <si>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</si>
  <si>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</si>
  <si>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</si>
  <si>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</si>
  <si>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</si>
  <si>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</si>
  <si>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</si>
  <si>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</si>
  <si>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</si>
  <si>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</si>
  <si>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</si>
  <si>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</si>
  <si>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</si>
  <si>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</si>
  <si>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</si>
  <si>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</si>
  <si>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</si>
  <si>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</si>
  <si>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</si>
  <si>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</si>
  <si>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</si>
  <si>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</si>
  <si>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</si>
  <si>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</si>
  <si>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</si>
  <si>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</si>
  <si>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</si>
  <si>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</si>
  <si>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</si>
  <si>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</si>
  <si>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</si>
  <si>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</si>
  <si>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</si>
  <si>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</si>
  <si>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</si>
  <si>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</si>
  <si>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</si>
  <si>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</si>
  <si>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</si>
  <si>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</si>
  <si>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</si>
  <si>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</si>
  <si>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</si>
  <si>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</si>
  <si>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</si>
  <si>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</si>
  <si>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</si>
  <si>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</si>
  <si>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</si>
  <si>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</si>
  <si>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</si>
  <si>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</si>
  <si>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</si>
  <si>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</si>
  <si>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</si>
  <si>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</si>
  <si>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</si>
  <si>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</si>
  <si>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</si>
  <si>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</si>
  <si>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</si>
  <si>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</si>
  <si>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</si>
  <si>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</si>
  <si>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</si>
  <si>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</si>
  <si>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</si>
  <si>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</si>
  <si>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</si>
  <si>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</si>
  <si>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</si>
  <si>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</si>
  <si>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</si>
  <si>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</si>
  <si>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</si>
  <si>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</si>
  <si>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</si>
  <si>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</si>
  <si>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</si>
  <si>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</si>
  <si>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</si>
  <si>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</si>
  <si>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</si>
  <si>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</si>
  <si>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</si>
  <si>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</si>
  <si>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</si>
  <si>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</si>
  <si>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</si>
  <si>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</si>
  <si>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</si>
  <si>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</si>
  <si>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</si>
  <si>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</si>
  <si>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</si>
  <si>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</si>
  <si>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</si>
  <si>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</si>
  <si>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</si>
  <si>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</si>
  <si>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</si>
  <si>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</si>
  <si>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</si>
  <si>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</si>
  <si>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</si>
  <si>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</si>
  <si>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</si>
  <si>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</si>
  <si>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</si>
  <si>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</si>
  <si>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</si>
  <si>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</si>
  <si>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</si>
  <si>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</si>
  <si>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</si>
  <si>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</si>
  <si>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</si>
  <si>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</si>
  <si>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</si>
  <si>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</si>
  <si>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</si>
  <si>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</si>
  <si>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</si>
  <si>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</si>
  <si>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</si>
  <si>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</si>
  <si>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</si>
  <si>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</si>
  <si>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</si>
  <si>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</si>
  <si>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</si>
  <si>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</si>
  <si>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</si>
  <si>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</si>
  <si>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</si>
  <si>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</si>
  <si>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</si>
  <si>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</si>
  <si>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</si>
  <si>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</si>
  <si>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</si>
  <si>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</si>
  <si>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</si>
  <si>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</si>
  <si>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</si>
  <si>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</si>
  <si>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</si>
  <si>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</si>
  <si>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</si>
  <si>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</si>
  <si>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</si>
  <si>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</si>
  <si>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</si>
  <si>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</si>
  <si>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</si>
  <si>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</si>
  <si>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</si>
  <si>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</si>
  <si>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</si>
  <si>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</si>
  <si>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</si>
  <si>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</si>
  <si>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</si>
  <si>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</si>
  <si>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</si>
  <si>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</si>
  <si>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</si>
  <si>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</si>
  <si>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</si>
  <si>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</si>
  <si>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</si>
  <si>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</si>
  <si>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</si>
  <si>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</si>
  <si>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</si>
  <si>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</si>
  <si>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</si>
  <si>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</si>
  <si>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</si>
  <si>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</si>
  <si>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</si>
  <si>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</si>
  <si>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</si>
  <si>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</si>
  <si>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</si>
  <si>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</si>
  <si>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</si>
  <si>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</si>
  <si>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</si>
  <si>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</si>
  <si>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</si>
  <si>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</si>
  <si>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</si>
  <si>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</si>
  <si>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</si>
  <si>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</si>
  <si>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</si>
  <si>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</si>
  <si>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</si>
  <si>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</si>
  <si>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</si>
  <si>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</si>
  <si>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</si>
  <si>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</si>
  <si>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</si>
  <si>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</si>
  <si>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</si>
  <si>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</si>
  <si>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</si>
  <si>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</si>
  <si>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</si>
  <si>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</si>
  <si>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</si>
  <si>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</si>
  <si>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</si>
  <si>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</si>
  <si>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</si>
  <si>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</si>
  <si>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</si>
  <si>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</si>
  <si>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</si>
  <si>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</si>
  <si>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</si>
  <si>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</si>
  <si>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</si>
  <si>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</si>
  <si>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</si>
  <si>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</si>
  <si>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</si>
  <si>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</si>
  <si>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</si>
  <si>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</si>
  <si>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</si>
  <si>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</si>
  <si>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</si>
  <si>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</si>
  <si>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</si>
  <si>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</si>
  <si>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</si>
  <si>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</si>
  <si>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</si>
  <si>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</si>
  <si>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</si>
  <si>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</si>
  <si>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</si>
  <si>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</si>
  <si>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</si>
  <si>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</si>
  <si>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</si>
  <si>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</si>
  <si>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</si>
  <si>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</si>
  <si>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</si>
  <si>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</si>
  <si>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</si>
  <si>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</si>
  <si>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</si>
  <si>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</si>
  <si>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</si>
  <si>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</si>
  <si>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</si>
  <si>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</si>
  <si>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</si>
  <si>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</si>
  <si>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</si>
  <si>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</si>
  <si>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</si>
  <si>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</si>
  <si>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</si>
  <si>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</si>
  <si>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</si>
  <si>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</si>
  <si>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</si>
  <si>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</si>
  <si>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</si>
  <si>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</si>
  <si>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</si>
  <si>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</si>
  <si>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</si>
  <si>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</si>
  <si>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</si>
  <si>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</si>
  <si>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</si>
  <si>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</si>
  <si>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</si>
  <si>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</si>
  <si>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</si>
  <si>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</si>
  <si>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</si>
  <si>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</si>
  <si>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</si>
  <si>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</si>
  <si>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</si>
  <si>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</si>
  <si>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</si>
  <si>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</si>
  <si>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</si>
  <si>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</si>
  <si>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</si>
  <si>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</si>
  <si>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</si>
  <si>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</si>
  <si>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</si>
  <si>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</si>
  <si>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</si>
  <si>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</si>
  <si>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</si>
  <si>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</si>
  <si>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</si>
  <si>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</si>
  <si>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</si>
  <si>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</si>
  <si>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</si>
  <si>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</si>
  <si>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</si>
  <si>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</si>
  <si>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</si>
  <si>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</si>
  <si>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</si>
  <si>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</si>
  <si>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</si>
  <si>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</si>
  <si>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</si>
  <si>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</si>
  <si>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</si>
  <si>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</si>
  <si>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</si>
  <si>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</si>
  <si>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</si>
  <si>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</si>
  <si>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</si>
  <si>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</si>
  <si>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</si>
  <si>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</si>
  <si>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</si>
  <si>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</si>
  <si>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</si>
  <si>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</si>
  <si>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</si>
  <si>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</si>
  <si>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</si>
  <si>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</si>
  <si>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</si>
  <si>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</si>
  <si>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</si>
  <si>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</si>
  <si>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</si>
  <si>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</si>
  <si>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</si>
  <si>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</si>
  <si>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</si>
  <si>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</si>
  <si>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</si>
  <si>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</si>
  <si>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</si>
  <si>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</si>
  <si>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</si>
  <si>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</si>
  <si>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</si>
  <si>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</si>
  <si>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</si>
  <si>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</si>
  <si>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</si>
  <si>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</si>
  <si>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</si>
  <si>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</si>
  <si>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</si>
  <si>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</si>
  <si>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</si>
  <si>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</si>
  <si>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</si>
  <si>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</si>
  <si>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</si>
  <si>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</si>
  <si>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</si>
  <si>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</si>
  <si>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</si>
  <si>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</si>
  <si>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</si>
  <si>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</si>
  <si>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</si>
  <si>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</si>
  <si>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</si>
  <si>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</si>
  <si>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</si>
  <si>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</si>
  <si>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</si>
  <si>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</si>
  <si>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</si>
  <si>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</si>
  <si>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</si>
  <si>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</si>
  <si>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</si>
  <si>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</si>
  <si>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</si>
  <si>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</si>
  <si>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</si>
  <si>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</si>
  <si>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</si>
  <si>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</si>
  <si>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</si>
  <si>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</si>
  <si>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</si>
  <si>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</si>
  <si>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</si>
  <si>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</si>
  <si>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</si>
  <si>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</si>
  <si>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</si>
  <si>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</si>
  <si>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</si>
  <si>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</si>
  <si>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</si>
  <si>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</si>
  <si>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</si>
  <si>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</si>
  <si>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</si>
  <si>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</si>
  <si>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</si>
  <si>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</si>
  <si>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</si>
  <si>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</si>
  <si>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</si>
  <si>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</si>
  <si>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</si>
  <si>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</si>
  <si>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</si>
  <si>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</si>
  <si>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</si>
  <si>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</si>
  <si>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</si>
  <si>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</si>
  <si>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</si>
  <si>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</si>
  <si>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</si>
  <si>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</si>
  <si>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</si>
  <si>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</si>
  <si>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</si>
  <si>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</si>
  <si>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</si>
  <si>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</si>
  <si>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</si>
  <si>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</si>
  <si>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</si>
  <si>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</si>
  <si>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</si>
  <si>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</si>
  <si>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</si>
  <si>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</si>
  <si>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</si>
  <si>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</si>
  <si>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</si>
  <si>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</si>
  <si>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</si>
  <si>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</si>
  <si>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</si>
  <si>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</si>
  <si>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</si>
  <si>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</si>
  <si>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</si>
  <si>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</si>
  <si>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</si>
  <si>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</si>
  <si>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</si>
  <si>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</si>
  <si>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</si>
  <si>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</si>
  <si>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</si>
  <si>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</si>
  <si>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</si>
  <si>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</si>
  <si>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</si>
  <si>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</si>
  <si>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</si>
  <si>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</si>
  <si>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</si>
  <si>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</si>
  <si>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</si>
  <si>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</si>
  <si>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</si>
  <si>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</si>
  <si>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</si>
  <si>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</si>
  <si>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</si>
  <si>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</si>
  <si>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</si>
  <si>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</si>
  <si>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</si>
  <si>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</si>
  <si>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</si>
  <si>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</si>
  <si>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</si>
  <si>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</si>
  <si>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</si>
  <si>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</si>
  <si>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</si>
  <si>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</si>
  <si>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</si>
  <si>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</si>
  <si>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</si>
  <si>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</si>
  <si>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</si>
  <si>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</si>
  <si>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</si>
  <si>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</si>
  <si>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</si>
  <si>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</si>
  <si>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</si>
  <si>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</si>
  <si>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</si>
  <si>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</si>
  <si>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</si>
  <si>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</si>
  <si>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</si>
  <si>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</si>
  <si>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</si>
  <si>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</si>
  <si>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</si>
  <si>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</si>
  <si>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</si>
  <si>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</si>
  <si>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</si>
  <si>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</si>
  <si>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</si>
  <si>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</si>
  <si>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</si>
  <si>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</si>
  <si>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</si>
  <si>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</si>
  <si>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</si>
  <si>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</si>
  <si>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</si>
  <si>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</si>
  <si>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</si>
  <si>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</si>
  <si>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</si>
  <si>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</si>
  <si>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</si>
  <si>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</si>
  <si>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</si>
  <si>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</si>
  <si>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</si>
  <si>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</si>
  <si>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</si>
  <si>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</si>
  <si>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</si>
  <si>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</si>
  <si>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</si>
  <si>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</si>
  <si>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</si>
  <si>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</si>
  <si>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</si>
  <si>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</si>
  <si>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</si>
  <si>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</si>
  <si>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</si>
  <si>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</si>
  <si>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</si>
  <si>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</si>
  <si>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</si>
  <si>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</si>
  <si>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</si>
  <si>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</si>
  <si>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</si>
  <si>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</si>
  <si>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</si>
  <si>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</si>
  <si>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</si>
  <si>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</si>
  <si>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</si>
  <si>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</si>
  <si>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</si>
  <si>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</si>
  <si>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</si>
  <si>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</si>
  <si>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</si>
  <si>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</si>
  <si>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</si>
  <si>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</si>
  <si>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</si>
  <si>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</si>
  <si>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</si>
  <si>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</si>
  <si>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</si>
  <si>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</si>
  <si>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</si>
  <si>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</si>
  <si>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</si>
  <si>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</si>
  <si>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</si>
  <si>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</si>
  <si>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</si>
  <si>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</si>
  <si>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</si>
  <si>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</si>
  <si>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</si>
  <si>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</si>
  <si>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</si>
  <si>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</si>
  <si>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</si>
  <si>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</si>
  <si>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</si>
  <si>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</si>
  <si>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</si>
  <si>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</si>
  <si>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</si>
  <si>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</si>
  <si>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</si>
  <si>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</si>
  <si>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</si>
  <si>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</si>
  <si>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</si>
  <si>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</si>
  <si>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</si>
  <si>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</si>
  <si>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</si>
  <si>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</si>
  <si>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</si>
  <si>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</si>
  <si>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</si>
  <si>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</si>
  <si>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</si>
  <si>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</si>
  <si>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</si>
  <si>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</si>
  <si>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</si>
  <si>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</si>
  <si>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</si>
  <si>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</si>
  <si>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</si>
  <si>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</si>
  <si>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</si>
  <si>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</si>
  <si>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</si>
  <si>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</si>
  <si>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</si>
  <si>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</si>
  <si>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</si>
  <si>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</si>
  <si>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</si>
  <si>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</si>
  <si>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</si>
  <si>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</si>
  <si>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</si>
  <si>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</si>
  <si>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</si>
  <si>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</si>
  <si>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</si>
  <si>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</si>
  <si>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</si>
  <si>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</si>
  <si>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</si>
  <si>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</si>
  <si>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</si>
  <si>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</si>
  <si>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</si>
  <si>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</si>
  <si>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</si>
  <si>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</si>
  <si>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</si>
  <si>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</si>
  <si>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</si>
  <si>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</si>
  <si>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</si>
  <si>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</si>
  <si>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</si>
  <si>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</si>
  <si>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</si>
  <si>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</si>
  <si>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</si>
  <si>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</si>
  <si>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</si>
  <si>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</si>
  <si>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</si>
  <si>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</si>
  <si>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</si>
  <si>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</si>
  <si>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</si>
  <si>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</si>
  <si>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</si>
  <si>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</si>
  <si>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</si>
  <si>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</si>
  <si>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</si>
  <si>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</si>
  <si>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</si>
  <si>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</si>
  <si>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</si>
  <si>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</si>
  <si>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</si>
  <si>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</si>
  <si>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</si>
  <si>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</si>
  <si>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</si>
  <si>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</si>
  <si>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</si>
  <si>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</si>
  <si>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</si>
  <si>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</si>
  <si>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</si>
  <si>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</si>
  <si>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</si>
  <si>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</si>
  <si>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</si>
  <si>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</si>
  <si>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</si>
  <si>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</si>
  <si>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</si>
  <si>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</si>
  <si>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</si>
  <si>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</si>
  <si>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</si>
  <si>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</si>
  <si>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</si>
  <si>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</si>
  <si>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</si>
  <si>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</si>
  <si>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</si>
  <si>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</si>
  <si>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</si>
  <si>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</si>
  <si>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</si>
  <si>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</si>
  <si>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</si>
  <si>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</si>
  <si>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</si>
  <si>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</si>
  <si>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</si>
  <si>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</si>
  <si>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</si>
  <si>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</si>
  <si>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</si>
  <si>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</si>
  <si>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</si>
  <si>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</si>
  <si>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</si>
  <si>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</si>
  <si>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</si>
  <si>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</si>
  <si>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</si>
  <si>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</si>
  <si>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</si>
  <si>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</si>
  <si>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</si>
  <si>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</si>
  <si>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</si>
  <si>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</si>
  <si>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</si>
  <si>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</si>
  <si>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</si>
  <si>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</si>
  <si>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</si>
  <si>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</si>
  <si>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</si>
  <si>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</si>
  <si>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</si>
  <si>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</si>
  <si>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</si>
  <si>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</si>
  <si>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</si>
  <si>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</si>
  <si>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</si>
  <si>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</si>
  <si>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</si>
  <si>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</si>
  <si>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</si>
  <si>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</si>
  <si>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</si>
  <si>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</si>
  <si>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</si>
  <si>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</si>
  <si>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</si>
  <si>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</si>
  <si>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</si>
  <si>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</si>
  <si>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</si>
  <si>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</si>
  <si>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</si>
  <si>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</si>
  <si>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</si>
  <si>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</si>
  <si>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</si>
  <si>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</si>
  <si>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</si>
  <si>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</si>
  <si>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</si>
  <si>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</si>
  <si>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</si>
  <si>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</si>
  <si>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</si>
  <si>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</si>
  <si>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</si>
  <si>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</si>
  <si>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</si>
  <si>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</si>
  <si>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</si>
  <si>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</si>
  <si>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</si>
  <si>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</si>
  <si>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</si>
  <si>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</si>
  <si>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</si>
  <si>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</si>
  <si>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</si>
  <si>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</si>
  <si>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</si>
  <si>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</si>
  <si>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</si>
  <si>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</si>
  <si>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</si>
  <si>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</si>
  <si>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</si>
  <si>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</si>
  <si>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</si>
  <si>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</si>
  <si>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</si>
  <si>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</si>
  <si>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</si>
  <si>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</si>
  <si>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</si>
  <si>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</si>
  <si>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</si>
  <si>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</si>
  <si>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</si>
  <si>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</si>
  <si>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</si>
  <si>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</si>
  <si>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</si>
  <si>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</si>
  <si>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</si>
  <si>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</si>
  <si>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</si>
  <si>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</si>
  <si>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</si>
  <si>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</si>
  <si>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</si>
  <si>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</si>
  <si>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</si>
  <si>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</si>
  <si>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</si>
  <si>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</si>
  <si>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</si>
  <si>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</si>
  <si>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</si>
  <si>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</si>
  <si>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</si>
  <si>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</si>
  <si>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</si>
  <si>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</si>
  <si>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</si>
  <si>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</si>
  <si>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</si>
  <si>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</si>
  <si>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</si>
  <si>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</si>
  <si>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</si>
  <si>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</si>
  <si>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</si>
  <si>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</si>
  <si>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</si>
  <si>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</si>
  <si>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</si>
  <si>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</si>
  <si>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</si>
  <si>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</si>
  <si>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</si>
  <si>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</si>
  <si>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</si>
  <si>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</si>
  <si>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</si>
  <si>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</si>
  <si>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</si>
  <si>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</si>
  <si>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</si>
  <si>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</si>
  <si>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</si>
  <si>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</si>
  <si>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</si>
  <si>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</si>
  <si>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</si>
  <si>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</si>
  <si>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</si>
  <si>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</si>
  <si>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</si>
  <si>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</si>
  <si>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</si>
  <si>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</si>
  <si>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</si>
  <si>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</si>
  <si>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</si>
  <si>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</si>
  <si>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</si>
  <si>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</si>
  <si>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</si>
  <si>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</si>
  <si>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</si>
  <si>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</si>
  <si>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</si>
  <si>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</si>
  <si>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</si>
  <si>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</si>
  <si>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</si>
  <si>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</si>
  <si>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</si>
  <si>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</si>
  <si>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</si>
  <si>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</si>
  <si>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</si>
  <si>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</si>
  <si>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</si>
  <si>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</si>
  <si>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</si>
  <si>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</si>
  <si>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</si>
  <si>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</si>
  <si>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</si>
  <si>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</si>
  <si>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</si>
  <si>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</si>
  <si>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</si>
  <si>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</si>
  <si>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</si>
  <si>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</si>
  <si>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</si>
  <si>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</si>
  <si>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</si>
  <si>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</si>
  <si>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</si>
  <si>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</si>
  <si>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</si>
  <si>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</si>
  <si>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</si>
  <si>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</si>
  <si>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</si>
  <si>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</si>
  <si>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</si>
  <si>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</si>
  <si>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</si>
  <si>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</si>
  <si>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</si>
  <si>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</si>
  <si>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</si>
  <si>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</si>
  <si>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</si>
  <si>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</si>
  <si>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</si>
  <si>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</si>
  <si>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</si>
  <si>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</si>
  <si>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</si>
  <si>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</si>
  <si>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</si>
  <si>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</si>
  <si>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</si>
  <si>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</si>
  <si>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</si>
  <si>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</si>
  <si>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</si>
  <si>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</si>
  <si>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</si>
  <si>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</si>
  <si>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</si>
  <si>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</si>
  <si>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</si>
  <si>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</si>
  <si>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</si>
  <si>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</si>
  <si>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</si>
  <si>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</si>
  <si>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</si>
  <si>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</si>
  <si>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</si>
  <si>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</si>
  <si>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</si>
  <si>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</si>
  <si>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</si>
  <si>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</si>
  <si>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</si>
  <si>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</si>
  <si>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</si>
  <si>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</si>
  <si>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</si>
  <si>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</si>
  <si>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</si>
  <si>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</si>
  <si>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</si>
  <si>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</si>
  <si>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</si>
  <si>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</si>
  <si>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</si>
  <si>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</si>
  <si>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</si>
  <si>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</si>
  <si>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</si>
  <si>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</si>
  <si>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</si>
  <si>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</si>
  <si>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</si>
  <si>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</si>
  <si>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</si>
  <si>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</si>
  <si>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</si>
  <si>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</si>
  <si>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</si>
  <si>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</si>
  <si>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</si>
  <si>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</si>
  <si>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</si>
  <si>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</si>
  <si>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</si>
  <si>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</si>
  <si>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</si>
  <si>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</si>
  <si>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</si>
  <si>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</si>
  <si>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</si>
  <si>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</si>
  <si>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</si>
  <si>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</si>
  <si>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</si>
  <si>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</si>
  <si>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</si>
  <si>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</si>
  <si>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</si>
  <si>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</si>
  <si>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</si>
  <si>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</si>
  <si>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</si>
  <si>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</si>
  <si>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</si>
  <si>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</si>
  <si>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</si>
  <si>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</si>
  <si>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</si>
  <si>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</si>
  <si>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</si>
  <si>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</si>
  <si>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</si>
  <si>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</si>
  <si>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</si>
  <si>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</si>
  <si>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</si>
  <si>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</si>
  <si>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</si>
  <si>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</si>
  <si>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</si>
  <si>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</si>
  <si>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</si>
  <si>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</si>
  <si>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</si>
  <si>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</si>
  <si>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</si>
  <si>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</si>
  <si>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</si>
  <si>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</si>
  <si>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</si>
  <si>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</si>
  <si>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</si>
  <si>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</si>
  <si>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</si>
  <si>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</si>
  <si>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</si>
  <si>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</si>
  <si>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</si>
  <si>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</si>
  <si>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</si>
  <si>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</si>
  <si>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</si>
  <si>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</si>
  <si>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</si>
  <si>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</si>
  <si>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</si>
  <si>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</si>
  <si>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</si>
  <si>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</si>
  <si>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</si>
  <si>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</si>
  <si>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</si>
  <si>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</si>
  <si>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</si>
  <si>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</si>
  <si>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</si>
  <si>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</si>
  <si>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</si>
  <si>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</si>
  <si>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</si>
  <si>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</si>
  <si>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</si>
  <si>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</si>
  <si>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</si>
  <si>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</si>
  <si>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</si>
  <si>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</si>
  <si>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</si>
  <si>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</si>
  <si>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</si>
  <si>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</si>
  <si>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</si>
  <si>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</si>
  <si>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</si>
  <si>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</si>
  <si>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</si>
  <si>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</si>
  <si>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</si>
  <si>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</si>
  <si>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</si>
  <si>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</si>
  <si>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</si>
  <si>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</si>
  <si>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</si>
  <si>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</si>
  <si>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</si>
  <si>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</si>
  <si>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</si>
  <si>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</si>
  <si>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</si>
  <si>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</si>
  <si>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</si>
  <si>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</si>
  <si>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</si>
  <si>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</si>
  <si>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</si>
  <si>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</si>
  <si>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</si>
  <si>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</si>
  <si>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</si>
  <si>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</si>
  <si>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</si>
  <si>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</si>
  <si>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</si>
  <si>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</si>
  <si>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</si>
  <si>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</si>
  <si>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</si>
  <si>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</si>
  <si>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</si>
  <si>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</si>
  <si>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</si>
  <si>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</si>
  <si>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</si>
  <si>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</si>
  <si>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</si>
  <si>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</si>
  <si>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</si>
  <si>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</si>
  <si>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</si>
  <si>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</si>
  <si>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</si>
  <si>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</si>
  <si>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</si>
  <si>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</si>
  <si>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</si>
  <si>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</si>
  <si>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</si>
  <si>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</si>
  <si>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</si>
  <si>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</si>
  <si>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</si>
  <si>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</si>
  <si>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</si>
  <si>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</si>
  <si>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</si>
  <si>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</si>
  <si>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</si>
  <si>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</si>
  <si>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</si>
  <si>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</si>
  <si>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</si>
  <si>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</si>
  <si>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</si>
  <si>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</si>
  <si>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</si>
  <si>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</si>
  <si>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</si>
  <si>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</si>
  <si>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</si>
  <si>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</si>
  <si>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</si>
  <si>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</si>
  <si>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</si>
  <si>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</si>
  <si>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</si>
  <si>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</si>
  <si>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</si>
  <si>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</si>
  <si>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</si>
  <si>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</si>
  <si>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</si>
  <si>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</si>
  <si>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</si>
  <si>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</si>
  <si>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</si>
  <si>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</si>
  <si>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</si>
  <si>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</si>
  <si>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</si>
  <si>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</si>
  <si>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</si>
  <si>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</si>
  <si>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</si>
  <si>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</si>
  <si>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</si>
  <si>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</si>
  <si>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</si>
  <si>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</si>
  <si>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</si>
  <si>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</si>
  <si>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</si>
  <si>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</si>
  <si>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</si>
  <si>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</si>
  <si>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</si>
  <si>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</si>
  <si>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</si>
  <si>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</si>
  <si>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</si>
  <si>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</si>
  <si>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</si>
  <si>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</si>
  <si>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</si>
  <si>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</si>
  <si>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</si>
  <si>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</si>
  <si>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</si>
  <si>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</si>
  <si>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</si>
  <si>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</si>
  <si>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</si>
  <si>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</si>
  <si>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</si>
  <si>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</si>
  <si>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</si>
  <si>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</si>
  <si>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</si>
  <si>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</si>
  <si>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</si>
  <si>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</si>
  <si>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</si>
  <si>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</si>
  <si>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</si>
  <si>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</si>
  <si>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</si>
  <si>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</si>
  <si>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</si>
  <si>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</si>
  <si>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</si>
  <si>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</si>
  <si>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</si>
  <si>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</si>
  <si>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</si>
  <si>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</si>
  <si>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</si>
  <si>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</si>
  <si>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</si>
  <si>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</si>
  <si>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</si>
  <si>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</si>
  <si>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</si>
  <si>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</si>
  <si>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</si>
  <si>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</si>
  <si>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</si>
  <si>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</si>
  <si>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</si>
  <si>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</si>
  <si>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</si>
  <si>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</si>
  <si>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</si>
  <si>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</si>
  <si>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</si>
  <si>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</si>
  <si>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</si>
  <si>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</si>
  <si>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</si>
  <si>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</si>
  <si>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</si>
  <si>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</si>
  <si>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</si>
  <si>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</si>
  <si>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</si>
  <si>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</si>
  <si>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</si>
  <si>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</si>
  <si>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</si>
  <si>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</si>
  <si>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</si>
  <si>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</si>
  <si>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</si>
  <si>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</si>
  <si>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</si>
  <si>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</si>
  <si>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</si>
  <si>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</si>
  <si>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</si>
  <si>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</si>
  <si>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</si>
  <si>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</si>
  <si>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</si>
  <si>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</si>
  <si>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</si>
  <si>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</si>
  <si>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</si>
  <si>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</si>
  <si>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</si>
  <si>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</si>
  <si>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</si>
  <si>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</si>
  <si>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</si>
  <si>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</si>
  <si>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</si>
  <si>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</si>
  <si>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</si>
  <si>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</si>
  <si>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</si>
  <si>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</si>
  <si>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</si>
  <si>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</si>
  <si>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</si>
  <si>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</si>
  <si>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</si>
  <si>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</si>
  <si>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</si>
  <si>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</si>
  <si>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</si>
  <si>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</si>
  <si>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</si>
  <si>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</si>
  <si>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</si>
  <si>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</si>
  <si>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</si>
  <si>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</si>
  <si>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</si>
  <si>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</si>
  <si>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</si>
  <si>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</si>
  <si>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</si>
  <si>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</si>
  <si>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</si>
  <si>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</si>
  <si>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</si>
  <si>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</si>
  <si>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</si>
  <si>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</si>
  <si>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</si>
  <si>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</si>
  <si>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</si>
  <si>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</si>
  <si>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</si>
  <si>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</si>
  <si>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</si>
  <si>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</si>
  <si>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</si>
  <si>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</si>
  <si>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</si>
  <si>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</si>
  <si>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</si>
  <si>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</si>
  <si>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</si>
  <si>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</si>
  <si>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</si>
  <si>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</si>
  <si>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</si>
  <si>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</si>
  <si>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</si>
  <si>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</si>
  <si>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</si>
  <si>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</si>
  <si>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</si>
  <si>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</si>
  <si>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</si>
  <si>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</si>
  <si>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</si>
  <si>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</si>
  <si>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</si>
  <si>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</si>
  <si>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</si>
  <si>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</si>
  <si>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</si>
  <si>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</si>
  <si>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</si>
  <si>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</si>
  <si>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</si>
  <si>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</si>
  <si>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</si>
  <si>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</si>
  <si>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</si>
  <si>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</si>
  <si>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</si>
  <si>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</si>
  <si>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</si>
  <si>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</si>
  <si>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</si>
  <si>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</si>
  <si>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</si>
  <si>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</si>
  <si>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</si>
  <si>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</si>
  <si>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</si>
  <si>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</si>
  <si>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</si>
  <si>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</si>
  <si>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</si>
  <si>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</si>
  <si>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</si>
  <si>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</si>
  <si>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</si>
  <si>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</si>
  <si>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</si>
  <si>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</si>
  <si>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</si>
  <si>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</si>
  <si>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</si>
  <si>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</si>
  <si>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</si>
  <si>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</si>
  <si>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</si>
  <si>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</si>
  <si>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</si>
  <si>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</si>
  <si>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</si>
  <si>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</si>
  <si>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</si>
  <si>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</si>
  <si>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</si>
  <si>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</si>
  <si>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</si>
  <si>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</si>
  <si>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</si>
  <si>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</si>
  <si>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</si>
  <si>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</si>
  <si>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</si>
  <si>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</si>
  <si>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</si>
  <si>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</si>
  <si>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</si>
  <si>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</si>
  <si>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</si>
  <si>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</si>
  <si>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</si>
  <si>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</si>
  <si>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</si>
  <si>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</si>
  <si>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</si>
  <si>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</si>
  <si>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</si>
  <si>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</si>
  <si>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</si>
  <si>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</si>
  <si>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</si>
  <si>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</si>
  <si>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</si>
  <si>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</si>
  <si>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</si>
  <si>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</si>
  <si>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</si>
  <si>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</si>
  <si>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</si>
  <si>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</si>
  <si>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</si>
  <si>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</si>
  <si>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</si>
  <si>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</si>
  <si>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</si>
  <si>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</si>
  <si>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</si>
  <si>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</si>
  <si>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</si>
  <si>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</si>
  <si>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</si>
  <si>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</si>
  <si>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</si>
  <si>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</si>
  <si>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</si>
  <si>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</si>
  <si>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</si>
  <si>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</si>
  <si>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</si>
  <si>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</si>
  <si>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</si>
  <si>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</si>
  <si>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</si>
  <si>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</si>
  <si>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</si>
  <si>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</si>
  <si>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</si>
  <si>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</si>
  <si>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</si>
  <si>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</si>
  <si>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</si>
  <si>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</si>
  <si>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</si>
  <si>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</si>
  <si>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</si>
  <si>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</si>
  <si>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</si>
  <si>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</si>
  <si>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</si>
  <si>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</si>
  <si>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</si>
  <si>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</si>
  <si>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</si>
  <si>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</si>
  <si>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</si>
  <si>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</si>
  <si>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</si>
  <si>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</si>
  <si>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</si>
  <si>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</si>
  <si>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</si>
  <si>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</si>
  <si>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</si>
  <si>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</si>
  <si>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</si>
  <si>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</si>
  <si>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</si>
  <si>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</si>
  <si>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</si>
  <si>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</si>
  <si>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</si>
  <si>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</si>
  <si>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</si>
  <si>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</si>
  <si>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</si>
  <si>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</si>
  <si>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</si>
  <si>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</si>
  <si>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</si>
  <si>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</si>
  <si>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</si>
  <si>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</si>
  <si>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</si>
  <si>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</si>
  <si>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</si>
  <si>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</si>
  <si>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</si>
  <si>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</si>
  <si>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</si>
  <si>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</si>
  <si>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</si>
  <si>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</si>
  <si>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</si>
  <si>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</si>
  <si>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</si>
  <si>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</si>
  <si>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</si>
  <si>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</si>
  <si>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</si>
  <si>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</si>
  <si>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</si>
  <si>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</si>
  <si>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</si>
  <si>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</si>
  <si>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</si>
  <si>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</si>
  <si>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</si>
  <si>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</si>
  <si>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</si>
  <si>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</si>
  <si>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</si>
  <si>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</si>
  <si>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</si>
  <si>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</si>
  <si>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</si>
  <si>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</si>
  <si>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</si>
  <si>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</si>
  <si>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</si>
  <si>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</si>
  <si>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</si>
  <si>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</si>
  <si>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</si>
  <si>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</si>
  <si>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</si>
  <si>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</si>
  <si>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</si>
  <si>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</si>
  <si>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</si>
  <si>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</si>
  <si>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</si>
  <si>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</si>
  <si>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</si>
  <si>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</si>
  <si>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</si>
  <si>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</si>
  <si>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</si>
  <si>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</si>
  <si>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</si>
  <si>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</si>
  <si>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</si>
  <si>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</si>
  <si>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</si>
  <si>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</si>
  <si>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</si>
  <si>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</si>
  <si>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</si>
  <si>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</si>
  <si>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</si>
  <si>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</si>
  <si>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</si>
  <si>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</si>
  <si>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</si>
  <si>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</si>
  <si>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</si>
  <si>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</si>
  <si>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</si>
  <si>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</si>
  <si>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</si>
  <si>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</si>
  <si>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</si>
  <si>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</si>
  <si>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</si>
  <si>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</si>
  <si>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</si>
  <si>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</si>
  <si>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</si>
  <si>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</si>
  <si>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</si>
  <si>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</si>
  <si>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</si>
  <si>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</si>
  <si>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</si>
  <si>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</si>
  <si>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</si>
  <si>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</si>
  <si>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</si>
  <si>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</si>
  <si>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</si>
  <si>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</si>
  <si>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</si>
  <si>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</si>
  <si>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</si>
  <si>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</si>
  <si>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</si>
  <si>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</si>
  <si>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</si>
  <si>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</si>
  <si>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</si>
  <si>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</si>
  <si>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</si>
  <si>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</si>
  <si>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</si>
  <si>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</si>
  <si>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</si>
  <si>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</si>
  <si>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</si>
  <si>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</si>
  <si>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</si>
  <si>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</si>
  <si>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</si>
  <si>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</si>
  <si>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</si>
  <si>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</si>
  <si>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</si>
  <si>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</si>
  <si>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</si>
  <si>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</si>
  <si>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</si>
  <si>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</si>
  <si>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</si>
  <si>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</si>
  <si>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</si>
  <si>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</si>
  <si>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</si>
  <si>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</si>
  <si>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</si>
  <si>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</si>
  <si>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</si>
  <si>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</si>
  <si>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</si>
  <si>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</si>
  <si>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</si>
  <si>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</si>
  <si>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</si>
  <si>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</si>
  <si>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</si>
  <si>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</si>
  <si>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</si>
  <si>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</si>
  <si>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</si>
  <si>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</si>
  <si>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</si>
  <si>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</si>
  <si>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</si>
  <si>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</si>
  <si>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</si>
  <si>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</si>
  <si>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</si>
  <si>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</si>
  <si>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</si>
  <si>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</si>
  <si>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</si>
  <si>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</si>
  <si>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</si>
  <si>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</si>
  <si>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</si>
  <si>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</si>
  <si>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</si>
  <si>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</si>
  <si>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</si>
  <si>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</si>
  <si>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</si>
  <si>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</si>
  <si>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</si>
  <si>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</si>
  <si>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</si>
  <si>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</si>
  <si>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</si>
  <si>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</si>
  <si>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</si>
  <si>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</si>
  <si>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</si>
  <si>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</si>
  <si>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</si>
  <si>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</si>
  <si>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</si>
  <si>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</si>
  <si>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</si>
  <si>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</si>
  <si>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</si>
  <si>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</si>
  <si>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</si>
  <si>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</si>
  <si>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</si>
  <si>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</si>
  <si>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</si>
  <si>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</si>
  <si>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</si>
  <si>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</si>
  <si>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</si>
  <si>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</si>
  <si>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</si>
  <si>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</si>
  <si>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</si>
  <si>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</si>
  <si>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</si>
  <si>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</si>
  <si>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</si>
  <si>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</si>
  <si>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</si>
  <si>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</si>
  <si>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</si>
  <si>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</si>
  <si>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</si>
  <si>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</si>
  <si>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</si>
  <si>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</si>
  <si>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</si>
  <si>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</si>
  <si>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</si>
  <si>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</si>
  <si>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</si>
  <si>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</si>
  <si>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</si>
  <si>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</si>
  <si>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</si>
  <si>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</si>
  <si>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</si>
  <si>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</si>
  <si>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</si>
  <si>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</si>
  <si>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</si>
  <si>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</si>
  <si>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</si>
  <si>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</si>
  <si>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</si>
  <si>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</si>
  <si>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</si>
  <si>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</si>
  <si>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</si>
  <si>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</si>
  <si>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</si>
  <si>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</si>
  <si>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</si>
  <si>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</si>
  <si>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</si>
  <si>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</si>
  <si>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</si>
  <si>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</si>
  <si>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</si>
  <si>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</si>
  <si>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</si>
  <si>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</si>
  <si>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</si>
  <si>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</si>
  <si>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</si>
  <si>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</si>
  <si>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</si>
  <si>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</si>
  <si>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</si>
  <si>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</si>
  <si>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</si>
  <si>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</si>
  <si>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</si>
  <si>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</si>
  <si>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</si>
  <si>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</si>
  <si>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</si>
  <si>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</si>
  <si>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</si>
  <si>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</si>
  <si>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</si>
  <si>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</si>
  <si>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</si>
  <si>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</si>
  <si>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</si>
  <si>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</si>
  <si>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</si>
  <si>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</si>
  <si>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</si>
  <si>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</si>
  <si>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</si>
  <si>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</si>
  <si>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</si>
  <si>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</si>
  <si>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</si>
  <si>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</si>
  <si>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</si>
  <si>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</si>
  <si>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</si>
  <si>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</si>
  <si>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</si>
  <si>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</si>
  <si>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</si>
  <si>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</si>
  <si>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</si>
  <si>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</si>
  <si>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</si>
  <si>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</si>
  <si>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</si>
  <si>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</si>
  <si>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</si>
  <si>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</si>
  <si>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</si>
  <si>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</si>
  <si>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</si>
  <si>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</si>
  <si>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</si>
  <si>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</si>
  <si>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</si>
  <si>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</si>
  <si>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</si>
  <si>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</si>
  <si>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</si>
  <si>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</si>
  <si>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</si>
  <si>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</si>
  <si>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</si>
  <si>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</si>
  <si>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</si>
  <si>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</si>
  <si>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</si>
  <si>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</si>
  <si>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</si>
  <si>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</si>
  <si>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</si>
  <si>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</si>
  <si>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</si>
  <si>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</si>
  <si>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</si>
  <si>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</si>
  <si>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</si>
  <si>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</si>
  <si>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</si>
  <si>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</si>
  <si>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</si>
  <si>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</si>
  <si>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</si>
  <si>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</si>
  <si>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</si>
  <si>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</si>
  <si>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</si>
  <si>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</si>
  <si>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</si>
  <si>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</si>
  <si>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</si>
  <si>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</si>
  <si>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</si>
  <si>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</si>
  <si>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</si>
  <si>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</si>
  <si>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</si>
  <si>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</si>
  <si>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</si>
  <si>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</si>
  <si>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</si>
  <si>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</si>
  <si>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</si>
  <si>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</si>
  <si>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</si>
  <si>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</si>
  <si>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</si>
  <si>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</si>
  <si>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</si>
  <si>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</si>
  <si>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</si>
  <si>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</si>
  <si>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</si>
  <si>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</si>
  <si>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</si>
  <si>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</si>
  <si>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</si>
  <si>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</si>
  <si>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</si>
  <si>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</si>
  <si>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</si>
  <si>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</si>
  <si>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</si>
  <si>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</si>
  <si>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</si>
  <si>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</si>
  <si>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</si>
  <si>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</si>
  <si>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</si>
  <si>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</si>
  <si>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</si>
  <si>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</si>
  <si>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</si>
  <si>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</si>
  <si>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</si>
  <si>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</si>
  <si>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</si>
  <si>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</si>
  <si>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</si>
  <si>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</si>
  <si>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</si>
  <si>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</si>
  <si>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</si>
  <si>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</si>
  <si>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</si>
  <si>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</si>
  <si>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</si>
  <si>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</si>
  <si>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</si>
  <si>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</si>
  <si>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</si>
  <si>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</si>
  <si>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</si>
  <si>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</si>
  <si>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</si>
  <si>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</si>
  <si>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</si>
  <si>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</si>
  <si>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</si>
  <si>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</si>
  <si>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</si>
  <si>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</si>
  <si>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</si>
  <si>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</si>
  <si>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</si>
  <si>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</si>
  <si>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</si>
  <si>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</si>
  <si>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</si>
  <si>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</si>
  <si>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</si>
  <si>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</si>
  <si>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</si>
  <si>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</si>
  <si>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</si>
  <si>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</si>
  <si>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</si>
  <si>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</si>
  <si>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</si>
  <si>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</si>
  <si>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</si>
  <si>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</si>
  <si>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</si>
  <si>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</si>
  <si>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</si>
  <si>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</si>
  <si>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</si>
  <si>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</si>
  <si>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</si>
  <si>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</si>
  <si>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</si>
  <si>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</si>
  <si>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</si>
  <si>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</si>
  <si>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</si>
  <si>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</si>
  <si>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</si>
  <si>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</si>
  <si>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</si>
  <si>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</si>
  <si>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</si>
  <si>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</si>
  <si>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</si>
  <si>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</si>
  <si>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</si>
  <si>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</si>
  <si>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</si>
  <si>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</si>
  <si>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</si>
  <si>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</si>
  <si>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</si>
  <si>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</si>
  <si>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</si>
  <si>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</si>
  <si>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</si>
  <si>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</si>
  <si>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</si>
  <si>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</si>
  <si>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</si>
  <si>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</si>
  <si>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</si>
  <si>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</si>
  <si>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</si>
  <si>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</si>
  <si>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</si>
  <si>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</si>
  <si>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</si>
  <si>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</si>
  <si>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</si>
  <si>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</si>
  <si>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</si>
  <si>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</si>
  <si>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</si>
  <si>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</si>
  <si>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</si>
  <si>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</si>
  <si>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</si>
  <si>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</si>
  <si>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</si>
  <si>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</si>
  <si>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</si>
  <si>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</si>
  <si>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</si>
  <si>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</si>
  <si>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</si>
  <si>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</si>
  <si>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</si>
  <si>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</si>
  <si>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</si>
  <si>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</si>
  <si>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</si>
  <si>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</si>
  <si>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</si>
  <si>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</si>
  <si>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</si>
  <si>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</si>
  <si>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</si>
  <si>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</si>
  <si>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</si>
  <si>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</si>
  <si>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</si>
  <si>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</si>
  <si>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</si>
  <si>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</si>
  <si>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</si>
  <si>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</si>
  <si>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</si>
  <si>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</si>
  <si>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</si>
  <si>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</si>
  <si>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</si>
  <si>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</si>
  <si>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</si>
  <si>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</si>
  <si>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</si>
  <si>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</si>
  <si>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</si>
  <si>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</si>
  <si>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</si>
  <si>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</si>
  <si>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</si>
  <si>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</si>
  <si>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</si>
  <si>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</si>
  <si>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</si>
  <si>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</si>
  <si>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</si>
  <si>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</si>
  <si>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</si>
  <si>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</si>
  <si>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</si>
  <si>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</si>
  <si>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</si>
  <si>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</si>
  <si>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</si>
  <si>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</si>
  <si>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</si>
  <si>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</si>
  <si>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</si>
  <si>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</si>
  <si>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</si>
  <si>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</si>
  <si>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</si>
  <si>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</si>
  <si>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</si>
  <si>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</si>
  <si>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</si>
  <si>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</si>
  <si>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</si>
  <si>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</si>
  <si>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</si>
  <si>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</si>
  <si>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</si>
  <si>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</si>
  <si>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</si>
  <si>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</si>
  <si>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</si>
  <si>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</si>
  <si>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</si>
  <si>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</si>
  <si>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</si>
  <si>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</si>
  <si>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</si>
  <si>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</si>
  <si>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</si>
  <si>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</si>
  <si>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</si>
  <si>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</si>
  <si>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</si>
  <si>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</si>
  <si>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</si>
  <si>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</si>
  <si>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</si>
  <si>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</si>
  <si>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</si>
  <si>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</si>
  <si>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</si>
  <si>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</si>
  <si>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</si>
  <si>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</si>
  <si>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</si>
  <si>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</si>
  <si>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</si>
  <si>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</si>
  <si>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</si>
  <si>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</si>
  <si>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</si>
  <si>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</si>
  <si>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</si>
  <si>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</si>
  <si>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</si>
  <si>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</si>
  <si>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</si>
  <si>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</si>
  <si>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</si>
  <si>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</si>
  <si>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</si>
  <si>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</si>
  <si>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</si>
  <si>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</si>
  <si>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</si>
  <si>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</si>
  <si>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</si>
  <si>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</si>
  <si>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</si>
  <si>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</si>
  <si>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</si>
  <si>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</si>
  <si>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</si>
  <si>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</si>
  <si>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</si>
  <si>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</si>
  <si>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</si>
  <si>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</si>
  <si>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</si>
  <si>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</si>
  <si>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</si>
  <si>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</si>
  <si>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</si>
  <si>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</si>
  <si>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</si>
  <si>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</si>
  <si>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</si>
  <si>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</si>
  <si>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</si>
  <si>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</si>
  <si>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</si>
  <si>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</si>
  <si>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</si>
  <si>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</si>
  <si>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</si>
  <si>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</si>
  <si>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</si>
  <si>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</si>
  <si>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</si>
  <si>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</si>
  <si>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</si>
  <si>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</si>
  <si>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</si>
  <si>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</si>
  <si>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</si>
  <si>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</si>
  <si>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</si>
  <si>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</si>
  <si>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</si>
  <si>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</si>
  <si>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</si>
  <si>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</si>
  <si>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</si>
  <si>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</si>
  <si>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</si>
  <si>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</si>
  <si>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</si>
  <si>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</si>
  <si>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</si>
  <si>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</si>
  <si>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</si>
  <si>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</si>
  <si>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</si>
  <si>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</si>
  <si>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</si>
  <si>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</si>
  <si>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</si>
  <si>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</si>
  <si>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</si>
  <si>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</si>
  <si>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</si>
  <si>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</si>
  <si>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</si>
  <si>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</si>
  <si>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</si>
  <si>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</si>
  <si>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</si>
  <si>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</si>
  <si>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</si>
  <si>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</si>
  <si>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</si>
  <si>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</si>
  <si>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</si>
  <si>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</si>
  <si>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</si>
  <si>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</si>
  <si>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</si>
  <si>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</si>
  <si>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</si>
  <si>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</si>
  <si>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</si>
  <si>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</si>
  <si>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</si>
  <si>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</si>
  <si>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</si>
  <si>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</si>
  <si>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</si>
  <si>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</si>
  <si>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</si>
  <si>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</si>
  <si>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</si>
  <si>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</si>
  <si>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</si>
  <si>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</si>
  <si>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</si>
  <si>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</si>
  <si>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</si>
  <si>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</si>
  <si>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</si>
  <si>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</si>
  <si>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</si>
  <si>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</si>
  <si>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</si>
  <si>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</si>
  <si>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</si>
  <si>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</si>
  <si>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</si>
  <si>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</si>
  <si>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</si>
  <si>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</si>
  <si>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</si>
  <si>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</si>
  <si>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</si>
  <si>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</si>
  <si>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</si>
  <si>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</si>
  <si>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</si>
  <si>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</si>
  <si>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</si>
  <si>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</si>
  <si>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</si>
  <si>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</si>
  <si>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</si>
  <si>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</si>
  <si>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</si>
  <si>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</si>
  <si>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</si>
  <si>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</si>
  <si>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</si>
  <si>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</si>
  <si>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</si>
  <si>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</si>
  <si>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</si>
  <si>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</si>
  <si>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</si>
  <si>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</si>
  <si>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</si>
  <si>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</si>
  <si>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</si>
  <si>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</si>
  <si>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</si>
  <si>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</si>
  <si>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</si>
  <si>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</si>
  <si>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</si>
  <si>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</si>
  <si>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</si>
  <si>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</si>
  <si>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</si>
  <si>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</si>
  <si>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</si>
  <si>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</si>
  <si>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</si>
  <si>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</si>
  <si>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</si>
  <si>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</si>
  <si>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</si>
  <si>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</si>
  <si>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</si>
  <si>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</si>
  <si>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</si>
  <si>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</si>
  <si>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</si>
  <si>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</si>
  <si>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</si>
  <si>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</si>
  <si>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</si>
  <si>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</si>
  <si>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</si>
  <si>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</si>
  <si>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</si>
  <si>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</si>
  <si>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</si>
  <si>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</si>
  <si>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</si>
  <si>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</si>
  <si>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</si>
  <si>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</si>
  <si>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</si>
  <si>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</si>
  <si>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</si>
  <si>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</si>
  <si>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</si>
  <si>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</si>
  <si>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</si>
  <si>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</si>
  <si>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</si>
  <si>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</si>
  <si>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</si>
  <si>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</si>
  <si>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</si>
  <si>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</si>
  <si>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</si>
  <si>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</si>
  <si>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</si>
  <si>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</si>
  <si>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</si>
  <si>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</si>
  <si>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</si>
  <si>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</si>
  <si>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</si>
  <si>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</si>
  <si>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</si>
  <si>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</si>
  <si>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</si>
  <si>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</si>
  <si>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</si>
  <si>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</si>
  <si>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</si>
  <si>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</si>
  <si>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</si>
  <si>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</si>
  <si>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</si>
  <si>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</si>
  <si>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</si>
  <si>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</si>
  <si>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</si>
  <si>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</si>
  <si>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</si>
  <si>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</si>
  <si>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</si>
  <si>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</si>
  <si>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</si>
  <si>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</si>
  <si>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</si>
  <si>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</si>
  <si>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</si>
  <si>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</si>
  <si>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</si>
  <si>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</si>
  <si>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</si>
  <si>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</si>
  <si>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</si>
  <si>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</si>
  <si>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</si>
  <si>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</si>
  <si>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</si>
  <si>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</si>
  <si>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</si>
  <si>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</si>
  <si>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</si>
  <si>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</si>
  <si>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</si>
  <si>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</si>
  <si>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</si>
  <si>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</si>
  <si>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</si>
  <si>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</si>
  <si>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</si>
  <si>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</si>
  <si>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</si>
  <si>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</si>
  <si>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</si>
  <si>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</si>
  <si>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</si>
  <si>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</si>
  <si>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</si>
  <si>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</si>
  <si>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</si>
  <si>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</si>
  <si>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</si>
  <si>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</si>
  <si>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</si>
  <si>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</si>
  <si>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</si>
  <si>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</si>
  <si>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</si>
  <si>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</si>
  <si>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</si>
  <si>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</si>
  <si>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</si>
  <si>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</si>
  <si>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</si>
  <si>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</si>
  <si>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</si>
  <si>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</si>
  <si>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</si>
  <si>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</si>
  <si>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</si>
  <si>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</si>
  <si>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</si>
  <si>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</si>
  <si>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</si>
  <si>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</si>
  <si>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</si>
  <si>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</si>
  <si>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</si>
  <si>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</si>
  <si>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</si>
  <si>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</si>
  <si>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</si>
  <si>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</si>
  <si>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</si>
  <si>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</si>
  <si>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</si>
  <si>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</si>
  <si>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</si>
  <si>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</si>
  <si>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</si>
  <si>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</si>
  <si>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</si>
  <si>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</si>
  <si>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</si>
  <si>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</si>
  <si>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</si>
  <si>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</si>
  <si>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</si>
  <si>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</si>
  <si>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</si>
  <si>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</si>
  <si>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</si>
  <si>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</si>
  <si>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</si>
  <si>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</si>
  <si>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</si>
  <si>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</si>
  <si>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</si>
  <si>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</si>
  <si>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</si>
  <si>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</si>
  <si>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</si>
  <si>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</si>
  <si>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</si>
  <si>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</si>
  <si>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</si>
  <si>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</si>
  <si>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</si>
  <si>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</si>
  <si>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</si>
  <si>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</si>
  <si>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</si>
  <si>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</si>
  <si>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</si>
  <si>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</si>
  <si>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</si>
  <si>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</si>
  <si>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</si>
  <si>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</si>
  <si>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</si>
  <si>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</si>
  <si>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</si>
  <si>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</si>
  <si>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</si>
  <si>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</si>
  <si>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</si>
  <si>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</si>
  <si>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</si>
  <si>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</si>
  <si>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</si>
  <si>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</si>
  <si>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</si>
  <si>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</si>
  <si>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</si>
  <si>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</si>
  <si>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</si>
  <si>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</si>
  <si>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</si>
  <si>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</si>
  <si>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</si>
  <si>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</si>
  <si>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</si>
  <si>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</si>
  <si>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</si>
  <si>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</si>
  <si>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</si>
  <si>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</si>
  <si>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</si>
  <si>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</si>
  <si>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</si>
  <si>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</si>
  <si>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</si>
  <si>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</si>
  <si>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</si>
  <si>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</si>
  <si>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</si>
  <si>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</si>
  <si>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</si>
  <si>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</si>
  <si>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</si>
  <si>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</si>
  <si>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</si>
  <si>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</si>
  <si>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</si>
  <si>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</si>
  <si>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</si>
  <si>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</si>
  <si>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</si>
  <si>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</si>
  <si>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</si>
  <si>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</si>
  <si>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</si>
  <si>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</si>
  <si>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</si>
  <si>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</si>
  <si>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</si>
  <si>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</si>
  <si>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</si>
  <si>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</si>
  <si>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</si>
  <si>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</si>
  <si>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</si>
  <si>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</si>
  <si>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</si>
  <si>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</si>
  <si>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</si>
  <si>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</si>
  <si>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</si>
  <si>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</si>
  <si>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</si>
  <si>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</si>
  <si>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</si>
  <si>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</si>
  <si>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</si>
  <si>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</si>
  <si>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</si>
  <si>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</si>
  <si>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</si>
  <si>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</si>
  <si>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</si>
  <si>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</si>
  <si>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</si>
  <si>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</si>
  <si>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</si>
  <si>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</si>
  <si>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</si>
  <si>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</si>
  <si>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</si>
  <si>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</si>
  <si>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</si>
  <si>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</si>
  <si>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</si>
  <si>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</si>
  <si>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</si>
  <si>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</si>
  <si>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</si>
  <si>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</si>
  <si>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</si>
  <si>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</si>
  <si>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</si>
  <si>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</si>
  <si>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</si>
  <si>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</si>
  <si>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</si>
  <si>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</si>
  <si>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</si>
  <si>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</si>
  <si>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</si>
  <si>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</si>
  <si>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</si>
  <si>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</si>
  <si>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</si>
  <si>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</si>
  <si>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</si>
  <si>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</si>
  <si>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</si>
  <si>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</si>
  <si>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</si>
  <si>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</si>
  <si>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</si>
  <si>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</si>
  <si>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</si>
  <si>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</si>
  <si>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</si>
  <si>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</si>
  <si>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</si>
  <si>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</si>
  <si>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</si>
  <si>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</si>
  <si>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</si>
  <si>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</si>
  <si>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</si>
  <si>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</si>
  <si>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</si>
  <si>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</si>
  <si>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</si>
  <si>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</si>
  <si>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</si>
  <si>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</si>
  <si>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</si>
  <si>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</si>
  <si>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</si>
  <si>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</si>
  <si>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</si>
  <si>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</si>
  <si>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</si>
  <si>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</si>
  <si>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</si>
  <si>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</si>
  <si>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</si>
  <si>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</si>
  <si>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</si>
  <si>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</si>
  <si>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</si>
  <si>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</si>
  <si>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</si>
  <si>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</si>
  <si>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</si>
  <si>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</si>
  <si>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</si>
  <si>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</si>
  <si>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</si>
  <si>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</si>
  <si>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</si>
  <si>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</si>
  <si>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</si>
  <si>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</si>
  <si>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</si>
  <si>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</si>
  <si>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</si>
  <si>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</si>
  <si>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</si>
  <si>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</si>
  <si>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</si>
  <si>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</si>
  <si>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</si>
  <si>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</si>
  <si>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</si>
  <si>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</si>
  <si>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</si>
  <si>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</si>
  <si>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</si>
  <si>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</si>
  <si>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</si>
  <si>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</si>
  <si>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</si>
  <si>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</si>
  <si>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</si>
  <si>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</si>
  <si>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</si>
  <si>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</si>
  <si>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</si>
  <si>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</si>
  <si>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</si>
  <si>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</si>
  <si>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</si>
  <si>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</si>
  <si>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</si>
  <si>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</si>
  <si>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</si>
  <si>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</si>
  <si>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</si>
  <si>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</si>
  <si>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</si>
  <si>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</si>
  <si>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</si>
  <si>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</si>
  <si>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</si>
  <si>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</si>
  <si>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</si>
  <si>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</si>
  <si>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</si>
  <si>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</si>
  <si>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</si>
  <si>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</si>
  <si>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</si>
  <si>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</si>
  <si>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</si>
  <si>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</si>
  <si>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</si>
  <si>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</si>
  <si>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</si>
  <si>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</si>
  <si>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</si>
  <si>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</si>
  <si>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</si>
  <si>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</si>
  <si>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</si>
  <si>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</si>
  <si>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</si>
  <si>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</si>
  <si>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</si>
  <si>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</si>
  <si>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</si>
  <si>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</si>
  <si>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</si>
  <si>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</si>
  <si>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</si>
  <si>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</si>
  <si>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</si>
  <si>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</si>
  <si>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</si>
  <si>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</si>
  <si>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</si>
  <si>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</si>
  <si>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</si>
  <si>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</si>
  <si>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</si>
  <si>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</si>
  <si>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</si>
  <si>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</si>
  <si>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</si>
  <si>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</si>
  <si>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</si>
  <si>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</si>
  <si>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</si>
  <si>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</si>
  <si>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</si>
  <si>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</si>
  <si>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</si>
  <si>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</si>
  <si>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</si>
  <si>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</si>
  <si>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</si>
  <si>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</si>
  <si>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</si>
  <si>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</si>
  <si>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</si>
  <si>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</si>
  <si>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</si>
  <si>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</si>
  <si>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</si>
  <si>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</si>
  <si>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</si>
  <si>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</si>
  <si>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</si>
  <si>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</si>
  <si>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</si>
  <si>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</si>
  <si>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</si>
  <si>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</si>
  <si>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</si>
  <si>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</si>
  <si>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</si>
  <si>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</si>
  <si>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</si>
  <si>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</si>
  <si>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</si>
  <si>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</si>
  <si>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</si>
  <si>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</si>
  <si>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</si>
  <si>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</si>
  <si>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</si>
  <si>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</si>
  <si>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</si>
  <si>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</si>
  <si>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</si>
  <si>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</si>
  <si>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</si>
  <si>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</si>
  <si>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</si>
  <si>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</si>
  <si>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</si>
  <si>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</si>
  <si>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</si>
  <si>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</si>
  <si>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</si>
  <si>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</si>
  <si>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</si>
  <si>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</si>
  <si>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</si>
  <si>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</si>
  <si>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</si>
  <si>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</si>
  <si>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</si>
  <si>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</si>
  <si>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</si>
  <si>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</si>
  <si>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</si>
  <si>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</si>
  <si>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</si>
  <si>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</si>
  <si>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</si>
  <si>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</si>
  <si>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</si>
  <si>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</si>
  <si>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</si>
  <si>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</si>
  <si>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</si>
  <si>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</si>
  <si>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</si>
  <si>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</si>
  <si>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</si>
  <si>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</si>
  <si>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</si>
  <si>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</si>
  <si>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</si>
  <si>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</si>
  <si>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</si>
  <si>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</si>
  <si>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</si>
  <si>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</si>
  <si>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</si>
  <si>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</si>
  <si>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</si>
  <si>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</si>
  <si>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</si>
  <si>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</si>
  <si>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</si>
  <si>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</si>
  <si>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</si>
  <si>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</si>
  <si>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</si>
  <si>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</si>
  <si>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</si>
  <si>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</si>
  <si>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</si>
  <si>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</si>
  <si>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</si>
  <si>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</si>
  <si>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</si>
  <si>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</si>
  <si>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</si>
  <si>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</si>
  <si>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</si>
  <si>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</si>
  <si>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</si>
  <si>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</si>
  <si>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</si>
  <si>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</si>
  <si>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</si>
  <si>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</si>
  <si>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</si>
  <si>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</si>
  <si>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</si>
  <si>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</si>
  <si>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</si>
  <si>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</si>
  <si>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</si>
  <si>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</si>
  <si>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</si>
  <si>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</si>
  <si>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</si>
  <si>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</si>
  <si>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</si>
  <si>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</si>
  <si>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</si>
  <si>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</si>
  <si>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</si>
  <si>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</si>
  <si>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</si>
  <si>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</si>
  <si>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</si>
  <si>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</si>
  <si>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</si>
  <si>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</si>
  <si>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</si>
  <si>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</si>
  <si>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</si>
  <si>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</si>
  <si>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</si>
  <si>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</si>
  <si>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</si>
  <si>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</si>
  <si>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</si>
  <si>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</si>
  <si>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</si>
  <si>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</si>
  <si>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</si>
  <si>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</si>
  <si>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</si>
  <si>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</si>
  <si>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</si>
  <si>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</si>
  <si>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</si>
  <si>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</si>
  <si>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</si>
  <si>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</si>
  <si>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</si>
  <si>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</si>
  <si>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</si>
  <si>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</si>
  <si>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</si>
  <si>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</si>
  <si>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</si>
  <si>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</si>
  <si>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</si>
  <si>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</si>
  <si>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</si>
  <si>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</si>
  <si>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</si>
  <si>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</si>
  <si>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</si>
  <si>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</si>
  <si>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</si>
  <si>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</si>
  <si>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</si>
  <si>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</si>
  <si>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</si>
  <si>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</si>
  <si>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</si>
  <si>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</si>
  <si>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</si>
  <si>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</si>
  <si>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</si>
  <si>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</si>
  <si>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</si>
  <si>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</si>
  <si>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</si>
  <si>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</si>
  <si>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</si>
  <si>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</si>
  <si>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</si>
  <si>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</si>
  <si>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</si>
  <si>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</si>
  <si>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</si>
  <si>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</si>
  <si>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</si>
  <si>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</si>
  <si>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</si>
  <si>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</si>
  <si>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</si>
  <si>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</si>
  <si>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</si>
  <si>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</si>
  <si>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</si>
  <si>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</si>
  <si>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</si>
  <si>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</si>
  <si>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</si>
  <si>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</si>
  <si>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</si>
  <si>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</si>
  <si>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</si>
  <si>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</si>
  <si>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</si>
  <si>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</si>
  <si>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</si>
  <si>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</si>
  <si>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</si>
  <si>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</si>
  <si>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</si>
  <si>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</si>
  <si>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</si>
  <si>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</si>
  <si>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</si>
  <si>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</si>
  <si>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</si>
  <si>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</si>
  <si>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</si>
  <si>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</si>
  <si>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</si>
  <si>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</si>
  <si>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</si>
  <si>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</si>
  <si>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</si>
  <si>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</si>
  <si>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</si>
  <si>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</si>
  <si>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</si>
  <si>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</si>
  <si>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</si>
  <si>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</si>
  <si>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</si>
  <si>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</si>
  <si>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</si>
  <si>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</si>
  <si>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</si>
  <si>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</si>
  <si>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</si>
  <si>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</si>
  <si>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</si>
  <si>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</si>
  <si>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</si>
  <si>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</si>
  <si>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</si>
  <si>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</si>
  <si>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</si>
  <si>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</si>
  <si>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</si>
  <si>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</si>
  <si>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</si>
  <si>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</si>
  <si>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</si>
  <si>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</si>
  <si>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</si>
  <si>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</si>
  <si>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</si>
  <si>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</si>
  <si>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</si>
  <si>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</si>
  <si>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</si>
  <si>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</si>
  <si>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</si>
  <si>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</si>
  <si>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</si>
  <si>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</si>
  <si>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</si>
  <si>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</si>
  <si>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</si>
  <si>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</si>
  <si>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</si>
  <si>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</si>
  <si>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</si>
  <si>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</si>
  <si>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</si>
  <si>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</si>
  <si>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</si>
  <si>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</si>
  <si>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</si>
  <si>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</si>
  <si>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</si>
  <si>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</si>
  <si>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</si>
  <si>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</si>
  <si>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</si>
  <si>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</si>
  <si>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</si>
  <si>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</si>
  <si>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</si>
  <si>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</si>
  <si>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</si>
  <si>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</si>
  <si>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</si>
  <si>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</si>
  <si>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</si>
  <si>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</si>
  <si>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</si>
  <si>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</si>
  <si>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</si>
  <si>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</si>
  <si>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</si>
  <si>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</si>
  <si>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</si>
  <si>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</si>
  <si>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</si>
  <si>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</si>
  <si>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</si>
  <si>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</si>
  <si>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</si>
  <si>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</si>
  <si>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</si>
  <si>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</si>
  <si>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</si>
  <si>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</si>
  <si>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</si>
  <si>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</si>
  <si>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</si>
  <si>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</si>
  <si>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</si>
  <si>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</si>
  <si>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</si>
  <si>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</si>
  <si>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</si>
  <si>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</si>
  <si>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</si>
  <si>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</si>
  <si>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</si>
  <si>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</si>
  <si>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</si>
  <si>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</si>
  <si>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</si>
  <si>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</si>
  <si>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</si>
  <si>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</si>
  <si>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</si>
  <si>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</si>
  <si>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</si>
  <si>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</si>
  <si>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</si>
  <si>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</si>
  <si>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</si>
  <si>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</si>
  <si>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</si>
  <si>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</si>
  <si>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</si>
  <si>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</si>
  <si>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</si>
  <si>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</si>
  <si>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</si>
  <si>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</si>
  <si>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</si>
  <si>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</si>
  <si>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</si>
  <si>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</si>
  <si>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</si>
  <si>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</si>
  <si>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</si>
  <si>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</si>
  <si>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</si>
  <si>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</si>
  <si>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</si>
  <si>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</si>
  <si>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</si>
  <si>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</si>
  <si>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</si>
  <si>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</si>
  <si>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</si>
  <si>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</si>
  <si>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</si>
  <si>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</si>
  <si>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</si>
  <si>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</si>
  <si>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</si>
  <si>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</si>
  <si>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</si>
  <si>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</si>
  <si>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</si>
  <si>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</si>
  <si>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</si>
  <si>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</si>
  <si>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</si>
  <si>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</si>
  <si>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</si>
  <si>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</si>
  <si>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</si>
  <si>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</si>
  <si>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</si>
  <si>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</si>
  <si>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</si>
  <si>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</si>
  <si>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</si>
  <si>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</si>
  <si>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</si>
  <si>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</si>
  <si>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</si>
  <si>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</si>
  <si>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</si>
  <si>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</si>
  <si>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</si>
  <si>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</si>
  <si>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</si>
  <si>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</si>
  <si>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</si>
  <si>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</si>
  <si>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</si>
  <si>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</si>
  <si>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</si>
  <si>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</si>
  <si>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</si>
  <si>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</si>
  <si>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</si>
  <si>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</si>
  <si>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</si>
  <si>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</si>
  <si>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</si>
  <si>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</si>
  <si>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</si>
  <si>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</si>
  <si>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</si>
  <si>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</si>
  <si>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</si>
  <si>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</si>
  <si>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</si>
  <si>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</si>
  <si>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</si>
  <si>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</si>
  <si>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</si>
  <si>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</si>
  <si>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</si>
  <si>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</si>
  <si>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</si>
  <si>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</si>
  <si>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</si>
  <si>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</si>
  <si>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</si>
  <si>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</si>
  <si>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</si>
  <si>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</si>
  <si>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</si>
  <si>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</si>
  <si>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</si>
  <si>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</si>
  <si>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</si>
  <si>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</si>
  <si>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</si>
  <si>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</si>
  <si>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</si>
  <si>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</si>
  <si>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</si>
  <si>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</si>
  <si>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</si>
  <si>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</si>
  <si>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</si>
  <si>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</si>
  <si>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</si>
  <si>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</si>
  <si>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</si>
  <si>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</si>
  <si>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</si>
  <si>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</si>
  <si>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</si>
  <si>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</si>
  <si>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</si>
  <si>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</si>
  <si>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</si>
  <si>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</si>
  <si>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</si>
  <si>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</si>
  <si>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</si>
  <si>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</si>
  <si>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</si>
  <si>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</si>
  <si>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</si>
  <si>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</si>
  <si>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</si>
  <si>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</si>
  <si>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</si>
  <si>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</si>
  <si>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</si>
  <si>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</si>
  <si>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</si>
  <si>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</si>
  <si>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</si>
  <si>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</si>
  <si>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</si>
  <si>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</si>
  <si>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</si>
  <si>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</si>
  <si>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</si>
  <si>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</si>
  <si>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</si>
  <si>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</si>
  <si>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</si>
  <si>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</si>
  <si>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</si>
  <si>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</si>
  <si>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</si>
  <si>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</si>
  <si>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</si>
  <si>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</si>
  <si>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</si>
  <si>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</si>
  <si>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</si>
  <si>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</si>
  <si>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</si>
  <si>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</si>
  <si>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</si>
  <si>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</si>
  <si>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</si>
  <si>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</si>
  <si>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</si>
  <si>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</si>
  <si>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</si>
  <si>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</si>
  <si>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</si>
  <si>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</si>
  <si>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</si>
  <si>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</si>
  <si>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</si>
  <si>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</si>
  <si>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</si>
  <si>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</si>
  <si>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</si>
  <si>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</si>
  <si>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</si>
  <si>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</si>
  <si>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</si>
  <si>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</si>
  <si>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</si>
  <si>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</si>
  <si>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</si>
  <si>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</si>
  <si>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</si>
  <si>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</si>
  <si>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</si>
  <si>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</si>
  <si>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</si>
  <si>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</si>
  <si>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</si>
  <si>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</si>
  <si>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</si>
  <si>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</si>
  <si>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</si>
  <si>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</si>
  <si>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</si>
  <si>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</si>
  <si>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</si>
  <si>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</si>
  <si>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</si>
  <si>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</si>
  <si>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</si>
  <si>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</si>
  <si>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</si>
  <si>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</si>
  <si>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</si>
  <si>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</si>
  <si>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</si>
  <si>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</si>
  <si>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</si>
  <si>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</si>
  <si>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</si>
  <si>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</si>
  <si>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</si>
  <si>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</si>
  <si>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</si>
  <si>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</si>
  <si>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</si>
  <si>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</si>
  <si>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</si>
  <si>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</si>
  <si>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</si>
  <si>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</si>
  <si>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</si>
  <si>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</si>
  <si>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</si>
  <si>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</si>
  <si>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</si>
  <si>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</si>
  <si>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</si>
  <si>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</si>
  <si>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</si>
  <si>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</si>
  <si>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</si>
  <si>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</si>
  <si>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</si>
  <si>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</si>
  <si>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</si>
  <si>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</si>
  <si>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</si>
  <si>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</si>
  <si>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</si>
  <si>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</si>
  <si>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</si>
  <si>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</si>
  <si>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</si>
  <si>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</si>
  <si>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</si>
  <si>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</si>
  <si>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</si>
  <si>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</si>
  <si>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</si>
  <si>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</si>
  <si>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</si>
  <si>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</si>
  <si>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</si>
  <si>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</si>
  <si>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</si>
  <si>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</si>
  <si>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</si>
  <si>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</si>
  <si>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</si>
  <si>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</si>
  <si>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</si>
  <si>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</si>
  <si>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</si>
  <si>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</si>
  <si>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</si>
  <si>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</si>
  <si>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</si>
  <si>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</si>
  <si>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</si>
  <si>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</si>
  <si>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</si>
  <si>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</si>
  <si>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</si>
  <si>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</si>
  <si>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</si>
  <si>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</si>
  <si>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</si>
  <si>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</si>
  <si>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</si>
  <si>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</si>
  <si>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</si>
  <si>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</si>
  <si>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</si>
  <si>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</si>
  <si>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</si>
  <si>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</si>
  <si>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</si>
  <si>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</si>
  <si>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</si>
  <si>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</si>
  <si>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</si>
  <si>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</si>
  <si>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</si>
  <si>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</si>
  <si>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</si>
  <si>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</si>
  <si>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</si>
  <si>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</si>
  <si>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</si>
  <si>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</si>
  <si>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</si>
  <si>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</si>
  <si>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</si>
  <si>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</si>
  <si>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</si>
  <si>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</si>
  <si>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</si>
  <si>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</si>
  <si>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</si>
  <si>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</si>
  <si>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</si>
  <si>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</si>
  <si>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</si>
  <si>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</si>
  <si>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</si>
  <si>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</si>
  <si>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</si>
  <si>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</si>
  <si>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</si>
  <si>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</si>
  <si>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</si>
  <si>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</si>
  <si>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</si>
  <si>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</si>
  <si>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</si>
  <si>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</si>
  <si>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</si>
  <si>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</si>
  <si>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</si>
  <si>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</si>
  <si>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</si>
  <si>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</si>
  <si>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</si>
  <si>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</si>
  <si>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</si>
  <si>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</si>
  <si>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</si>
  <si>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</si>
  <si>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</si>
  <si>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</si>
  <si>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</si>
  <si>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</si>
  <si>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</si>
  <si>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</si>
  <si>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</si>
  <si>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</si>
  <si>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</si>
  <si>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</si>
  <si>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</si>
  <si>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</si>
  <si>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</si>
  <si>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</si>
  <si>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</si>
  <si>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</si>
  <si>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</si>
  <si>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</si>
  <si>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</si>
  <si>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</si>
  <si>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</si>
  <si>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</si>
  <si>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</si>
  <si>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</si>
  <si>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</si>
  <si>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</si>
  <si>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</si>
  <si>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</si>
  <si>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</si>
  <si>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</si>
  <si>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</si>
  <si>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</si>
  <si>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</si>
  <si>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</si>
  <si>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</si>
  <si>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</si>
  <si>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</si>
  <si>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</si>
  <si>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</si>
  <si>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</si>
  <si>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</si>
  <si>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</si>
  <si>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</si>
  <si>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</si>
  <si>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</si>
  <si>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</si>
  <si>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</si>
  <si>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</si>
  <si>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</si>
  <si>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</si>
  <si>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</si>
  <si>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</si>
  <si>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</si>
  <si>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</si>
  <si>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</si>
  <si>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</si>
  <si>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</si>
  <si>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</si>
  <si>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</si>
  <si>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</si>
  <si>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</si>
  <si>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</si>
  <si>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</si>
  <si>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</si>
  <si>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</si>
  <si>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</si>
  <si>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</si>
  <si>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</si>
  <si>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</si>
  <si>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</si>
  <si>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</si>
  <si>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</si>
  <si>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</si>
  <si>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</si>
  <si>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</si>
  <si>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</si>
  <si>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</si>
  <si>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</si>
  <si>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</si>
  <si>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</si>
  <si>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</si>
  <si>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</si>
  <si>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</si>
  <si>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</si>
  <si>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</si>
  <si>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</si>
  <si>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</si>
  <si>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</si>
  <si>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</si>
  <si>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</si>
  <si>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</si>
  <si>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</si>
  <si>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</si>
  <si>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</si>
  <si>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</si>
  <si>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</si>
  <si>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</si>
  <si>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</si>
  <si>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</si>
  <si>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</si>
  <si>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</si>
  <si>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</si>
  <si>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</si>
  <si>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</si>
  <si>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</si>
  <si>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</si>
  <si>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</si>
  <si>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</si>
  <si>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</si>
  <si>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</si>
  <si>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</si>
  <si>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</si>
  <si>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</si>
  <si>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</si>
  <si>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</si>
  <si>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</si>
  <si>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</si>
  <si>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</si>
  <si>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</si>
  <si>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</si>
  <si>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</si>
  <si>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</si>
  <si>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</si>
  <si>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</si>
  <si>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</si>
  <si>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</si>
  <si>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</si>
  <si>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</si>
  <si>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</si>
  <si>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</si>
  <si>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</si>
  <si>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</si>
  <si>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</si>
  <si>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</si>
  <si>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</si>
  <si>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</si>
  <si>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</si>
  <si>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</si>
  <si>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</si>
  <si>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</si>
  <si>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</si>
  <si>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</si>
  <si>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</si>
  <si>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</si>
  <si>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</si>
  <si>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</si>
  <si>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</si>
  <si>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</si>
  <si>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</si>
  <si>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</si>
  <si>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</si>
  <si>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</si>
  <si>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</si>
  <si>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</si>
  <si>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</si>
  <si>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</si>
  <si>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</si>
  <si>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</si>
  <si>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</si>
  <si>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</si>
  <si>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</si>
  <si>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</si>
  <si>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</si>
  <si>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</si>
  <si>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</si>
  <si>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</si>
  <si>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</si>
  <si>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</si>
  <si>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</si>
  <si>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</si>
  <si>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</si>
  <si>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</si>
  <si>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</si>
  <si>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</si>
  <si>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</si>
  <si>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</si>
  <si>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</si>
  <si>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</si>
  <si>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</si>
  <si>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</si>
  <si>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</si>
  <si>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</si>
  <si>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</si>
  <si>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</si>
  <si>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</si>
  <si>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</si>
  <si>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</si>
  <si>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</si>
  <si>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</si>
  <si>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</si>
  <si>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</si>
  <si>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</si>
  <si>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</si>
  <si>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</si>
  <si>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</si>
  <si>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</si>
  <si>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</si>
  <si>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</si>
  <si>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</si>
  <si>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</si>
  <si>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</si>
  <si>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</si>
  <si>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</si>
  <si>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</si>
  <si>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</si>
  <si>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</si>
  <si>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</si>
  <si>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</si>
  <si>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</si>
  <si>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</si>
  <si>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</si>
  <si>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</si>
  <si>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</si>
  <si>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</si>
  <si>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</si>
  <si>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</si>
  <si>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</si>
  <si>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</si>
  <si>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</si>
  <si>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</si>
  <si>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</si>
  <si>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</si>
  <si>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</si>
  <si>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</si>
  <si>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</si>
  <si>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</si>
  <si>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</si>
  <si>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</si>
  <si>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</si>
  <si>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</si>
  <si>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</si>
  <si>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</si>
  <si>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</si>
  <si>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</si>
  <si>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</si>
  <si>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</si>
  <si>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</si>
  <si>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</si>
  <si>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</si>
  <si>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</si>
  <si>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</si>
  <si>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</si>
  <si>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</si>
  <si>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</si>
  <si>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</si>
  <si>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</si>
  <si>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</si>
  <si>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</si>
  <si>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</si>
  <si>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</si>
  <si>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</si>
  <si>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</si>
  <si>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</si>
  <si>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</si>
  <si>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</si>
  <si>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</si>
  <si>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</si>
  <si>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</si>
  <si>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</si>
  <si>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</si>
  <si>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</si>
  <si>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</si>
  <si>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</si>
  <si>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</si>
  <si>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</si>
  <si>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</si>
  <si>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</si>
  <si>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</si>
  <si>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</si>
  <si>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</si>
  <si>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</si>
  <si>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</si>
  <si>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</si>
  <si>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</si>
  <si>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</si>
  <si>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</si>
  <si>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</si>
  <si>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</si>
  <si>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</si>
  <si>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</si>
  <si>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</si>
  <si>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</si>
  <si>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</si>
  <si>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</si>
  <si>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</si>
  <si>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</si>
  <si>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</si>
  <si>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</si>
  <si>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</si>
  <si>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</si>
  <si>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</si>
  <si>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</si>
  <si>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</si>
  <si>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</si>
  <si>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</si>
  <si>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</si>
  <si>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</si>
  <si>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</si>
  <si>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</si>
  <si>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</si>
  <si>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</si>
  <si>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</si>
  <si>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</si>
  <si>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</si>
  <si>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</si>
  <si>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</si>
  <si>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</si>
  <si>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</si>
  <si>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</si>
  <si>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</si>
  <si>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</si>
  <si>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</si>
  <si>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</si>
  <si>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</si>
  <si>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</si>
  <si>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</si>
  <si>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</si>
  <si>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</si>
  <si>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</si>
  <si>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</si>
  <si>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</si>
  <si>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</si>
  <si>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</si>
  <si>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</si>
  <si>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</si>
  <si>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</si>
  <si>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</si>
  <si>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</si>
  <si>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</si>
  <si>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</si>
  <si>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</si>
  <si>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</si>
  <si>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</si>
  <si>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</si>
  <si>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</si>
  <si>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</si>
  <si>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</si>
  <si>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</si>
  <si>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</si>
  <si>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</si>
  <si>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</si>
  <si>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</si>
  <si>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</si>
  <si>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</si>
  <si>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</si>
  <si>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</si>
  <si>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</si>
  <si>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</si>
  <si>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</si>
  <si>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</si>
  <si>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</si>
  <si>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</si>
  <si>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</si>
  <si>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</si>
  <si>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</si>
  <si>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</si>
  <si>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</si>
  <si>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</si>
  <si>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</si>
  <si>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</si>
  <si>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</si>
  <si>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</si>
  <si>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</si>
  <si>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</si>
  <si>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</si>
  <si>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</si>
  <si>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</si>
  <si>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</si>
  <si>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</si>
  <si>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</si>
  <si>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</si>
  <si>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</si>
  <si>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</si>
  <si>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</si>
  <si>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</si>
  <si>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</si>
  <si>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</si>
  <si>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</si>
  <si>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</si>
  <si>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</si>
  <si>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</si>
  <si>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</si>
  <si>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</si>
  <si>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</si>
  <si>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</si>
  <si>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</si>
  <si>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</si>
  <si>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</si>
  <si>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</si>
  <si>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</si>
  <si>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</si>
  <si>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</si>
  <si>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</si>
  <si>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</si>
  <si>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</si>
  <si>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</si>
  <si>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</si>
  <si>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</si>
  <si>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</si>
  <si>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</si>
  <si>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</si>
  <si>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</si>
  <si>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</si>
  <si>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</si>
  <si>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</si>
  <si>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</si>
  <si>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</si>
  <si>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</si>
  <si>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</si>
  <si>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</si>
  <si>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</si>
  <si>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</si>
  <si>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</si>
  <si>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</si>
  <si>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</si>
  <si>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</si>
  <si>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</si>
  <si>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</si>
  <si>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</si>
  <si>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</si>
  <si>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</si>
  <si>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</si>
  <si>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</si>
  <si>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</si>
  <si>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</si>
  <si>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</si>
  <si>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</si>
  <si>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</si>
  <si>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</si>
  <si>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</si>
  <si>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</si>
  <si>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</si>
  <si>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</si>
  <si>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</si>
  <si>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</si>
  <si>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</si>
  <si>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</si>
  <si>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</si>
  <si>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</si>
  <si>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</si>
  <si>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</si>
  <si>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</si>
  <si>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</si>
  <si>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</si>
  <si>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</si>
  <si>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</si>
  <si>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</si>
  <si>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</si>
  <si>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</si>
  <si>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</si>
  <si>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</si>
  <si>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</si>
  <si>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</si>
  <si>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</si>
  <si>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</si>
  <si>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</si>
  <si>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</si>
  <si>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</si>
  <si>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</si>
  <si>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</si>
  <si>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</si>
  <si>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</si>
  <si>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</si>
  <si>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</si>
  <si>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</si>
  <si>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</si>
  <si>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</si>
  <si>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</si>
  <si>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</si>
  <si>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</si>
  <si>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</si>
  <si>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</si>
  <si>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</si>
  <si>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</si>
  <si>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</si>
  <si>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</si>
  <si>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</si>
  <si>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</si>
  <si>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</si>
  <si>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</si>
  <si>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</si>
  <si>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</si>
  <si>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</si>
  <si>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</si>
  <si>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</si>
  <si>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</si>
  <si>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</si>
  <si>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</si>
  <si>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</si>
  <si>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</si>
  <si>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</si>
  <si>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</si>
  <si>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</si>
  <si>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</si>
  <si>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</si>
  <si>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</si>
  <si>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</si>
  <si>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</si>
  <si>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</si>
  <si>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</si>
  <si>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</si>
  <si>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</si>
  <si>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</si>
  <si>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</si>
  <si>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</si>
  <si>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</si>
  <si>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</si>
  <si>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</si>
  <si>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</si>
  <si>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</si>
  <si>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</si>
  <si>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</si>
  <si>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</si>
  <si>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</si>
  <si>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</si>
  <si>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</si>
  <si>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</si>
  <si>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</si>
  <si>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</si>
  <si>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</si>
  <si>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</si>
  <si>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</si>
  <si>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</si>
  <si>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</si>
  <si>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</si>
  <si>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</si>
  <si>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</si>
  <si>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</si>
  <si>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</si>
  <si>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</si>
  <si>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</si>
  <si>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</si>
  <si>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</si>
  <si>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</si>
  <si>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</si>
  <si>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</si>
  <si>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</si>
  <si>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</si>
  <si>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</si>
  <si>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</si>
  <si>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</si>
  <si>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</si>
  <si>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</si>
  <si>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</si>
  <si>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</si>
  <si>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</si>
  <si>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</si>
  <si>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</si>
  <si>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</si>
  <si>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</si>
  <si>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</si>
  <si>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</si>
  <si>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</si>
  <si>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</si>
  <si>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</si>
  <si>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</si>
  <si>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</si>
  <si>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</si>
  <si>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</si>
  <si>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</si>
  <si>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</si>
  <si>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</si>
  <si>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</si>
  <si>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</si>
  <si>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</si>
  <si>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</si>
  <si>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</si>
  <si>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</si>
  <si>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</si>
  <si>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</si>
  <si>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</si>
  <si>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</si>
  <si>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</si>
  <si>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</si>
  <si>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</si>
  <si>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</si>
  <si>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</si>
  <si>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</si>
  <si>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</si>
  <si>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</si>
  <si>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</si>
  <si>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</si>
  <si>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</si>
  <si>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</si>
  <si>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</si>
  <si>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</si>
  <si>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</si>
  <si>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</si>
  <si>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</si>
  <si>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</si>
  <si>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</si>
  <si>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</si>
  <si>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</si>
  <si>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</si>
  <si>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</si>
  <si>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</si>
  <si>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</si>
  <si>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</si>
  <si>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</si>
  <si>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</si>
  <si>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</si>
  <si>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</si>
  <si>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</si>
  <si>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</si>
  <si>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</si>
  <si>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</si>
  <si>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</si>
  <si>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</si>
  <si>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</si>
  <si>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</si>
  <si>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</si>
  <si>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</si>
  <si>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</si>
  <si>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</si>
  <si>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</si>
  <si>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</si>
  <si>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</si>
  <si>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</si>
  <si>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</si>
  <si>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</si>
  <si>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</si>
  <si>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</si>
  <si>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</si>
  <si>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</si>
  <si>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</si>
  <si>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</si>
  <si>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</si>
  <si>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</si>
  <si>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</si>
  <si>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</si>
  <si>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</si>
  <si>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</si>
  <si>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</si>
  <si>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</si>
  <si>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</si>
  <si>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</si>
  <si>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</si>
  <si>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</si>
  <si>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</si>
  <si>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</si>
  <si>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</si>
  <si>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</si>
  <si>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</si>
  <si>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</si>
  <si>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</si>
  <si>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</si>
  <si>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</si>
  <si>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</si>
  <si>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</si>
  <si>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</si>
  <si>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</si>
  <si>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</si>
  <si>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</si>
  <si>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</si>
  <si>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</si>
  <si>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</si>
  <si>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</si>
  <si>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</si>
  <si>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</si>
  <si>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</si>
  <si>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</si>
  <si>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</si>
  <si>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</si>
  <si>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</si>
  <si>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</si>
  <si>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</si>
  <si>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</si>
  <si>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</si>
  <si>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</si>
  <si>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</si>
  <si>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</si>
  <si>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</si>
  <si>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</si>
  <si>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</si>
  <si>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</si>
  <si>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</si>
  <si>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</si>
  <si>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</si>
  <si>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</si>
  <si>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</si>
  <si>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</si>
  <si>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</si>
  <si>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</si>
  <si>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</si>
  <si>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</si>
  <si>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</si>
  <si>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</si>
  <si>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</si>
  <si>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</si>
  <si>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</si>
  <si>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</si>
  <si>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</si>
  <si>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</si>
  <si>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</si>
  <si>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</si>
  <si>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</si>
  <si>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</si>
  <si>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</si>
  <si>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</si>
  <si>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</si>
  <si>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</si>
  <si>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</si>
  <si>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</si>
  <si>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</si>
  <si>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</si>
  <si>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</si>
  <si>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</si>
  <si>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</si>
  <si>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</si>
  <si>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</si>
  <si>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</si>
  <si>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</si>
  <si>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</si>
  <si>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</si>
  <si>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</si>
  <si>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</si>
  <si>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</si>
  <si>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</si>
  <si>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</si>
  <si>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</si>
  <si>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</si>
  <si>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</si>
  <si>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</si>
  <si>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</si>
  <si>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</si>
  <si>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</si>
  <si>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</si>
  <si>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</si>
  <si>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</si>
  <si>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</si>
  <si>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</si>
  <si>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</si>
  <si>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</si>
  <si>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</si>
  <si>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</si>
  <si>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</si>
  <si>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</si>
  <si>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</si>
  <si>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</si>
  <si>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</si>
  <si>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</si>
  <si>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</si>
  <si>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</si>
  <si>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</si>
  <si>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</si>
  <si>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</si>
  <si>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</si>
  <si>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</si>
  <si>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</si>
  <si>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</si>
  <si>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</si>
  <si>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</si>
  <si>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</si>
  <si>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</si>
  <si>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</si>
  <si>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</si>
  <si>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</si>
  <si>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</si>
  <si>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</si>
  <si>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</si>
  <si>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</si>
  <si>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</si>
  <si>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</si>
  <si>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</si>
  <si>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</si>
  <si>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</si>
  <si>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</si>
  <si>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</si>
  <si>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</si>
  <si>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</si>
  <si>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</si>
  <si>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</si>
  <si>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</si>
  <si>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</si>
  <si>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</si>
  <si>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</si>
  <si>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</si>
  <si>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</si>
  <si>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</si>
  <si>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</si>
  <si>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</si>
  <si>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</si>
  <si>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</si>
  <si>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</si>
  <si>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</si>
  <si>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</si>
  <si>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</si>
  <si>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</si>
  <si>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</si>
  <si>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</si>
  <si>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</si>
  <si>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</si>
  <si>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</si>
  <si>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</si>
  <si>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</si>
  <si>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</si>
  <si>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</si>
  <si>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</si>
  <si>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</si>
  <si>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</si>
  <si>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</si>
  <si>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</si>
  <si>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</si>
  <si>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</si>
  <si>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</si>
  <si>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</si>
  <si>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</si>
  <si>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</si>
  <si>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</si>
  <si>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</si>
  <si>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</si>
  <si>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</si>
  <si>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</si>
  <si>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</si>
  <si>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</si>
  <si>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</si>
  <si>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</si>
  <si>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</si>
  <si>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</si>
  <si>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</si>
  <si>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</si>
  <si>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</si>
  <si>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</si>
  <si>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</si>
  <si>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</si>
  <si>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</si>
  <si>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</si>
  <si>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</si>
  <si>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</si>
  <si>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</si>
  <si>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</si>
  <si>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</si>
  <si>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</si>
  <si>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</si>
  <si>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</si>
  <si>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</si>
  <si>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</si>
  <si>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</si>
  <si>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</si>
  <si>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</si>
  <si>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</si>
  <si>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</si>
  <si>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</si>
  <si>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</si>
  <si>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</si>
  <si>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</si>
  <si>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</si>
  <si>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</si>
  <si>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</si>
  <si>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</si>
  <si>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</si>
  <si>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</si>
  <si>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</si>
  <si>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</si>
  <si>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</si>
  <si>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</si>
  <si>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</si>
  <si>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</si>
  <si>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</si>
  <si>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</si>
  <si>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</si>
  <si>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</si>
  <si>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</si>
  <si>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</si>
  <si>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</si>
  <si>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</si>
  <si>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</si>
  <si>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</si>
  <si>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</si>
  <si>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</si>
  <si>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</si>
  <si>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</si>
  <si>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</si>
  <si>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</si>
  <si>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</si>
  <si>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</si>
  <si>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</si>
  <si>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</si>
  <si>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</si>
  <si>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</si>
  <si>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</si>
  <si>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</si>
  <si>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</si>
  <si>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</si>
  <si>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</si>
  <si>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</si>
  <si>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</si>
  <si>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</si>
  <si>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</si>
  <si>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</si>
  <si>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</si>
  <si>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</si>
  <si>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</si>
  <si>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</si>
  <si>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</si>
  <si>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</si>
  <si>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</si>
  <si>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</si>
  <si>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</si>
  <si>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</si>
  <si>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</si>
  <si>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</si>
  <si>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</si>
  <si>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</si>
  <si>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</si>
  <si>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</si>
  <si>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</si>
  <si>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</si>
  <si>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</si>
  <si>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</si>
  <si>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</si>
  <si>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</si>
  <si>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</si>
  <si>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</si>
  <si>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</si>
  <si>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</si>
  <si>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</si>
  <si>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</si>
  <si>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</si>
  <si>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</si>
  <si>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</si>
  <si>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</si>
  <si>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</si>
  <si>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</si>
  <si>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</si>
  <si>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</si>
  <si>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</si>
  <si>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</si>
  <si>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</si>
  <si>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</si>
  <si>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</si>
  <si>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</si>
  <si>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</si>
  <si>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</si>
  <si>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</si>
  <si>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</si>
  <si>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</si>
  <si>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</si>
  <si>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</si>
  <si>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</si>
  <si>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</si>
  <si>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</si>
  <si>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</si>
  <si>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</si>
  <si>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</si>
  <si>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</si>
  <si>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</si>
  <si>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</si>
  <si>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</si>
  <si>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</si>
  <si>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</si>
  <si>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</si>
  <si>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</si>
  <si>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</si>
  <si>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</si>
  <si>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</si>
  <si>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</si>
  <si>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</si>
  <si>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</si>
  <si>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</si>
  <si>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</si>
  <si>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</si>
  <si>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</si>
  <si>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</si>
  <si>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</si>
  <si>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</si>
  <si>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</si>
  <si>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</si>
  <si>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</si>
  <si>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</si>
  <si>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</si>
  <si>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</si>
  <si>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</si>
  <si>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</si>
  <si>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</si>
  <si>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</si>
  <si>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</si>
  <si>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</si>
  <si>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</si>
  <si>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</si>
  <si>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</si>
  <si>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</si>
  <si>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</si>
  <si>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</si>
  <si>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</si>
  <si>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</si>
  <si>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</si>
  <si>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</si>
  <si>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</si>
  <si>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</si>
  <si>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</si>
  <si>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</si>
  <si>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</si>
  <si>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</si>
  <si>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</si>
  <si>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</si>
  <si>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</si>
  <si>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</si>
  <si>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</si>
  <si>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</si>
  <si>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</si>
  <si>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</si>
  <si>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</si>
  <si>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</si>
  <si>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</si>
  <si>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</si>
  <si>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</si>
  <si>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</si>
  <si>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</si>
  <si>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</si>
  <si>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</si>
  <si>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</si>
  <si>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</si>
  <si>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</si>
  <si>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</si>
  <si>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</si>
  <si>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</si>
  <si>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</si>
  <si>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</si>
  <si>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</si>
  <si>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</si>
  <si>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</si>
  <si>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</si>
  <si>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</si>
  <si>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</si>
  <si>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</si>
  <si>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</si>
  <si>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</si>
  <si>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</si>
  <si>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</si>
  <si>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</si>
  <si>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</si>
  <si>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</si>
  <si>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</si>
  <si>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</si>
  <si>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</si>
  <si>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</si>
  <si>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</si>
  <si>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</si>
  <si>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</si>
  <si>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</si>
  <si>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</si>
  <si>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</si>
  <si>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</si>
  <si>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</si>
  <si>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</si>
  <si>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</si>
  <si>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</si>
  <si>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</si>
  <si>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</si>
  <si>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</si>
  <si>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</si>
  <si>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</si>
  <si>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</si>
  <si>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</si>
  <si>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</si>
  <si>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</si>
  <si>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</si>
  <si>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</si>
  <si>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</si>
  <si>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</si>
  <si>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</si>
  <si>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</si>
  <si>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</si>
  <si>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</si>
  <si>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</si>
  <si>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</si>
  <si>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</si>
  <si>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</si>
  <si>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</si>
  <si>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</si>
  <si>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</si>
  <si>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</si>
  <si>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</si>
  <si>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</si>
  <si>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</si>
  <si>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</si>
  <si>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</si>
  <si>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</si>
  <si>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</si>
  <si>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</si>
  <si>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</si>
  <si>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</si>
  <si>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</si>
  <si>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</si>
  <si>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</si>
  <si>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</si>
  <si>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</si>
  <si>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</si>
  <si>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</si>
  <si>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</si>
  <si>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</si>
  <si>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</si>
  <si>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</si>
  <si>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</si>
  <si>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</si>
  <si>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</si>
  <si>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</si>
  <si>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</si>
  <si>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</si>
  <si>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</si>
  <si>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</si>
  <si>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</si>
  <si>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</si>
  <si>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</si>
  <si>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</si>
  <si>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</si>
  <si>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</si>
  <si>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</si>
  <si>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</si>
  <si>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</si>
  <si>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</si>
  <si>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</si>
  <si>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</si>
  <si>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</si>
  <si>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</si>
  <si>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</si>
  <si>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</si>
  <si>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</si>
  <si>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</si>
  <si>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</si>
  <si>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</si>
  <si>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</si>
  <si>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</si>
  <si>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</si>
  <si>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</si>
  <si>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</si>
  <si>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</si>
  <si>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</si>
  <si>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</si>
  <si>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</si>
  <si>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</si>
  <si>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</si>
  <si>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</si>
  <si>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</si>
  <si>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</si>
  <si>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</si>
  <si>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</si>
  <si>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</si>
  <si>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</si>
  <si>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</si>
  <si>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</si>
  <si>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</si>
  <si>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</si>
  <si>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</si>
  <si>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</si>
  <si>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</si>
  <si>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</si>
  <si>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</si>
  <si>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</si>
  <si>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</si>
  <si>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</si>
  <si>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</si>
  <si>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</si>
  <si>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</si>
  <si>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</si>
  <si>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</si>
  <si>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</si>
  <si>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</si>
  <si>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</si>
  <si>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</si>
  <si>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</si>
  <si>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</si>
  <si>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</si>
  <si>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</si>
  <si>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</si>
  <si>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</si>
  <si>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</si>
  <si>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</si>
  <si>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</si>
  <si>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</si>
  <si>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</si>
  <si>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</si>
  <si>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</si>
  <si>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</si>
  <si>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</si>
  <si>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</si>
  <si>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</si>
  <si>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</si>
  <si>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</si>
  <si>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</si>
  <si>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</si>
  <si>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</si>
  <si>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</si>
  <si>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</si>
  <si>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</si>
  <si>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</si>
  <si>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</si>
  <si>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</si>
  <si>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</si>
  <si>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</si>
  <si>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</si>
  <si>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</si>
  <si>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</si>
  <si>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</si>
  <si>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</si>
  <si>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</si>
  <si>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</si>
  <si>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</si>
  <si>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</si>
  <si>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</si>
  <si>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</si>
  <si>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</si>
  <si>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</si>
  <si>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</si>
  <si>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</si>
  <si>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</si>
  <si>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</si>
  <si>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</si>
  <si>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</si>
  <si>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</si>
  <si>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</si>
  <si>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</si>
  <si>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</si>
  <si>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</si>
  <si>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</si>
  <si>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</si>
  <si>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</si>
  <si>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</si>
  <si>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</si>
  <si>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</si>
  <si>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</si>
  <si>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</si>
  <si>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</si>
  <si>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</si>
  <si>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</si>
  <si>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</si>
  <si>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</si>
  <si>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</si>
  <si>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</si>
  <si>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</si>
  <si>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</si>
  <si>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</si>
  <si>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</si>
  <si>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</si>
  <si>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</si>
  <si>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</si>
  <si>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</si>
  <si>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</si>
  <si>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</si>
  <si>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</si>
  <si>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</si>
  <si>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</si>
  <si>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</si>
  <si>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</si>
  <si>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</si>
  <si>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</si>
  <si>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</si>
  <si>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</si>
  <si>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</si>
  <si>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</si>
  <si>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</si>
  <si>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</si>
  <si>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</si>
  <si>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</si>
  <si>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</si>
  <si>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</si>
  <si>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</si>
  <si>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</si>
  <si>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</si>
  <si>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</si>
  <si>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</si>
  <si>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</si>
  <si>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</si>
  <si>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</si>
  <si>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</si>
  <si>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</si>
  <si>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</si>
  <si>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</si>
  <si>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</si>
  <si>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</si>
  <si>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</si>
  <si>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</si>
  <si>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</si>
  <si>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</si>
  <si>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</si>
  <si>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</si>
  <si>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</si>
  <si>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</si>
  <si>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</si>
  <si>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</si>
  <si>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</si>
  <si>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</si>
  <si>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</si>
  <si>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</si>
  <si>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</si>
  <si>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</si>
  <si>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</si>
  <si>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</si>
  <si>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</si>
  <si>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</si>
  <si>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</si>
  <si>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</si>
  <si>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</si>
  <si>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</si>
  <si>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</si>
  <si>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</si>
  <si>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</si>
  <si>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</si>
  <si>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</si>
  <si>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</si>
  <si>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</si>
  <si>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</si>
  <si>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</si>
  <si>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</si>
  <si>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</si>
  <si>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</si>
  <si>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</si>
  <si>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</si>
  <si>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</si>
  <si>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</si>
  <si>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</si>
  <si>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</si>
  <si>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</si>
  <si>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</si>
  <si>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</si>
  <si>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</si>
  <si>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</si>
  <si>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</si>
  <si>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</si>
  <si>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</si>
  <si>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</si>
  <si>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</si>
  <si>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</si>
  <si>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</si>
  <si>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</si>
  <si>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</si>
  <si>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</si>
  <si>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</si>
  <si>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</si>
  <si>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</si>
  <si>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</si>
  <si>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</si>
  <si>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</si>
  <si>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</si>
  <si>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</si>
  <si>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</si>
  <si>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</si>
  <si>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</si>
  <si>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</si>
  <si>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</si>
  <si>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</si>
  <si>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</si>
  <si>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</si>
  <si>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</si>
  <si>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</si>
  <si>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</si>
  <si>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</si>
  <si>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</si>
  <si>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</si>
  <si>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</si>
  <si>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</si>
  <si>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</si>
  <si>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</si>
  <si>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</si>
  <si>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</si>
  <si>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</si>
  <si>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</si>
  <si>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</si>
  <si>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</si>
  <si>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</si>
  <si>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</si>
  <si>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</si>
  <si>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</si>
  <si>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</si>
  <si>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</si>
  <si>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</si>
  <si>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</si>
  <si>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</si>
  <si>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</si>
  <si>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</si>
  <si>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</si>
  <si>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</si>
  <si>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</si>
  <si>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</si>
  <si>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</si>
  <si>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</si>
  <si>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</si>
  <si>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</si>
  <si>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</si>
  <si>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</si>
  <si>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</si>
  <si>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</si>
  <si>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</si>
  <si>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</si>
  <si>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</si>
  <si>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</si>
  <si>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</si>
  <si>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</si>
  <si>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</si>
  <si>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</si>
  <si>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</si>
  <si>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</si>
  <si>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</si>
  <si>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</si>
  <si>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</si>
  <si>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</si>
  <si>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</si>
  <si>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</si>
  <si>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</si>
  <si>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</si>
  <si>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</si>
  <si>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</si>
  <si>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</si>
  <si>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</si>
  <si>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</si>
  <si>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</si>
  <si>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</si>
  <si>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</si>
  <si>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</si>
  <si>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</si>
  <si>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</si>
  <si>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</si>
  <si>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</si>
  <si>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</si>
  <si>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</si>
  <si>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</si>
  <si>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</si>
  <si>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</si>
  <si>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</si>
  <si>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</si>
  <si>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</si>
  <si>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</si>
  <si>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</si>
  <si>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</si>
  <si>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</si>
  <si>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</si>
  <si>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</si>
  <si>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</si>
  <si>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</si>
  <si>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</si>
  <si>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</si>
  <si>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</si>
  <si>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</si>
  <si>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</si>
  <si>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</si>
  <si>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</si>
  <si>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</si>
  <si>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</si>
  <si>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</si>
  <si>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</si>
  <si>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</si>
  <si>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</si>
  <si>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</si>
  <si>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</si>
  <si>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</si>
  <si>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</si>
  <si>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</si>
  <si>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</si>
  <si>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</si>
  <si>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</si>
  <si>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</si>
  <si>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</si>
  <si>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</si>
  <si>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</si>
  <si>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</si>
  <si>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</si>
  <si>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</si>
  <si>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</si>
  <si>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</si>
  <si>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</si>
  <si>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</si>
  <si>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</si>
  <si>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</si>
  <si>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</si>
  <si>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</si>
  <si>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</si>
  <si>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</si>
  <si>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</si>
  <si>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</si>
  <si>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</si>
  <si>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</si>
  <si>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</si>
  <si>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</si>
  <si>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</si>
  <si>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</si>
  <si>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</si>
  <si>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</si>
  <si>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</si>
  <si>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</si>
  <si>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</si>
  <si>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</si>
  <si>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</si>
  <si>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</si>
  <si>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</si>
  <si>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</si>
  <si>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</si>
  <si>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</si>
  <si>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</si>
  <si>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</si>
  <si>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</si>
  <si>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</si>
  <si>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</si>
  <si>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</si>
  <si>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</si>
  <si>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</si>
  <si>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</si>
  <si>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</si>
  <si>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</si>
  <si>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</si>
  <si>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</si>
  <si>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</si>
  <si>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</si>
  <si>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</si>
  <si>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</si>
  <si>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</si>
  <si>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</si>
  <si>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</si>
  <si>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</si>
  <si>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</si>
  <si>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</si>
  <si>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</si>
  <si>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</si>
  <si>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</si>
  <si>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</si>
  <si>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</si>
  <si>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</si>
  <si>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</si>
  <si>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</si>
  <si>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</si>
  <si>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</si>
  <si>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</si>
  <si>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</si>
  <si>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</si>
  <si>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</si>
  <si>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</si>
  <si>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</si>
  <si>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</si>
  <si>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</si>
  <si>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</si>
  <si>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</si>
  <si>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</si>
  <si>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</si>
  <si>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</si>
  <si>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</si>
  <si>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</si>
  <si>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</si>
  <si>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</si>
  <si>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</si>
  <si>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</si>
  <si>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</si>
  <si>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</si>
  <si>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</si>
  <si>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</si>
  <si>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</si>
  <si>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</si>
  <si>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</si>
  <si>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</si>
  <si>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</si>
  <si>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</si>
  <si>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</si>
  <si>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</si>
  <si>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</si>
  <si>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</si>
  <si>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</si>
  <si>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</si>
  <si>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</si>
  <si>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</si>
  <si>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</si>
  <si>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</si>
  <si>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</si>
  <si>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</si>
  <si>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</si>
  <si>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</si>
  <si>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</si>
  <si>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</si>
  <si>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</si>
  <si>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</si>
  <si>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</si>
  <si>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</si>
  <si>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</si>
  <si>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</si>
  <si>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</si>
  <si>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</si>
  <si>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</si>
  <si>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</si>
  <si>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</si>
  <si>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</si>
  <si>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</si>
  <si>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</si>
  <si>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</si>
  <si>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</si>
  <si>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</si>
  <si>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</si>
  <si>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</si>
  <si>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</si>
  <si>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</si>
  <si>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</si>
  <si>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</si>
  <si>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</si>
  <si>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</si>
  <si>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</si>
  <si>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</si>
  <si>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</si>
  <si>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</si>
  <si>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</si>
  <si>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</si>
  <si>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</si>
  <si>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</si>
  <si>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</si>
  <si>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</si>
  <si>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</si>
  <si>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</si>
  <si>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</si>
  <si>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</si>
  <si>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</si>
  <si>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</si>
  <si>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</si>
  <si>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</si>
  <si>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</si>
  <si>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</si>
  <si>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</si>
  <si>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</si>
  <si>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</si>
  <si>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</si>
  <si>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</si>
  <si>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</si>
  <si>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</si>
  <si>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</si>
  <si>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</si>
  <si>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</si>
  <si>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</si>
  <si>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</si>
  <si>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</si>
  <si>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</si>
  <si>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</si>
  <si>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</si>
  <si>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</si>
  <si>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</si>
  <si>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</si>
  <si>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</si>
  <si>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</si>
  <si>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</si>
  <si>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</si>
  <si>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</si>
  <si>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</si>
  <si>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</si>
  <si>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</si>
  <si>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</si>
  <si>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</si>
  <si>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</si>
  <si>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</si>
  <si>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</si>
  <si>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</si>
  <si>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</si>
  <si>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</si>
  <si>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</si>
  <si>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</si>
  <si>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</si>
  <si>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</si>
  <si>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</si>
  <si>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</si>
  <si>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</si>
  <si>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</si>
  <si>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</si>
  <si>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</si>
  <si>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</si>
  <si>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</si>
  <si>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</si>
  <si>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</si>
  <si>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</si>
  <si>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</si>
  <si>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</si>
  <si>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</si>
  <si>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</si>
  <si>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</si>
  <si>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</si>
  <si>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</si>
  <si>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</si>
  <si>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</si>
  <si>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</si>
  <si>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</si>
  <si>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</si>
  <si>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</si>
  <si>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</si>
  <si>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</si>
  <si>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</si>
  <si>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</si>
  <si>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</si>
  <si>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</si>
  <si>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</si>
  <si>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</si>
  <si>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</si>
  <si>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</si>
  <si>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</si>
  <si>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</si>
  <si>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</si>
  <si>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</si>
  <si>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</si>
  <si>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</si>
  <si>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</si>
  <si>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</si>
  <si>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</si>
  <si>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</si>
  <si>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</si>
  <si>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</si>
  <si>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</si>
  <si>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</si>
  <si>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</si>
  <si>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</si>
  <si>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</si>
  <si>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</si>
  <si>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</si>
  <si>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</si>
  <si>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</si>
  <si>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</si>
  <si>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</si>
  <si>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</si>
  <si>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</si>
  <si>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</si>
  <si>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</si>
  <si>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</si>
  <si>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</si>
  <si>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</si>
  <si>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</si>
  <si>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</si>
  <si>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</si>
  <si>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</si>
  <si>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</si>
  <si>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</si>
  <si>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</si>
  <si>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</si>
  <si>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</si>
  <si>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</si>
  <si>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</si>
  <si>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</si>
  <si>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</si>
  <si>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</si>
  <si>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</si>
  <si>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</si>
  <si>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</si>
  <si>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</si>
  <si>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</si>
  <si>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</si>
  <si>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</si>
  <si>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</si>
  <si>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</si>
  <si>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</si>
  <si>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</si>
  <si>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</si>
  <si>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</si>
  <si>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</si>
  <si>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</si>
  <si>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</si>
  <si>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</si>
  <si>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</si>
  <si>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</si>
  <si>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</si>
  <si>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</si>
  <si>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</si>
  <si>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</si>
  <si>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</si>
  <si>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</si>
  <si>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</si>
  <si>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</si>
  <si>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</si>
  <si>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</si>
  <si>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</si>
  <si>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</si>
  <si>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</si>
  <si>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</si>
  <si>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</si>
  <si>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</si>
  <si>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</si>
  <si>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</si>
  <si>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</si>
  <si>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</si>
  <si>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</si>
  <si>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</si>
  <si>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</si>
  <si>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</si>
  <si>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</si>
  <si>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</si>
  <si>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</si>
  <si>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</si>
  <si>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</si>
  <si>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</si>
  <si>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</si>
  <si>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</si>
  <si>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</si>
  <si>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</si>
  <si>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</si>
  <si>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</si>
  <si>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</si>
  <si>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</si>
  <si>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</si>
  <si>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</si>
  <si>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</si>
  <si>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</si>
  <si>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</si>
  <si>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</si>
  <si>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</si>
  <si>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</si>
  <si>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</si>
  <si>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</si>
  <si>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</si>
  <si>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</si>
  <si>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</si>
  <si>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</si>
  <si>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</si>
  <si>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</si>
  <si>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</si>
  <si>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</si>
  <si>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</si>
  <si>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</si>
  <si>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</si>
  <si>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</si>
  <si>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</si>
  <si>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</si>
  <si>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</si>
  <si>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</si>
  <si>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</si>
  <si>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</si>
  <si>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</si>
  <si>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</si>
  <si>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</si>
  <si>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</si>
  <si>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</si>
  <si>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</si>
  <si>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</si>
  <si>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</si>
  <si>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</si>
  <si>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</si>
  <si>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</si>
  <si>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</si>
  <si>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</si>
  <si>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</si>
  <si>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</si>
  <si>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</si>
  <si>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</si>
  <si>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</si>
  <si>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</si>
  <si>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</si>
  <si>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</si>
  <si>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</si>
  <si>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</si>
  <si>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</si>
  <si>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</si>
  <si>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</si>
  <si>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</si>
  <si>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</si>
  <si>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</si>
  <si>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</si>
  <si>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</si>
  <si>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</si>
  <si>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</si>
  <si>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</si>
  <si>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</si>
  <si>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</si>
  <si>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</si>
  <si>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</si>
  <si>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</si>
  <si>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</si>
  <si>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</si>
  <si>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</si>
  <si>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</si>
  <si>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</si>
  <si>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</si>
  <si>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</si>
  <si>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</si>
  <si>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</si>
  <si>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</si>
  <si>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</si>
  <si>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</si>
  <si>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</si>
  <si>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</si>
  <si>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</si>
  <si>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</si>
  <si>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</si>
  <si>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</si>
  <si>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</si>
  <si>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</si>
  <si>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</si>
  <si>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</si>
  <si>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</si>
  <si>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</si>
  <si>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</si>
  <si>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</si>
  <si>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</si>
  <si>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</si>
  <si>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</si>
  <si>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</si>
  <si>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</si>
  <si>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</si>
  <si>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</si>
  <si>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</si>
  <si>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</si>
  <si>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</si>
  <si>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</si>
  <si>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</si>
  <si>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</si>
  <si>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</si>
  <si>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</si>
  <si>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</si>
  <si>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</si>
  <si>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</si>
  <si>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</si>
  <si>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</si>
  <si>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</si>
  <si>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</si>
  <si>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</si>
  <si>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</si>
  <si>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</si>
  <si>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</si>
  <si>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</si>
  <si>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</si>
  <si>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</si>
  <si>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</si>
  <si>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</si>
  <si>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</si>
  <si>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</si>
  <si>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</si>
  <si>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</si>
  <si>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</si>
  <si>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</si>
  <si>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</si>
  <si>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</si>
  <si>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</si>
  <si>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</si>
  <si>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</si>
  <si>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</si>
  <si>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</si>
  <si>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</si>
  <si>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</si>
  <si>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</si>
  <si>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</si>
  <si>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</si>
  <si>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</si>
  <si>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</si>
  <si>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</si>
  <si>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</si>
  <si>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</si>
  <si>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</si>
  <si>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</si>
  <si>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</si>
  <si>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</si>
  <si>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</si>
  <si>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</si>
  <si>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</si>
  <si>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</si>
  <si>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</si>
  <si>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</si>
  <si>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</si>
  <si>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</si>
  <si>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</si>
  <si>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</si>
  <si>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</si>
  <si>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</si>
  <si>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</si>
  <si>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</si>
  <si>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</si>
  <si>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</si>
  <si>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</si>
  <si>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</si>
  <si>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</si>
  <si>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</si>
  <si>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</si>
  <si>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</si>
  <si>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</si>
  <si>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</si>
  <si>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</si>
  <si>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</si>
  <si>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</si>
  <si>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</si>
  <si>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</si>
  <si>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</si>
  <si>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</si>
  <si>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</si>
  <si>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</si>
  <si>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</si>
  <si>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</si>
  <si>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</si>
  <si>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</si>
  <si>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</si>
  <si>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</si>
  <si>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</si>
  <si>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</si>
  <si>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</si>
  <si>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</si>
  <si>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</si>
  <si>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</si>
  <si>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</si>
  <si>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</si>
  <si>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</si>
  <si>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</si>
  <si>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</si>
  <si>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</si>
  <si>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</si>
  <si>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</si>
  <si>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</si>
  <si>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</si>
  <si>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</si>
  <si>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</si>
  <si>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</si>
  <si>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</si>
  <si>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</si>
  <si>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</si>
  <si>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</si>
  <si>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</si>
  <si>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</si>
  <si>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</si>
  <si>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</si>
  <si>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</si>
  <si>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</si>
  <si>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</si>
  <si>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</si>
  <si>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</si>
  <si>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</si>
  <si>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</si>
  <si>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</si>
  <si>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</si>
  <si>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</si>
  <si>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</si>
  <si>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</si>
  <si>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</si>
  <si>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</si>
  <si>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</si>
  <si>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</si>
  <si>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</si>
  <si>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</si>
  <si>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</si>
  <si>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</si>
  <si>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</si>
  <si>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</si>
  <si>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</si>
  <si>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</si>
  <si>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</si>
  <si>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</si>
  <si>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</si>
  <si>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</si>
  <si>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</si>
  <si>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</si>
  <si>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</si>
  <si>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</si>
  <si>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</si>
  <si>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</si>
  <si>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</si>
  <si>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</si>
  <si>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</si>
  <si>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</si>
  <si>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</si>
  <si>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</si>
  <si>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</si>
  <si>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</si>
  <si>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</si>
  <si>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</si>
  <si>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</si>
  <si>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</si>
  <si>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</si>
  <si>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</si>
  <si>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</si>
  <si>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</si>
  <si>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</si>
  <si>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</si>
  <si>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</si>
  <si>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</si>
  <si>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</si>
  <si>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</si>
  <si>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</si>
  <si>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</si>
  <si>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</si>
  <si>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</si>
  <si>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</si>
  <si>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</si>
  <si>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</si>
  <si>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</si>
  <si>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</si>
  <si>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</si>
  <si>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</si>
  <si>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</si>
  <si>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</si>
  <si>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</si>
  <si>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</si>
  <si>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</si>
  <si>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</si>
  <si>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</si>
  <si>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</si>
  <si>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</si>
  <si>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</si>
  <si>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</si>
  <si>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</si>
  <si>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</si>
  <si>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</si>
  <si>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</si>
  <si>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</si>
  <si>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</si>
  <si>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</si>
  <si>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</si>
  <si>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</si>
  <si>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</si>
  <si>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</si>
  <si>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</si>
  <si>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</si>
  <si>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</si>
  <si>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</si>
  <si>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</si>
  <si>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</si>
  <si>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</si>
  <si>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</si>
  <si>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</si>
  <si>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</si>
  <si>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</si>
  <si>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</si>
  <si>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</si>
  <si>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</si>
  <si>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</si>
  <si>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</si>
  <si>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</si>
  <si>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</si>
  <si>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</si>
  <si>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</si>
  <si>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</si>
  <si>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</si>
  <si>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</si>
  <si>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</si>
  <si>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</si>
  <si>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</si>
  <si>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</si>
  <si>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</si>
  <si>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</si>
  <si>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</si>
  <si>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</si>
  <si>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</si>
  <si>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</si>
  <si>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</si>
  <si>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</si>
  <si>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</si>
  <si>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</si>
  <si>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</si>
  <si>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</si>
  <si>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</si>
  <si>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</si>
  <si>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</si>
  <si>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</si>
  <si>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</si>
  <si>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</si>
  <si>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</si>
  <si>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</si>
  <si>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</si>
  <si>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</si>
  <si>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</si>
  <si>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</si>
  <si>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</si>
  <si>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</si>
  <si>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</si>
  <si>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</si>
  <si>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</si>
  <si>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</si>
  <si>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</si>
  <si>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</si>
  <si>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</si>
  <si>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</si>
  <si>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</si>
  <si>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</si>
  <si>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</si>
  <si>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</si>
  <si>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</si>
  <si>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</si>
  <si>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</si>
  <si>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</si>
  <si>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</si>
  <si>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</si>
  <si>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</si>
  <si>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</si>
  <si>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</si>
  <si>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</si>
  <si>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</si>
  <si>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</si>
  <si>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</si>
  <si>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</si>
  <si>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</si>
  <si>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</si>
  <si>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</si>
  <si>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</si>
  <si>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</si>
  <si>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</si>
  <si>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</si>
  <si>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</si>
  <si>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</si>
  <si>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</si>
  <si>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</si>
  <si>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</si>
  <si>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</si>
  <si>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</si>
  <si>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</si>
  <si>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</si>
  <si>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</si>
  <si>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</si>
  <si>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</si>
  <si>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</si>
  <si>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</si>
  <si>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</si>
  <si>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</si>
  <si>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</si>
  <si>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</si>
  <si>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</si>
  <si>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</si>
  <si>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</si>
  <si>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</si>
  <si>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</si>
  <si>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</si>
  <si>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</si>
  <si>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</si>
  <si>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</si>
  <si>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</si>
  <si>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</si>
  <si>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</si>
  <si>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</si>
  <si>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</si>
  <si>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</si>
  <si>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</si>
  <si>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</si>
  <si>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</si>
  <si>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</si>
  <si>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</si>
  <si>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</si>
  <si>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</si>
  <si>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</si>
  <si>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</si>
  <si>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</si>
  <si>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</si>
  <si>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</si>
  <si>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</si>
  <si>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</si>
  <si>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</si>
  <si>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</si>
  <si>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</si>
  <si>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</si>
  <si>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</si>
  <si>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</si>
  <si>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</si>
  <si>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</si>
  <si>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</si>
  <si>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</si>
  <si>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</si>
  <si>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</si>
  <si>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</si>
  <si>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</si>
  <si>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</si>
  <si>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</si>
  <si>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</si>
  <si>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</si>
  <si>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</si>
  <si>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</si>
  <si>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</si>
  <si>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</si>
  <si>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</si>
  <si>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</si>
  <si>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</si>
  <si>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</si>
  <si>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</si>
  <si>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</si>
  <si>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</si>
  <si>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</si>
  <si>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</si>
  <si>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</si>
  <si>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</si>
  <si>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</si>
  <si>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</si>
  <si>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</si>
  <si>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</si>
  <si>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</si>
  <si>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</si>
  <si>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</si>
  <si>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</si>
  <si>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</si>
  <si>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</si>
  <si>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</si>
  <si>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</si>
  <si>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</si>
  <si>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</si>
  <si>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</si>
  <si>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</si>
  <si>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</si>
  <si>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</si>
  <si>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</si>
  <si>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</si>
  <si>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</si>
  <si>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</si>
  <si>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</si>
  <si>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</si>
  <si>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</si>
  <si>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</si>
  <si>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</si>
  <si>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</si>
  <si>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</si>
  <si>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</si>
  <si>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</si>
  <si>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</si>
  <si>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</si>
  <si>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</si>
  <si>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</si>
  <si>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</si>
  <si>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</si>
  <si>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</si>
  <si>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</si>
  <si>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</si>
  <si>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</si>
  <si>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</si>
  <si>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</si>
  <si>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</si>
  <si>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</si>
  <si>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</si>
  <si>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</si>
  <si>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</si>
  <si>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</si>
  <si>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</si>
  <si>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</si>
  <si>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</si>
  <si>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</si>
  <si>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</si>
  <si>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</si>
  <si>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</si>
  <si>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</si>
  <si>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</si>
  <si>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</si>
  <si>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</si>
  <si>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</si>
  <si>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</si>
  <si>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</si>
  <si>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</si>
  <si>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</si>
  <si>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</si>
  <si>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</si>
  <si>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</si>
  <si>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</si>
  <si>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</si>
  <si>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</si>
  <si>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</si>
  <si>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</si>
  <si>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</si>
  <si>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</si>
  <si>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</si>
  <si>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</si>
  <si>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</si>
  <si>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</si>
  <si>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</si>
  <si>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</si>
  <si>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</si>
  <si>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</si>
  <si>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</si>
  <si>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</si>
  <si>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</si>
  <si>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</si>
  <si>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</si>
  <si>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</si>
  <si>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</si>
  <si>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</si>
  <si>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</si>
  <si>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</si>
  <si>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</si>
  <si>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</si>
  <si>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</si>
  <si>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</si>
  <si>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</si>
  <si>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</si>
  <si>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</si>
  <si>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</si>
  <si>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</si>
  <si>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</si>
  <si>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</si>
  <si>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</si>
  <si>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</si>
  <si>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</si>
  <si>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</si>
  <si>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</si>
  <si>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</si>
  <si>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</si>
  <si>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</si>
  <si>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</si>
  <si>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</si>
  <si>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</si>
  <si>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</si>
  <si>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</si>
  <si>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</si>
  <si>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</si>
  <si>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</si>
  <si>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</si>
  <si>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</si>
  <si>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</si>
  <si>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</si>
  <si>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</si>
  <si>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</si>
  <si>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</si>
  <si>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</si>
  <si>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</si>
  <si>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</si>
  <si>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</si>
  <si>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</si>
  <si>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</si>
  <si>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</si>
  <si>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</si>
  <si>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</si>
  <si>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</si>
  <si>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</si>
  <si>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</si>
  <si>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</si>
  <si>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</si>
  <si>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</si>
  <si>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</si>
  <si>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</si>
  <si>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</si>
  <si>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</si>
  <si>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</si>
  <si>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</si>
  <si>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</si>
  <si>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</si>
  <si>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</si>
  <si>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</si>
  <si>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</si>
  <si>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</si>
  <si>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</si>
  <si>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</si>
  <si>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</si>
  <si>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</si>
  <si>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</si>
  <si>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</si>
  <si>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</si>
  <si>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</si>
  <si>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</si>
  <si>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</si>
  <si>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</si>
  <si>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</si>
  <si>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</si>
  <si>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</si>
  <si>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</si>
  <si>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</si>
  <si>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</si>
  <si>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</si>
  <si>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</si>
  <si>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</si>
  <si>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</si>
  <si>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</si>
  <si>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</si>
  <si>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</si>
  <si>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</si>
  <si>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</si>
  <si>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</si>
  <si>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</si>
  <si>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</si>
  <si>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</si>
  <si>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</si>
  <si>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</si>
  <si>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</si>
  <si>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</si>
  <si>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</si>
  <si>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</si>
  <si>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</si>
  <si>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</si>
  <si>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</si>
  <si>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</si>
  <si>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</si>
  <si>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</si>
  <si>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</si>
  <si>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</si>
  <si>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</si>
  <si>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</si>
  <si>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</si>
  <si>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</si>
  <si>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</si>
  <si>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</si>
  <si>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</si>
  <si>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</si>
  <si>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</si>
  <si>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</si>
  <si>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</si>
  <si>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</si>
  <si>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</si>
  <si>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</si>
  <si>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</si>
  <si>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</si>
  <si>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</si>
  <si>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</si>
  <si>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</si>
  <si>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</si>
  <si>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</si>
  <si>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</si>
  <si>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</si>
  <si>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</si>
  <si>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</si>
  <si>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</si>
  <si>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</si>
  <si>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</si>
  <si>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</si>
  <si>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</si>
  <si>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</si>
  <si>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</si>
  <si>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</si>
  <si>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</si>
  <si>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</si>
  <si>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</si>
  <si>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</si>
  <si>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</si>
  <si>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</si>
  <si>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</si>
  <si>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</si>
  <si>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</si>
  <si>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</si>
  <si>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</si>
  <si>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</si>
  <si>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</si>
  <si>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</si>
  <si>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</si>
  <si>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</si>
  <si>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</si>
  <si>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</si>
  <si>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</si>
  <si>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</si>
  <si>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</si>
  <si>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</si>
  <si>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</si>
  <si>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</si>
  <si>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</si>
  <si>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</si>
  <si>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</si>
  <si>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</si>
  <si>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</si>
  <si>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</si>
  <si>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</si>
  <si>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</si>
  <si>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</si>
  <si>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</si>
  <si>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</si>
  <si>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</si>
  <si>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</si>
  <si>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</si>
  <si>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</si>
  <si>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</si>
  <si>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</si>
  <si>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</si>
  <si>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</si>
  <si>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</si>
  <si>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</si>
  <si>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</si>
  <si>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</si>
  <si>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</si>
  <si>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</si>
  <si>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</si>
  <si>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</si>
  <si>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</si>
  <si>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</si>
  <si>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</si>
  <si>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</si>
  <si>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</si>
  <si>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</si>
  <si>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</si>
  <si>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</si>
  <si>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</si>
  <si>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</si>
  <si>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</si>
  <si>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</si>
  <si>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</si>
  <si>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</si>
  <si>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</si>
  <si>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</si>
  <si>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</si>
  <si>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</si>
  <si>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</si>
  <si>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</si>
  <si>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</si>
  <si>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</si>
  <si>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</si>
  <si>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</si>
  <si>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</si>
  <si>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</si>
  <si>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</si>
  <si>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</si>
  <si>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</si>
  <si>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</si>
  <si>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</si>
  <si>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</si>
  <si>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</si>
  <si>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</si>
  <si>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</si>
  <si>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</si>
  <si>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</si>
  <si>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</si>
  <si>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</si>
  <si>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</si>
  <si>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</si>
  <si>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</si>
  <si>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</si>
  <si>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</si>
  <si>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</si>
  <si>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</si>
  <si>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</si>
  <si>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</si>
  <si>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</si>
  <si>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</si>
  <si>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</si>
  <si>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</si>
  <si>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</si>
  <si>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</si>
  <si>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</si>
  <si>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</si>
  <si>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</si>
  <si>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</si>
  <si>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</si>
  <si>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</si>
  <si>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</si>
  <si>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</si>
  <si>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</si>
  <si>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</si>
  <si>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</si>
  <si>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</si>
  <si>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</si>
  <si>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</si>
  <si>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</si>
  <si>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</si>
  <si>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</si>
  <si>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</si>
  <si>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</si>
  <si>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</si>
  <si>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</si>
  <si>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</si>
  <si>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</si>
  <si>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</si>
  <si>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</si>
  <si>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</si>
  <si>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</si>
  <si>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</si>
  <si>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</si>
  <si>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</si>
  <si>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</si>
  <si>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</si>
  <si>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</si>
  <si>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</si>
  <si>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</si>
  <si>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</si>
  <si>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</si>
  <si>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</si>
  <si>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</si>
  <si>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</si>
  <si>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</si>
  <si>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</si>
  <si>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</si>
  <si>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</si>
  <si>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</si>
  <si>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</si>
  <si>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</si>
  <si>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</si>
  <si>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</si>
  <si>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</si>
  <si>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</si>
  <si>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</si>
  <si>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</si>
  <si>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</si>
  <si>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</si>
  <si>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</si>
  <si>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</si>
  <si>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</si>
  <si>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</si>
  <si>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</si>
  <si>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</si>
  <si>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</si>
  <si>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</si>
  <si>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</si>
  <si>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</si>
  <si>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</si>
  <si>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</si>
  <si>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</si>
  <si>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</si>
  <si>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</si>
  <si>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</si>
  <si>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</si>
  <si>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</si>
  <si>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</si>
  <si>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</si>
  <si>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</si>
  <si>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</si>
  <si>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</si>
  <si>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</si>
  <si>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</si>
  <si>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</si>
  <si>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</si>
  <si>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</si>
  <si>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</si>
  <si>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</si>
  <si>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</si>
  <si>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</si>
  <si>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</si>
  <si>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</si>
  <si>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</si>
  <si>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</si>
  <si>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</si>
  <si>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</si>
  <si>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</si>
  <si>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</si>
  <si>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</si>
  <si>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</si>
  <si>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</si>
  <si>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</si>
  <si>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</si>
  <si>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</si>
  <si>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</si>
  <si>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</si>
  <si>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</si>
  <si>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</si>
  <si>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</si>
  <si>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</si>
  <si>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</si>
  <si>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</si>
  <si>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</si>
  <si>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</si>
  <si>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</si>
  <si>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</si>
  <si>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</si>
  <si>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</si>
  <si>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</si>
  <si>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</si>
  <si>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</si>
  <si>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</si>
  <si>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</si>
  <si>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</si>
  <si>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</si>
  <si>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</si>
  <si>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</si>
  <si>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</si>
  <si>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</si>
  <si>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</si>
  <si>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</si>
  <si>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</si>
  <si>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</si>
  <si>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</si>
  <si>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</si>
  <si>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</si>
  <si>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</si>
  <si>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</si>
  <si>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</si>
  <si>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</si>
  <si>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</si>
  <si>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</si>
  <si>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</si>
  <si>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</si>
  <si>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</si>
  <si>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</si>
  <si>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</si>
  <si>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</si>
  <si>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</si>
  <si>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</si>
  <si>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</si>
  <si>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</si>
  <si>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</si>
  <si>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</si>
  <si>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</si>
  <si>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</si>
  <si>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</si>
  <si>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</si>
  <si>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</si>
  <si>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</si>
  <si>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</si>
  <si>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</si>
  <si>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</si>
  <si>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</si>
  <si>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</si>
  <si>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</si>
  <si>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</si>
  <si>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</si>
  <si>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</si>
  <si>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</si>
  <si>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</si>
  <si>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</si>
  <si>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</si>
  <si>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</si>
  <si>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</si>
  <si>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</si>
  <si>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</si>
  <si>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</si>
  <si>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</si>
  <si>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</si>
  <si>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</si>
  <si>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</si>
  <si>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</si>
  <si>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</si>
  <si>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</si>
  <si>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</si>
  <si>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</si>
  <si>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</si>
  <si>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</si>
  <si>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</si>
  <si>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</si>
  <si>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</si>
  <si>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</si>
  <si>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</si>
  <si>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</si>
  <si>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</si>
  <si>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</si>
  <si>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</si>
  <si>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</si>
  <si>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</si>
  <si>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</si>
  <si>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</si>
  <si>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</si>
  <si>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</si>
  <si>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</si>
  <si>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</si>
  <si>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</si>
  <si>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</si>
  <si>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</si>
  <si>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</si>
  <si>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</si>
  <si>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</si>
  <si>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</si>
  <si>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</si>
  <si>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</si>
  <si>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</si>
  <si>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</si>
  <si>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</si>
  <si>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</si>
  <si>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</si>
  <si>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</si>
  <si>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</si>
  <si>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</si>
  <si>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</si>
  <si>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</si>
  <si>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</si>
  <si>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</si>
  <si>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</si>
  <si>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</si>
  <si>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</si>
  <si>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</si>
  <si>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</si>
  <si>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</si>
  <si>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</si>
  <si>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</si>
  <si>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</si>
  <si>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</si>
  <si>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</si>
  <si>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</si>
  <si>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</si>
  <si>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</si>
  <si>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</si>
  <si>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</si>
  <si>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</si>
  <si>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</si>
  <si>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</si>
  <si>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</si>
  <si>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</si>
  <si>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</si>
  <si>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</si>
  <si>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</si>
  <si>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</si>
  <si>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</si>
  <si>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</si>
  <si>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</si>
  <si>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</si>
  <si>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</si>
  <si>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</si>
  <si>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</si>
  <si>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</si>
  <si>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</si>
  <si>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</si>
  <si>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</si>
  <si>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</si>
  <si>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</si>
  <si>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</si>
  <si>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</si>
  <si>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</si>
  <si>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</si>
  <si>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</si>
  <si>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</si>
  <si>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</si>
  <si>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</si>
  <si>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</si>
  <si>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</si>
  <si>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</si>
  <si>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</si>
  <si>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</si>
  <si>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</si>
  <si>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</si>
  <si>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</si>
  <si>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</si>
  <si>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</si>
  <si>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</si>
  <si>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</si>
  <si>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</si>
  <si>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</si>
  <si>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</si>
  <si>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</si>
  <si>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</si>
  <si>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</si>
  <si>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</si>
  <si>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</si>
  <si>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</si>
  <si>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</si>
  <si>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</si>
  <si>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</si>
  <si>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</si>
  <si>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</si>
  <si>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</si>
  <si>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</si>
  <si>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</si>
  <si>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</si>
  <si>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</si>
  <si>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</si>
  <si>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</si>
  <si>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</si>
  <si>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</si>
  <si>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</si>
  <si>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</si>
  <si>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</si>
  <si>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</si>
  <si>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</si>
  <si>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</si>
  <si>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</si>
  <si>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</si>
  <si>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</si>
  <si>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</si>
  <si>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</si>
  <si>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</si>
  <si>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</si>
  <si>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</si>
  <si>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</si>
  <si>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</si>
  <si>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</si>
  <si>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</si>
  <si>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</si>
  <si>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</si>
  <si>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</si>
  <si>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</si>
  <si>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</si>
  <si>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</si>
  <si>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</si>
  <si>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</si>
  <si>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</si>
  <si>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</si>
  <si>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</si>
  <si>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</si>
  <si>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</si>
  <si>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</si>
  <si>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</si>
  <si>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</si>
  <si>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</si>
  <si>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</si>
  <si>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</si>
  <si>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</si>
  <si>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</si>
  <si>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</si>
  <si>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</si>
  <si>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</si>
  <si>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</si>
  <si>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</si>
  <si>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</si>
  <si>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</si>
  <si>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</si>
  <si>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</si>
  <si>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</si>
  <si>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</si>
  <si>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</si>
  <si>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</si>
  <si>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</si>
  <si>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</si>
  <si>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</si>
  <si>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</si>
  <si>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</si>
  <si>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</si>
  <si>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</si>
  <si>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</si>
  <si>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</si>
  <si>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</si>
  <si>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</si>
  <si>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</si>
  <si>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</si>
  <si>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</si>
  <si>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</si>
  <si>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</si>
  <si>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</si>
  <si>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</si>
  <si>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</si>
  <si>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</si>
  <si>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</si>
  <si>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</si>
  <si>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</si>
  <si>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</si>
  <si>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</si>
  <si>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</si>
  <si>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</si>
  <si>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</si>
  <si>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</si>
  <si>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</si>
  <si>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</si>
  <si>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</si>
  <si>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</si>
  <si>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</si>
  <si>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</si>
  <si>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</si>
  <si>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</si>
  <si>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</si>
  <si>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</si>
  <si>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</si>
  <si>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</si>
  <si>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</si>
  <si>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</si>
  <si>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</si>
  <si>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</si>
  <si>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</si>
  <si>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</si>
  <si>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</si>
  <si>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</si>
  <si>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</si>
  <si>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</si>
  <si>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</si>
  <si>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</si>
  <si>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</si>
  <si>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</si>
  <si>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</si>
  <si>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</si>
  <si>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</si>
  <si>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</si>
  <si>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</si>
  <si>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</si>
  <si>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</si>
  <si>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</si>
  <si>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</si>
  <si>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</si>
  <si>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</si>
  <si>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</si>
  <si>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</si>
  <si>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</si>
  <si>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</si>
  <si>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</si>
  <si>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</si>
  <si>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</si>
  <si>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</si>
  <si>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</si>
  <si>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</si>
  <si>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</si>
  <si>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</si>
  <si>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</si>
  <si>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</si>
  <si>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</si>
  <si>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</si>
  <si>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</si>
  <si>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</si>
  <si>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</si>
  <si>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</si>
  <si>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</si>
  <si>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</si>
  <si>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</si>
  <si>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</si>
  <si>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</si>
  <si>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</si>
  <si>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</si>
  <si>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</si>
  <si>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</si>
  <si>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</si>
  <si>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</si>
  <si>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</si>
  <si>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</si>
  <si>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</si>
  <si>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</si>
  <si>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</si>
  <si>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</si>
  <si>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</si>
  <si>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</si>
  <si>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</si>
  <si>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</si>
  <si>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</si>
  <si>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</si>
  <si>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</si>
  <si>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</si>
  <si>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</si>
  <si>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</si>
  <si>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</si>
  <si>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</si>
  <si>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</si>
  <si>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</si>
  <si>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</si>
  <si>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</si>
  <si>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</si>
  <si>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</si>
  <si>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</si>
  <si>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</si>
  <si>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</si>
  <si>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</si>
  <si>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</si>
  <si>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</si>
  <si>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</si>
  <si>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</si>
  <si>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</si>
  <si>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</si>
  <si>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</si>
  <si>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</si>
  <si>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</si>
  <si>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</si>
  <si>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</si>
  <si>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</si>
  <si>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</si>
  <si>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</si>
  <si>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</si>
  <si>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</si>
  <si>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</si>
  <si>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</si>
  <si>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</si>
  <si>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</si>
  <si>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</si>
  <si>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</si>
  <si>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</si>
  <si>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</si>
  <si>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</si>
  <si>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</si>
  <si>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</si>
  <si>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</si>
  <si>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</si>
  <si>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</si>
  <si>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</si>
  <si>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</si>
  <si>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</si>
  <si>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</si>
  <si>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</si>
  <si>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</si>
  <si>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</si>
  <si>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</si>
  <si>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</si>
  <si>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</si>
  <si>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</si>
  <si>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</si>
  <si>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</si>
  <si>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</si>
  <si>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</si>
  <si>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</si>
  <si>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</si>
  <si>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</si>
  <si>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</si>
  <si>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</si>
  <si>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</si>
  <si>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</si>
  <si>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</si>
  <si>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</si>
  <si>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</si>
  <si>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</si>
  <si>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</si>
  <si>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</si>
  <si>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</si>
  <si>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</si>
  <si>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</si>
  <si>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</si>
  <si>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</si>
  <si>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</si>
  <si>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</si>
  <si>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</si>
  <si>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</si>
  <si>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</si>
  <si>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</si>
  <si>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</si>
  <si>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</si>
  <si>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</si>
  <si>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</si>
  <si>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</si>
  <si>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</si>
  <si>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</si>
  <si>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</si>
  <si>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</si>
  <si>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</si>
  <si>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</si>
  <si>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</si>
  <si>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</si>
  <si>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</si>
  <si>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</si>
  <si>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</si>
  <si>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</si>
  <si>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</si>
  <si>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</si>
  <si>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</si>
  <si>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</si>
  <si>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</si>
  <si>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</si>
  <si>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</si>
  <si>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</si>
  <si>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</si>
  <si>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</si>
  <si>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</si>
  <si>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</si>
  <si>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</si>
  <si>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</si>
  <si>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</si>
  <si>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</si>
  <si>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</si>
  <si>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</si>
  <si>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</si>
  <si>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</si>
  <si>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</si>
  <si>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</si>
  <si>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</si>
  <si>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</si>
  <si>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</si>
  <si>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</si>
  <si>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</si>
  <si>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</si>
  <si>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</si>
  <si>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</si>
  <si>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</si>
  <si>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</si>
  <si>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</si>
  <si>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</si>
  <si>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</si>
  <si>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</si>
  <si>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</si>
  <si>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</si>
  <si>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</si>
  <si>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</si>
  <si>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</si>
  <si>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</si>
  <si>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</si>
  <si>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</si>
  <si>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</si>
  <si>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</si>
  <si>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</si>
  <si>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</si>
  <si>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</si>
  <si>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</si>
  <si>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</si>
  <si>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</si>
  <si>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</si>
  <si>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</si>
  <si>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</si>
  <si>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</si>
  <si>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</si>
  <si>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</si>
  <si>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</si>
  <si>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</si>
  <si>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</si>
  <si>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</si>
  <si>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</si>
  <si>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</si>
  <si>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</si>
  <si>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</si>
  <si>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</si>
  <si>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</si>
  <si>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</si>
  <si>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</si>
  <si>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</si>
  <si>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</si>
  <si>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</si>
  <si>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</si>
  <si>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</si>
  <si>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</si>
  <si>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</si>
  <si>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</si>
  <si>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</si>
  <si>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</si>
  <si>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</si>
  <si>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</si>
  <si>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</si>
  <si>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</si>
  <si>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</si>
  <si>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</si>
  <si>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</si>
  <si>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</si>
  <si>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</si>
  <si>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</si>
  <si>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</si>
  <si>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</si>
  <si>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</si>
  <si>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</si>
  <si>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</si>
  <si>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</si>
  <si>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</si>
  <si>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</si>
  <si>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</si>
  <si>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</si>
  <si>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</si>
  <si>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</si>
  <si>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</si>
  <si>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</si>
  <si>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</si>
  <si>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</si>
  <si>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</si>
  <si>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</si>
  <si>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</si>
  <si>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</si>
  <si>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</si>
  <si>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</si>
  <si>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</si>
  <si>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</si>
  <si>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</si>
  <si>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</si>
  <si>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</si>
  <si>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</si>
  <si>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</si>
  <si>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</si>
  <si>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</si>
  <si>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</si>
  <si>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</si>
  <si>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</si>
  <si>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</si>
  <si>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</si>
  <si>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</si>
  <si>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</si>
  <si>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</si>
  <si>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</si>
  <si>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</si>
  <si>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</si>
  <si>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</si>
  <si>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</si>
  <si>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</si>
  <si>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</si>
  <si>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</si>
  <si>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</si>
  <si>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</si>
  <si>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</si>
  <si>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</si>
  <si>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</si>
  <si>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</si>
  <si>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</si>
  <si>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</si>
  <si>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</si>
  <si>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</si>
  <si>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</si>
  <si>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</si>
  <si>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</si>
  <si>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</si>
  <si>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</si>
  <si>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</si>
  <si>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</si>
  <si>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</si>
  <si>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</si>
  <si>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</si>
  <si>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</si>
  <si>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</si>
  <si>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</si>
  <si>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</si>
  <si>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</si>
  <si>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</si>
  <si>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</si>
  <si>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</si>
  <si>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</si>
  <si>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</si>
  <si>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</si>
  <si>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</si>
  <si>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</si>
  <si>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</si>
  <si>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</si>
  <si>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</si>
  <si>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</si>
  <si>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</si>
  <si>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</si>
  <si>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</si>
  <si>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</si>
  <si>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</si>
  <si>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</si>
  <si>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</si>
  <si>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</si>
  <si>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</si>
  <si>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</si>
  <si>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</si>
  <si>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</si>
  <si>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</si>
  <si>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</si>
  <si>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</si>
  <si>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</si>
  <si>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</si>
  <si>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</si>
  <si>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</si>
  <si>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</si>
  <si>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</si>
  <si>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</si>
  <si>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</si>
  <si>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</si>
  <si>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</si>
  <si>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</si>
  <si>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</si>
  <si>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</si>
  <si>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</si>
  <si>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</si>
  <si>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</si>
  <si>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</si>
  <si>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</si>
  <si>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</si>
  <si>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</si>
  <si>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</si>
  <si>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</si>
  <si>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</si>
  <si>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</si>
  <si>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</si>
  <si>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</si>
  <si>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</si>
  <si>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</si>
  <si>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</si>
  <si>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</si>
  <si>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</si>
  <si>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</si>
  <si>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</si>
  <si>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</si>
  <si>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</si>
  <si>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</si>
  <si>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</si>
  <si>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</si>
  <si>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</si>
  <si>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</si>
  <si>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</si>
  <si>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</si>
  <si>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</si>
  <si>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</si>
  <si>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</si>
  <si>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</si>
  <si>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</si>
  <si>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</si>
  <si>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</si>
  <si>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</si>
  <si>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</si>
  <si>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</si>
  <si>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</si>
  <si>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</si>
  <si>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</si>
  <si>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</si>
  <si>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</si>
  <si>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</si>
  <si>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</si>
  <si>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</si>
  <si>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</si>
  <si>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</si>
  <si>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</si>
  <si>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</si>
  <si>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</si>
  <si>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</si>
  <si>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</si>
  <si>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</si>
  <si>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</si>
  <si>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</si>
  <si>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</si>
  <si>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</si>
  <si>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</si>
  <si>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</si>
  <si>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</si>
  <si>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</si>
  <si>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</si>
  <si>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</si>
  <si>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</si>
  <si>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</si>
  <si>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</si>
  <si>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</si>
  <si>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</si>
  <si>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</si>
  <si>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</si>
  <si>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</si>
  <si>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</si>
  <si>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</si>
  <si>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</si>
  <si>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</si>
  <si>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</si>
  <si>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</si>
  <si>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</si>
  <si>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</si>
  <si>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</si>
  <si>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</si>
  <si>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</si>
  <si>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</si>
  <si>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</si>
  <si>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</si>
  <si>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</si>
  <si>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</si>
  <si>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</si>
  <si>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</si>
  <si>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</si>
  <si>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</si>
  <si>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</si>
  <si>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</si>
  <si>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</si>
  <si>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</si>
  <si>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</si>
  <si>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</si>
  <si>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</si>
  <si>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</si>
  <si>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</si>
  <si>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</si>
  <si>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</si>
  <si>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</si>
  <si>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</si>
  <si>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</si>
  <si>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</si>
  <si>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</si>
  <si>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</si>
  <si>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</si>
  <si>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</si>
  <si>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</si>
  <si>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</si>
  <si>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</si>
  <si>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</si>
  <si>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</si>
  <si>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</si>
  <si>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</si>
  <si>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</si>
  <si>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</si>
  <si>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</si>
  <si>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</si>
  <si>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</si>
  <si>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</si>
  <si>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</si>
  <si>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</si>
  <si>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</si>
  <si>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</si>
  <si>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</si>
  <si>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</si>
  <si>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</si>
  <si>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</si>
  <si>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</si>
  <si>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</si>
  <si>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</si>
  <si>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</si>
  <si>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</si>
  <si>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</si>
  <si>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</si>
  <si>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</si>
  <si>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</si>
  <si>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</si>
  <si>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</si>
  <si>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</si>
  <si>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</si>
  <si>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</si>
  <si>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</si>
  <si>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</si>
  <si>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</si>
  <si>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</si>
  <si>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</si>
  <si>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</si>
  <si>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</si>
  <si>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</si>
  <si>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</si>
  <si>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</si>
  <si>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</si>
  <si>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</si>
  <si>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</si>
  <si>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</si>
  <si>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</si>
  <si>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</si>
  <si>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</si>
  <si>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</si>
  <si>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</si>
  <si>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</si>
  <si>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</si>
  <si>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</si>
  <si>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</si>
  <si>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</si>
  <si>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</si>
  <si>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</si>
  <si>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</si>
  <si>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</si>
  <si>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</si>
  <si>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</si>
  <si>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</si>
  <si>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</si>
  <si>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</si>
  <si>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</si>
  <si>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</si>
  <si>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</si>
  <si>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</si>
  <si>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</si>
  <si>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</si>
  <si>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</si>
  <si>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</si>
  <si>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</si>
  <si>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</si>
  <si>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</si>
  <si>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</si>
  <si>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</si>
  <si>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</si>
  <si>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</si>
  <si>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</si>
  <si>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</si>
  <si>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</si>
  <si>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</si>
  <si>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</si>
  <si>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</si>
  <si>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</si>
  <si>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</si>
  <si>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</si>
  <si>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</si>
  <si>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</si>
  <si>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</si>
  <si>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</si>
  <si>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</si>
  <si>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</si>
  <si>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</si>
  <si>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</si>
  <si>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</si>
  <si>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</si>
  <si>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</si>
  <si>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</si>
  <si>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</si>
  <si>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</si>
  <si>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</si>
  <si>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</si>
  <si>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</si>
  <si>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</si>
  <si>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</si>
  <si>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</si>
  <si>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</si>
  <si>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</si>
  <si>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</si>
  <si>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</si>
  <si>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</si>
  <si>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</si>
  <si>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</si>
  <si>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</si>
  <si>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</si>
  <si>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</si>
  <si>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</si>
  <si>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</si>
  <si>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</si>
  <si>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</si>
  <si>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</si>
  <si>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</si>
  <si>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</si>
  <si>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</si>
  <si>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</si>
  <si>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</si>
  <si>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</si>
  <si>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</si>
  <si>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</si>
  <si>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</si>
  <si>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</si>
  <si>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</si>
  <si>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</si>
  <si>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</si>
  <si>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</si>
  <si>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</si>
  <si>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</si>
  <si>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</si>
  <si>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</si>
  <si>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</si>
  <si>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</si>
  <si>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</si>
  <si>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</si>
  <si>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</si>
  <si>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</si>
  <si>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</si>
  <si>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</si>
  <si>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</si>
  <si>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</si>
  <si>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</si>
  <si>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</si>
  <si>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</si>
  <si>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</si>
  <si>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</si>
  <si>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</si>
  <si>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</si>
  <si>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</si>
  <si>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</si>
  <si>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</si>
  <si>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</si>
  <si>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</si>
  <si>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</si>
  <si>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</si>
  <si>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</si>
  <si>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</si>
  <si>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</si>
  <si>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</si>
  <si>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</si>
  <si>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</si>
  <si>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</si>
  <si>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</si>
  <si>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</si>
  <si>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</si>
  <si>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</si>
  <si>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</si>
  <si>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</si>
  <si>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</si>
  <si>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</si>
  <si>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</si>
  <si>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</si>
  <si>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</si>
  <si>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</si>
  <si>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</si>
  <si>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</si>
  <si>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</si>
  <si>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</si>
  <si>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</si>
  <si>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</si>
  <si>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</si>
  <si>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</si>
  <si>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</si>
  <si>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</si>
  <si>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</si>
  <si>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</si>
  <si>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</si>
  <si>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</si>
  <si>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</si>
  <si>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</si>
  <si>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</si>
  <si>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</si>
  <si>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</si>
  <si>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</si>
  <si>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</si>
  <si>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</si>
  <si>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</si>
  <si>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</si>
  <si>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</si>
  <si>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</si>
  <si>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</si>
  <si>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</si>
  <si>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</si>
  <si>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</si>
  <si>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</si>
  <si>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</si>
  <si>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</si>
  <si>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</si>
  <si>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</si>
  <si>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</si>
  <si>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</si>
  <si>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</si>
  <si>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</si>
  <si>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</si>
  <si>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</si>
  <si>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</si>
  <si>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</si>
  <si>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</si>
  <si>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</si>
  <si>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</si>
  <si>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</si>
  <si>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</si>
  <si>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</si>
  <si>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</si>
  <si>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</si>
  <si>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</si>
  <si>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</si>
  <si>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</si>
  <si>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</si>
  <si>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</si>
  <si>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</si>
  <si>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</si>
  <si>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</si>
  <si>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</si>
  <si>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</si>
  <si>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</si>
  <si>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</si>
  <si>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</si>
  <si>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</si>
  <si>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</si>
  <si>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</si>
  <si>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</si>
  <si>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</si>
  <si>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</si>
  <si>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</si>
  <si>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</si>
  <si>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</si>
  <si>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</si>
  <si>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</si>
  <si>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</si>
  <si>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</si>
  <si>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</si>
  <si>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</si>
  <si>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</si>
  <si>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</si>
  <si>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</si>
  <si>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</si>
  <si>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</si>
  <si>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</si>
  <si>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</si>
  <si>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</si>
  <si>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</si>
  <si>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</si>
  <si>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</si>
  <si>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</si>
  <si>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</si>
  <si>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</si>
  <si>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</si>
  <si>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</si>
  <si>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</si>
  <si>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</si>
  <si>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</si>
  <si>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</si>
  <si>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</si>
  <si>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</si>
  <si>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</si>
  <si>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</si>
  <si>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</si>
  <si>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</si>
  <si>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</si>
  <si>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</si>
  <si>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</si>
  <si>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</si>
  <si>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</si>
  <si>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</si>
  <si>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</si>
  <si>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</si>
  <si>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</si>
  <si>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</si>
  <si>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</si>
  <si>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</si>
  <si>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</si>
  <si>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</si>
  <si>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</si>
  <si>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</si>
  <si>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</si>
  <si>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</si>
  <si>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</si>
  <si>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</si>
  <si>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</si>
  <si>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</si>
  <si>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</si>
  <si>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</si>
  <si>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</si>
  <si>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</si>
  <si>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</si>
  <si>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</si>
  <si>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</si>
  <si>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</si>
  <si>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</si>
  <si>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</si>
  <si>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</si>
  <si>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</si>
  <si>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</si>
  <si>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</si>
  <si>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</si>
  <si>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</si>
  <si>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</si>
  <si>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</si>
  <si>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</si>
  <si>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</si>
  <si>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</si>
  <si>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</si>
  <si>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</si>
  <si>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</si>
  <si>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</si>
  <si>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</si>
  <si>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</si>
  <si>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</si>
  <si>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</si>
  <si>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</si>
  <si>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</si>
  <si>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</si>
  <si>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</si>
  <si>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</si>
  <si>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</si>
  <si>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</si>
  <si>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</si>
  <si>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</si>
  <si>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</si>
  <si>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</si>
  <si>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</si>
  <si>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</si>
  <si>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</si>
  <si>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</si>
  <si>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</si>
  <si>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</si>
  <si>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</si>
  <si>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</si>
  <si>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</si>
  <si>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</si>
  <si>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</si>
  <si>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</si>
  <si>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</si>
  <si>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</si>
  <si>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</si>
  <si>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</si>
  <si>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</si>
  <si>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</si>
  <si>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</si>
  <si>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</si>
  <si>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</si>
  <si>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</si>
  <si>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</si>
  <si>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</si>
  <si>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</si>
  <si>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</si>
  <si>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</si>
  <si>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</si>
  <si>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</si>
  <si>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</si>
  <si>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</si>
  <si>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</si>
  <si>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</si>
  <si>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</si>
  <si>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</si>
  <si>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</si>
  <si>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</si>
  <si>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</si>
  <si>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</si>
  <si>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</si>
  <si>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</si>
  <si>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</si>
  <si>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</si>
  <si>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</si>
  <si>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</si>
  <si>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</si>
  <si>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</si>
  <si>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</si>
  <si>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</si>
  <si>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</si>
  <si>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</si>
  <si>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</si>
  <si>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</si>
  <si>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</si>
  <si>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</si>
  <si>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</si>
  <si>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</si>
  <si>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</si>
  <si>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</si>
  <si>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</si>
  <si>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</si>
  <si>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</si>
  <si>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</si>
  <si>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</si>
  <si>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</si>
  <si>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</si>
  <si>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</si>
  <si>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</si>
  <si>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</si>
  <si>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</si>
  <si>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</si>
  <si>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</si>
  <si>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</si>
  <si>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</si>
  <si>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</si>
  <si>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</si>
  <si>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</si>
  <si>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</si>
  <si>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</si>
  <si>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</si>
  <si>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</si>
  <si>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</si>
  <si>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</si>
  <si>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</si>
  <si>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</si>
  <si>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</si>
  <si>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</si>
  <si>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</si>
  <si>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</si>
  <si>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</si>
  <si>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</si>
  <si>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</si>
  <si>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</si>
  <si>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</si>
  <si>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</si>
  <si>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</si>
  <si>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</si>
  <si>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</si>
  <si>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</si>
  <si>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</si>
  <si>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</si>
  <si>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</si>
  <si>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</si>
  <si>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</si>
  <si>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</si>
  <si>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</si>
  <si>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</si>
  <si>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</si>
  <si>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</si>
  <si>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</si>
  <si>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</si>
  <si>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</si>
  <si>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</si>
  <si>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</si>
  <si>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</si>
  <si>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</si>
  <si>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</si>
  <si>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</si>
  <si>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</si>
  <si>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</si>
  <si>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</si>
  <si>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</si>
  <si>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</si>
  <si>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</si>
  <si>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</si>
  <si>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</si>
  <si>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</si>
  <si>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</si>
  <si>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</si>
  <si>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</si>
  <si>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</si>
  <si>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</si>
  <si>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</si>
  <si>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</si>
  <si>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</si>
  <si>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</si>
  <si>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</si>
  <si>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</si>
  <si>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</si>
  <si>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</si>
  <si>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</si>
  <si>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</si>
  <si>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</si>
  <si>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</si>
  <si>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</si>
  <si>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</si>
  <si>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</si>
  <si>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</si>
  <si>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</si>
  <si>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</si>
  <si>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</si>
  <si>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</si>
  <si>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</si>
  <si>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</si>
  <si>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</si>
  <si>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</si>
  <si>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</si>
  <si>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</si>
  <si>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</si>
  <si>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</si>
  <si>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</si>
  <si>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</si>
  <si>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</si>
  <si>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</si>
  <si>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</si>
  <si>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</si>
  <si>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</si>
  <si>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</si>
  <si>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</si>
  <si>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</si>
  <si>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</si>
  <si>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</si>
  <si>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</si>
  <si>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</si>
  <si>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</si>
  <si>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</si>
  <si>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</si>
  <si>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</si>
  <si>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</si>
  <si>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</si>
  <si>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</si>
  <si>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</si>
  <si>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</si>
  <si>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</si>
  <si>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</si>
  <si>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</si>
  <si>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</si>
  <si>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</si>
  <si>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</si>
  <si>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</si>
  <si>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</si>
  <si>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</si>
  <si>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</si>
  <si>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</si>
  <si>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</si>
  <si>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</si>
  <si>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</si>
  <si>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</si>
  <si>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</si>
  <si>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</si>
  <si>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</si>
  <si>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</si>
  <si>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</si>
  <si>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</si>
  <si>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</si>
  <si>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</si>
  <si>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</si>
  <si>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</si>
  <si>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</si>
  <si>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</si>
  <si>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</si>
  <si>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</si>
  <si>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</si>
  <si>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</si>
  <si>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</si>
  <si>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</si>
  <si>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</si>
  <si>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</si>
  <si>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</si>
  <si>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</si>
  <si>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</si>
  <si>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</si>
  <si>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</si>
  <si>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</si>
  <si>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</si>
  <si>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</si>
  <si>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</si>
  <si>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</si>
  <si>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</si>
  <si>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</si>
  <si>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</si>
  <si>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</si>
  <si>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</si>
  <si>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</si>
  <si>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</si>
  <si>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</si>
  <si>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</si>
  <si>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</si>
  <si>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</si>
  <si>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</si>
  <si>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</si>
  <si>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</si>
  <si>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</si>
  <si>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</si>
  <si>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</si>
  <si>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</si>
  <si>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</si>
  <si>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</si>
  <si>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</si>
  <si>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</si>
  <si>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</si>
  <si>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</si>
  <si>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</si>
  <si>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</si>
  <si>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</si>
  <si>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</si>
  <si>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</si>
  <si>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</si>
  <si>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</si>
  <si>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</si>
  <si>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</si>
  <si>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</si>
  <si>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</si>
  <si>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</si>
  <si>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</si>
  <si>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</si>
  <si>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</si>
  <si>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</si>
  <si>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</si>
  <si>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</si>
  <si>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</si>
  <si>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</si>
  <si>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</si>
  <si>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</si>
  <si>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</si>
  <si>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</si>
  <si>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</si>
  <si>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</si>
  <si>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</si>
  <si>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</si>
  <si>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</si>
  <si>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</si>
  <si>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</si>
  <si>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</si>
  <si>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</si>
  <si>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</si>
  <si>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</si>
  <si>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</si>
  <si>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</si>
  <si>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</si>
  <si>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</si>
  <si>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</si>
  <si>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</si>
  <si>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</si>
  <si>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</si>
  <si>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</si>
  <si>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</si>
  <si>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</si>
  <si>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</si>
  <si>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</si>
  <si>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</si>
  <si>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</si>
  <si>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</si>
  <si>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</si>
  <si>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</si>
  <si>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</si>
  <si>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</si>
  <si>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</si>
  <si>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</si>
  <si>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</si>
  <si>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</si>
  <si>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</si>
  <si>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</si>
  <si>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</si>
  <si>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</si>
  <si>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</si>
  <si>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</si>
  <si>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</si>
  <si>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</si>
  <si>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</si>
  <si>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</si>
  <si>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</si>
  <si>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</si>
  <si>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</si>
  <si>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</si>
  <si>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</si>
  <si>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</si>
  <si>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</si>
  <si>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</si>
  <si>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</si>
  <si>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</si>
  <si>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</si>
  <si>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</si>
  <si>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</si>
  <si>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</si>
  <si>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</si>
  <si>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</si>
  <si>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</si>
  <si>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</si>
  <si>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</si>
  <si>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</si>
  <si>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</si>
  <si>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</si>
  <si>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</si>
  <si>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</si>
  <si>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</si>
  <si>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</si>
  <si>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</si>
  <si>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</si>
  <si>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</si>
  <si>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</si>
  <si>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</si>
  <si>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</si>
  <si>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</si>
  <si>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</si>
  <si>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</si>
  <si>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</si>
  <si>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</si>
  <si>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</si>
  <si>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</si>
  <si>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</si>
  <si>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</si>
  <si>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</si>
  <si>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</si>
  <si>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</si>
  <si>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</si>
  <si>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</si>
  <si>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</si>
  <si>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</si>
  <si>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</si>
  <si>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</si>
  <si>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</si>
  <si>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</si>
  <si>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</si>
  <si>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</si>
  <si>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</si>
  <si>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</si>
  <si>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</si>
  <si>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</si>
  <si>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</si>
  <si>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</si>
  <si>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</si>
  <si>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</si>
  <si>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</si>
  <si>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</si>
  <si>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</si>
  <si>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</si>
  <si>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</si>
  <si>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</si>
  <si>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</si>
  <si>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</si>
  <si>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</si>
  <si>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</si>
  <si>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</si>
  <si>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</si>
  <si>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</si>
  <si>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</si>
  <si>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</si>
  <si>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</si>
  <si>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</si>
  <si>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</si>
  <si>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</si>
  <si>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</si>
  <si>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</si>
  <si>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</si>
  <si>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</si>
  <si>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</si>
  <si>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</si>
  <si>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</si>
  <si>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</si>
  <si>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</si>
  <si>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</si>
  <si>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</si>
  <si>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</si>
  <si>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</si>
  <si>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</si>
  <si>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</si>
  <si>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</si>
  <si>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</si>
  <si>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</si>
  <si>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</si>
  <si>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</si>
  <si>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</si>
  <si>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</si>
  <si>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</si>
  <si>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</si>
  <si>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</si>
  <si>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</si>
  <si>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</si>
  <si>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</si>
  <si>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</si>
  <si>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</si>
  <si>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</si>
  <si>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</si>
  <si>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</si>
  <si>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</si>
  <si>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</si>
  <si>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</si>
  <si>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</si>
  <si>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</si>
  <si>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</si>
  <si>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</si>
  <si>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</si>
  <si>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</si>
  <si>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</si>
  <si>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</si>
  <si>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</si>
  <si>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</si>
  <si>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</si>
  <si>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</si>
  <si>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</si>
  <si>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</si>
  <si>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</si>
  <si>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</si>
  <si>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</si>
  <si>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</si>
  <si>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</si>
  <si>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</si>
  <si>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</si>
  <si>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</si>
  <si>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</si>
  <si>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</si>
  <si>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</si>
  <si>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</si>
  <si>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</si>
  <si>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</si>
  <si>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</si>
  <si>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</si>
  <si>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</si>
  <si>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</si>
  <si>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</si>
  <si>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</si>
  <si>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</si>
  <si>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</si>
  <si>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</si>
  <si>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</si>
  <si>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</si>
  <si>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</si>
  <si>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</si>
  <si>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</si>
  <si>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</si>
  <si>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</si>
  <si>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</si>
  <si>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</si>
  <si>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</si>
  <si>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</si>
  <si>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</si>
  <si>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</si>
  <si>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</si>
  <si>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</si>
  <si>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</si>
  <si>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</si>
  <si>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</si>
  <si>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</si>
  <si>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</si>
  <si>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</si>
  <si>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</si>
  <si>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</si>
  <si>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</si>
  <si>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</si>
  <si>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</si>
  <si>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</si>
  <si>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</si>
  <si>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</si>
  <si>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</si>
  <si>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</si>
  <si>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</si>
  <si>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</si>
  <si>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</si>
  <si>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</si>
  <si>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</si>
  <si>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</si>
  <si>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</si>
  <si>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</si>
  <si>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</si>
  <si>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</si>
  <si>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</si>
  <si>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</si>
  <si>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</si>
  <si>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</si>
  <si>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</si>
  <si>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</si>
  <si>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</si>
  <si>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</si>
  <si>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</si>
  <si>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</si>
  <si>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</si>
  <si>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</si>
  <si>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</si>
  <si>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</si>
  <si>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</si>
  <si>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</si>
  <si>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</si>
  <si>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</si>
  <si>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</si>
  <si>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</si>
  <si>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</si>
  <si>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</si>
  <si>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</si>
  <si>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</si>
  <si>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</si>
  <si>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</si>
  <si>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</si>
  <si>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</si>
  <si>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</si>
  <si>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</si>
  <si>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</si>
  <si>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</si>
  <si>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</si>
  <si>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</si>
  <si>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</si>
  <si>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</si>
  <si>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</si>
  <si>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</si>
  <si>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</si>
  <si>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</si>
  <si>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</si>
  <si>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</si>
  <si>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</si>
  <si>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</si>
  <si>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</si>
  <si>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</si>
  <si>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</si>
  <si>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</si>
  <si>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</si>
  <si>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</si>
  <si>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</si>
  <si>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</si>
  <si>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</si>
  <si>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</si>
  <si>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</si>
  <si>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</si>
  <si>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</si>
  <si>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</si>
  <si>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</si>
  <si>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</si>
  <si>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</si>
  <si>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</si>
  <si>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</si>
  <si>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</si>
  <si>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</si>
  <si>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</si>
  <si>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</si>
  <si>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</si>
  <si>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</si>
  <si>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</si>
  <si>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</si>
  <si>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</si>
  <si>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</si>
  <si>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</si>
  <si>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</si>
  <si>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</si>
  <si>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</si>
  <si>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</si>
  <si>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</si>
  <si>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</si>
  <si>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</si>
  <si>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</si>
  <si>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</si>
  <si>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</si>
  <si>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</si>
  <si>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</si>
  <si>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</si>
  <si>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</si>
  <si>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</si>
  <si>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</si>
  <si>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</si>
  <si>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</si>
  <si>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</si>
  <si>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</si>
  <si>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</si>
  <si>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</si>
  <si>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</si>
  <si>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</si>
  <si>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</si>
  <si>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</si>
  <si>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</si>
  <si>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</si>
  <si>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</si>
  <si>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</si>
  <si>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</si>
  <si>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</si>
  <si>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</si>
  <si>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</si>
  <si>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</si>
  <si>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</si>
  <si>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</si>
  <si>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</si>
  <si>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</si>
  <si>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</si>
  <si>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</si>
  <si>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</si>
  <si>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</si>
  <si>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</si>
  <si>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</si>
  <si>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</si>
  <si>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</si>
  <si>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</si>
  <si>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</si>
  <si>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</si>
  <si>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</si>
  <si>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</si>
  <si>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</si>
  <si>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</si>
  <si>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</si>
  <si>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</si>
  <si>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</si>
  <si>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</si>
  <si>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</si>
  <si>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</si>
  <si>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</si>
  <si>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</si>
  <si>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</si>
  <si>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</si>
  <si>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</si>
  <si>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</si>
  <si>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</si>
  <si>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</si>
  <si>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</si>
  <si>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</si>
  <si>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</si>
  <si>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</si>
  <si>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</si>
  <si>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</si>
  <si>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</si>
  <si>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</si>
  <si>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</si>
  <si>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</si>
  <si>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</si>
  <si>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</si>
  <si>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</si>
  <si>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</si>
  <si>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</si>
  <si>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</si>
  <si>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</si>
  <si>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</si>
  <si>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</si>
  <si>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</si>
  <si>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</si>
  <si>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</si>
  <si>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</si>
  <si>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</si>
  <si>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</si>
  <si>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</si>
  <si>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</si>
  <si>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</si>
  <si>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</si>
  <si>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</si>
  <si>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</si>
  <si>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</si>
  <si>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</si>
  <si>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</si>
  <si>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</si>
  <si>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</si>
  <si>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</si>
  <si>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</si>
  <si>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</si>
  <si>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</si>
  <si>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</si>
  <si>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</si>
  <si>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</si>
  <si>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</si>
  <si>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</si>
  <si>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</si>
  <si>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</si>
  <si>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</si>
  <si>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</si>
  <si>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</si>
  <si>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</si>
  <si>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</si>
  <si>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</si>
  <si>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</si>
  <si>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</si>
  <si>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</si>
  <si>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</si>
  <si>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</si>
  <si>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</si>
  <si>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</si>
  <si>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</si>
  <si>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</si>
  <si>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</si>
  <si>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</si>
  <si>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</si>
  <si>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</si>
  <si>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</si>
  <si>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</si>
  <si>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</si>
  <si>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</si>
  <si>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</si>
  <si>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</si>
  <si>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</si>
  <si>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</si>
  <si>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</si>
  <si>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</si>
  <si>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</si>
  <si>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</si>
  <si>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</si>
  <si>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</si>
  <si>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</si>
  <si>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</si>
  <si>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</si>
  <si>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</si>
  <si>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</si>
  <si>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</si>
  <si>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</si>
  <si>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</si>
  <si>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</si>
  <si>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</si>
  <si>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</si>
  <si>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</si>
  <si>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</si>
  <si>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</si>
  <si>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</si>
  <si>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</si>
  <si>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</si>
  <si>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</si>
  <si>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</si>
  <si>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</si>
  <si>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</si>
  <si>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</si>
  <si>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</si>
  <si>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</si>
  <si>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</si>
  <si>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</si>
  <si>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</si>
  <si>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</si>
  <si>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</si>
  <si>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</si>
  <si>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</si>
  <si>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</si>
  <si>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</si>
  <si>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</si>
  <si>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</si>
  <si>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</si>
  <si>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</si>
  <si>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</si>
  <si>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</si>
  <si>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</si>
  <si>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</si>
  <si>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</si>
  <si>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</si>
  <si>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</si>
  <si>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</si>
  <si>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</si>
  <si>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</si>
  <si>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</si>
  <si>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</si>
  <si>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</si>
  <si>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</si>
  <si>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</si>
  <si>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</si>
  <si>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</si>
  <si>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</si>
  <si>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</si>
  <si>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</si>
  <si>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</si>
  <si>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  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</si>
  <si>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</si>
  <si>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</si>
  <si>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</si>
  <si>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</si>
  <si>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</si>
  <si>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</si>
  <si>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</si>
  <si>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</si>
  <si>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</si>
  <si>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</si>
  <si>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</si>
  <si>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</si>
  <si>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</si>
  <si>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</si>
  <si>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</si>
  <si>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</si>
  <si>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</si>
  <si>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</si>
  <si>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</si>
  <si>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</si>
  <si>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</si>
  <si>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</si>
  <si>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</si>
  <si>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</si>
  <si>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</si>
  <si>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</si>
  <si>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</si>
  <si>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</si>
  <si>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</si>
  <si>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</si>
  <si>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</si>
  <si>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</si>
  <si>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</si>
  <si>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</si>
  <si>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</si>
  <si>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</si>
  <si>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</si>
  <si>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Totals:</t>
  </si>
  <si>
    <t>Accuracy Comparison: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</si>
</sst>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399945066682943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0" fontId="1" fillId="2" borderId="1" xfId="0" applyFont="1" applyFill="1" applyBorder="1"/>
    <xf numFmtId="0" fontId="0" fillId="0" borderId="1" xfId="0" applyBorder="1"/>
    <xf numFmtId="165" fontId="0" fillId="0" borderId="1" xfId="0" applyNumberFormat="1" applyBorder="1"/>
    <xf numFmtId="3" fontId="1" fillId="0" borderId="0" xfId="0" applyNumberFormat="1" applyFont="1"/>
    <xf numFmtId="3" fontId="0" fillId="0" borderId="0" xfId="0" applyNumberFormat="1"/>
    <xf numFmtId="165" fontId="1" fillId="0" borderId="0" xfId="0" applyNumberFormat="1" applyFont="1"/>
    <xf numFmtId="165" fontId="1" fillId="3" borderId="1" xfId="0" applyNumberFormat="1" applyFont="1" applyFill="1" applyBorder="1"/>
    <xf numFmtId="0" fontId="1" fillId="3" borderId="1" xfId="0" applyFont="1" applyFill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12"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D57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B-4349-93AC-EFA81E0B20FF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CB-4349-93AC-EFA81E0B20FF}"/>
            </c:ext>
          </c:extLst>
        </c:ser>
        <c:ser>
          <c:idx val="5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CB-4349-93AC-EFA81E0B20FF}"/>
            </c:ext>
          </c:extLst>
        </c:ser>
        <c:ser>
          <c:idx val="6"/>
          <c:order val="3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CB-4349-93AC-EFA81E0B2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3863583"/>
        <c:axId val="843508751"/>
      </c:lineChart>
      <c:catAx>
        <c:axId val="843863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508751"/>
        <c:crosses val="autoZero"/>
        <c:auto val="1"/>
        <c:lblAlgn val="ctr"/>
        <c:lblOffset val="100"/>
        <c:noMultiLvlLbl val="0"/>
      </c:catAx>
      <c:valAx>
        <c:axId val="84350875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86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[Kickstarter_Challenge_LM.xlsx]Theater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F-924B-A85C-C44D8D391B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7F-924B-A85C-C44D8D391B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7F-924B-A85C-C44D8D391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784687"/>
        <c:axId val="1105864447"/>
      </c:lineChart>
      <c:catAx>
        <c:axId val="109278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64447"/>
        <c:crosses val="autoZero"/>
        <c:auto val="1"/>
        <c:lblAlgn val="ctr"/>
        <c:lblOffset val="100"/>
        <c:noMultiLvlLbl val="0"/>
      </c:catAx>
      <c:valAx>
        <c:axId val="110586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78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[Kickstarter_Challenge_LM.xlsx]Category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D57C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F-674D-8EA1-7A737200780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7-C04E-8327-D8A83C5EAA0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D57C7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7-C04E-8327-D8A83C5EAA0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B7-C04E-8327-D8A83C5E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4736975"/>
        <c:axId val="2140344431"/>
      </c:barChart>
      <c:catAx>
        <c:axId val="211473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344431"/>
        <c:crosses val="autoZero"/>
        <c:auto val="1"/>
        <c:lblAlgn val="ctr"/>
        <c:lblOffset val="100"/>
        <c:noMultiLvlLbl val="0"/>
      </c:catAx>
      <c:valAx>
        <c:axId val="214034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73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[Kickstarter_Challenge_LM.xlsx]Subcategory Statistics (thtr)!PivotTable8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D57C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(thtr)'!$B$4:$B$5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Statistics (thtr)'!$A$6:$A$7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(thtr)'!$B$6:$B$7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2-BE42-A51B-02519F2C2939}"/>
            </c:ext>
          </c:extLst>
        </c:ser>
        <c:ser>
          <c:idx val="1"/>
          <c:order val="1"/>
          <c:tx>
            <c:strRef>
              <c:f>'Subcategory Statistics (thtr)'!$C$4:$C$5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D57C7"/>
            </a:solidFill>
            <a:ln>
              <a:noFill/>
            </a:ln>
            <a:effectLst/>
          </c:spPr>
          <c:invertIfNegative val="0"/>
          <c:cat>
            <c:strRef>
              <c:f>'Subcategory Statistics (thtr)'!$A$6:$A$7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(thtr)'!$C$6:$C$7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EC-C047-8AFD-37BE53F2D606}"/>
            </c:ext>
          </c:extLst>
        </c:ser>
        <c:ser>
          <c:idx val="2"/>
          <c:order val="2"/>
          <c:tx>
            <c:strRef>
              <c:f>'Subcategory Statistics (thtr)'!$D$4:$D$5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 (thtr)'!$A$6:$A$7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(thtr)'!$D$6:$D$7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EC-C047-8AFD-37BE53F2D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0391247"/>
        <c:axId val="2057637839"/>
      </c:barChart>
      <c:catAx>
        <c:axId val="214039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637839"/>
        <c:crosses val="autoZero"/>
        <c:auto val="1"/>
        <c:lblAlgn val="ctr"/>
        <c:lblOffset val="100"/>
        <c:noMultiLvlLbl val="0"/>
      </c:catAx>
      <c:valAx>
        <c:axId val="205763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39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Central Tendency 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 vs. Pledged</a:t>
            </a:r>
          </a:p>
        </cx:rich>
      </cx:tx>
    </cx:title>
    <cx:plotArea>
      <cx:plotAreaRegion>
        <cx:series layoutId="boxWhisker" uniqueId="{0EFDDE97-1B23-8B49-9E20-AA09C7E5469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A8B353-A88C-AD4D-B8CD-DAA93CEC24F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3C14D4-E002-F64F-A1EA-4C6C9BD3D48E}">
  <sheetPr codeName="Chart11"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80818</xdr:colOff>
      <xdr:row>16</xdr:row>
      <xdr:rowOff>54648</xdr:rowOff>
    </xdr:from>
    <xdr:to>
      <xdr:col>11</xdr:col>
      <xdr:colOff>123151</xdr:colOff>
      <xdr:row>41</xdr:row>
      <xdr:rowOff>80048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C0911-2716-F34B-81B8-588CADD10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1181100</xdr:colOff>
      <xdr:row>2</xdr:row>
      <xdr:rowOff>177800</xdr:rowOff>
    </xdr:from>
    <xdr:to>
      <xdr:col>14</xdr:col>
      <xdr:colOff>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A440B-91C2-6D43-94AC-9FE50FF17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18</xdr:col>
      <xdr:colOff>38100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7410F-EE80-2649-BD26-0C4E37F96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377371</xdr:colOff>
      <xdr:row>2</xdr:row>
      <xdr:rowOff>146957</xdr:rowOff>
    </xdr:from>
    <xdr:to>
      <xdr:col>20</xdr:col>
      <xdr:colOff>72571</xdr:colOff>
      <xdr:row>45</xdr:row>
      <xdr:rowOff>134257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17857-66B1-AA48-B1E0-F77FAAF7B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49419A-E615-F642-B5FD-22C6C0F224C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251C380-A497-A043-A032-3EF18AA64B1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Murphy" refreshedDate="44443.459645254632" createdVersion="7" refreshedVersion="7" minRefreshableVersion="3" recordCount="4114" xr:uid="{11244048-1BE4-4840-8786-5DA7D39724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Murphy" refreshedDate="44444.706522222223" createdVersion="7" refreshedVersion="7" minRefreshableVersion="3" recordCount="4115" xr:uid="{2B62B55B-E9B5-B142-AE9A-1133B48BA8D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Blank="1" containsMixedTypes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Date="1" containsBlank="1" containsMixedTypes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s v="   "/>
    <n v="1406713041"/>
    <b v="0"/>
    <n v="12"/>
    <b v="1"/>
    <s v="theater/plays"/>
    <n v="100"/>
    <n v="1000"/>
    <x v="1"/>
    <s v="plays"/>
    <x v="525"/>
    <e v="#VALUE!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x v="445"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8AE61-D352-F845-ACF8-E5660E3CB6D2}" name="PivotTable1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5D967-8B96-3C4E-82F6-14195A922F42}" name="PivotTable7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459E1-78FE-BC45-AC21-BBF01D3B7857}" name="PivotTable8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Normal="100" workbookViewId="0">
      <selection activeCell="H12" sqref="H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9" bestFit="1" customWidth="1"/>
    <col min="16" max="16" width="15" bestFit="1" customWidth="1"/>
    <col min="17" max="17" width="13.5" bestFit="1" customWidth="1"/>
    <col min="18" max="18" width="14.5" bestFit="1" customWidth="1"/>
    <col min="19" max="19" width="26.3320312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5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t="s">
        <v>8380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 t="e">
        <f t="shared" si="43"/>
        <v>#VALUE!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1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"successful"</formula>
    </cfRule>
    <cfRule type="cellIs" dxfId="9" priority="5" operator="equal">
      <formula>"failed"</formula>
    </cfRule>
    <cfRule type="cellIs" dxfId="8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C0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AAFEC-3529-194E-894F-C8401DA050B4}">
  <sheetPr codeName="Sheet2"/>
  <dimension ref="A1:H16"/>
  <sheetViews>
    <sheetView zoomScale="110" zoomScaleNormal="110" workbookViewId="0">
      <selection activeCell="N24" sqref="N24"/>
    </sheetView>
  </sheetViews>
  <sheetFormatPr baseColWidth="10" defaultRowHeight="15" x14ac:dyDescent="0.2"/>
  <cols>
    <col min="1" max="1" width="19.33203125" style="18" bestFit="1" customWidth="1"/>
    <col min="2" max="2" width="15.33203125" bestFit="1" customWidth="1"/>
    <col min="3" max="3" width="12.6640625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25" t="s">
        <v>8382</v>
      </c>
      <c r="B1" s="26" t="s">
        <v>8399</v>
      </c>
      <c r="C1" s="26" t="s">
        <v>8400</v>
      </c>
      <c r="D1" s="26" t="s">
        <v>8401</v>
      </c>
      <c r="E1" s="26" t="s">
        <v>8402</v>
      </c>
      <c r="F1" s="26" t="s">
        <v>8403</v>
      </c>
      <c r="G1" s="26" t="s">
        <v>8404</v>
      </c>
      <c r="H1" s="26" t="s">
        <v>8405</v>
      </c>
    </row>
    <row r="2" spans="1:8" x14ac:dyDescent="0.2">
      <c r="A2" s="21" t="s">
        <v>8406</v>
      </c>
      <c r="B2" s="20">
        <f>COUNTIFS(Kickstarter!D:D,"&lt;1000",Kickstarter!F:F,"successful", Kickstarter!R:R, "plays")</f>
        <v>141</v>
      </c>
      <c r="C2" s="20">
        <f>COUNTIFS(Kickstarter!D:D, "&lt;1000", Kickstarter!F:F, "failed", Kickstarter!R:R, "plays")</f>
        <v>45</v>
      </c>
      <c r="D2" s="20">
        <f>COUNTIFS(Kickstarter!D:D, "&lt;1000", Kickstarter!F:F, "canceled", Kickstarter!R:R, "plays")</f>
        <v>0</v>
      </c>
      <c r="E2" s="20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">
      <c r="A3" s="21" t="s">
        <v>8407</v>
      </c>
      <c r="B3" s="20">
        <f>COUNTIFS(Kickstarter!D:D, "&gt;=1000", Kickstarter!F:F, "successful", Kickstarter!D:D, "&lt;=4999", Kickstarter!R:R, "plays")</f>
        <v>388</v>
      </c>
      <c r="C3" s="20">
        <f>COUNTIFS(Kickstarter!D:D, "&gt;=1000", Kickstarter!F:F, "failed", Kickstarter!D:D, "&lt;=4999", Kickstarter!R:R, "plays")</f>
        <v>146</v>
      </c>
      <c r="D3" s="20">
        <f>COUNTIFS(Kickstarter!D:D, "&gt;=1000", Kickstarter!F:F, "canceled", Kickstarter!D:D, "&lt;=4999", Kickstarter!R:R, "plays")</f>
        <v>0</v>
      </c>
      <c r="E3" s="20">
        <f t="shared" ref="E3:E16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ROUND(D3/E3,6)</f>
        <v>0</v>
      </c>
    </row>
    <row r="4" spans="1:8" x14ac:dyDescent="0.2">
      <c r="A4" s="21" t="s">
        <v>8408</v>
      </c>
      <c r="B4" s="20">
        <f>COUNTIFS(Kickstarter!D:D, "&gt;=5000", Kickstarter!F:F, "successful", Kickstarter!D:D, "&lt;=9999", Kickstarter!R:R, "plays")</f>
        <v>93</v>
      </c>
      <c r="C4" s="20">
        <f>COUNTIFS(Kickstarter!D:D, "&gt;=5000", Kickstarter!F:F, "failed", Kickstarter!D:D, "&lt;=9999", Kickstarter!R:R, "plays")</f>
        <v>76</v>
      </c>
      <c r="D4" s="20">
        <f>COUNTIFS(Kickstarter!D:D, "&gt;=5000", Kickstarter!F:F, "canceled", Kickstarter!D:D, "&lt;=9999", Kickstarter!R:R, "plays")</f>
        <v>0</v>
      </c>
      <c r="E4" s="20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">
      <c r="A5" s="21" t="s">
        <v>8409</v>
      </c>
      <c r="B5" s="20">
        <f>COUNTIFS(Kickstarter!D:D, "&gt;=10000", Kickstarter!F:F, "successful", Kickstarter!D:D, "&lt;=14999", Kickstarter!R:R, "plays")</f>
        <v>39</v>
      </c>
      <c r="C5" s="20">
        <f>COUNTIFS(Kickstarter!D:D, "&gt;=10000", Kickstarter!F:F, "failed", Kickstarter!D:D, "&lt;=14999", Kickstarter!R:R, "plays")</f>
        <v>33</v>
      </c>
      <c r="D5" s="20">
        <f>COUNTIFS(Kickstarter!D:D, "&gt;=10000", Kickstarter!F:F, "canceled", Kickstarter!D:D, "&lt;=14999", Kickstarter!R:R, "plays")</f>
        <v>0</v>
      </c>
      <c r="E5" s="20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">
      <c r="A6" s="21" t="s">
        <v>8410</v>
      </c>
      <c r="B6" s="20">
        <f>COUNTIFS(Kickstarter!D:D, "&gt;=15000", Kickstarter!F:F, "successful", Kickstarter!D:D, "&lt;=19999", Kickstarter!R:R, "plays")</f>
        <v>12</v>
      </c>
      <c r="C6" s="20">
        <f>COUNTIFS(Kickstarter!D:D, "&gt;=15000", Kickstarter!F:F, "failed", Kickstarter!D:D, "&lt;=19999", Kickstarter!R:R, "plays")</f>
        <v>12</v>
      </c>
      <c r="D6" s="20">
        <f>COUNTIFS(Kickstarter!D:D, "&gt;=15000", Kickstarter!F:F, "canceled", Kickstarter!D:D, "&lt;=19999", Kickstarter!R:R, "plays")</f>
        <v>0</v>
      </c>
      <c r="E6" s="20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">
      <c r="A7" s="21" t="s">
        <v>8411</v>
      </c>
      <c r="B7" s="20">
        <f>COUNTIFS(Kickstarter!D:D, "&gt;=20000", Kickstarter!F:F, "successful", Kickstarter!D:D, "&lt;=24999", Kickstarter!R:R, "plays")</f>
        <v>9</v>
      </c>
      <c r="C7" s="20">
        <f>COUNTIFS(Kickstarter!D:D, "&gt;=20000", Kickstarter!F:F, "failed", Kickstarter!D:D, "&lt;=24999", Kickstarter!R:R, "plays")</f>
        <v>11</v>
      </c>
      <c r="D7" s="20">
        <f>COUNTIFS(Kickstarter!D:D, "&gt;=20000", Kickstarter!F:F, "canceled", Kickstarter!D:D, "&lt;=24999", Kickstarter!R:R, "plays")</f>
        <v>0</v>
      </c>
      <c r="E7" s="20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">
      <c r="A8" s="21" t="s">
        <v>8412</v>
      </c>
      <c r="B8" s="20">
        <f>COUNTIFS(Kickstarter!D:D, "&gt;=25000", Kickstarter!F:F, "successful", Kickstarter!D:D, "&lt;=29999", Kickstarter!R:R, "plays")</f>
        <v>1</v>
      </c>
      <c r="C8" s="20">
        <f>COUNTIFS(Kickstarter!D:D, "&gt;=25000", Kickstarter!F:F, "failed", Kickstarter!D:D, "&lt;=29999", Kickstarter!R:R, "plays")</f>
        <v>4</v>
      </c>
      <c r="D8" s="20">
        <f>COUNTIFS(Kickstarter!D:D, "&gt;=25000", Kickstarter!F:F, "canceled", Kickstarter!D:D, "&lt;=29999", Kickstarter!R:R, "plays")</f>
        <v>0</v>
      </c>
      <c r="E8" s="20">
        <f t="shared" si="0"/>
        <v>5</v>
      </c>
      <c r="F8" s="27">
        <f t="shared" si="1"/>
        <v>0.2</v>
      </c>
      <c r="G8" s="27">
        <f t="shared" si="2"/>
        <v>0.8</v>
      </c>
      <c r="H8" s="27">
        <f>ROUND(D8/E8,6)</f>
        <v>0</v>
      </c>
    </row>
    <row r="9" spans="1:8" x14ac:dyDescent="0.2">
      <c r="A9" s="21" t="s">
        <v>8413</v>
      </c>
      <c r="B9" s="20">
        <f>COUNTIFS(Kickstarter!D:D, "&gt;=30000", Kickstarter!F:F, "successful", Kickstarter!D:D, "&lt;=34999", Kickstarter!R:R, "plays")</f>
        <v>3</v>
      </c>
      <c r="C9" s="20">
        <f>COUNTIFS(Kickstarter!D:D, "&gt;=30000", Kickstarter!F:F, "failed", Kickstarter!D:D, "&lt;=34999", Kickstarter!R:R, "plays")</f>
        <v>8</v>
      </c>
      <c r="D9" s="20">
        <f>COUNTIFS(Kickstarter!D:D, "&gt;=30000", Kickstarter!F:F, "canceled", Kickstarter!D:D, "&lt;=34999", Kickstarter!R:R, "plays")</f>
        <v>0</v>
      </c>
      <c r="E9" s="20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">
      <c r="A10" s="21" t="s">
        <v>8414</v>
      </c>
      <c r="B10" s="20">
        <f>COUNTIFS(Kickstarter!D:D, "&gt;=35000", Kickstarter!F:F, "successful", Kickstarter!D:D, "&lt;=39999", Kickstarter!R:R, "plays")</f>
        <v>4</v>
      </c>
      <c r="C10" s="20">
        <f>COUNTIFS(Kickstarter!D:D, "&gt;=35000", Kickstarter!F:F, "failed", Kickstarter!D:D, "&lt;=39999", Kickstarter!R:R, "plays")</f>
        <v>2</v>
      </c>
      <c r="D10" s="20">
        <f>COUNTIFS(Kickstarter!D:D, "&gt;=35000", Kickstarter!F:F, "canceled", Kickstarter!D:D, "&lt;=39999", Kickstarter!R:R, "plays")</f>
        <v>0</v>
      </c>
      <c r="E10" s="2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">
      <c r="A11" s="21" t="s">
        <v>8415</v>
      </c>
      <c r="B11" s="20">
        <f>COUNTIFS(Kickstarter!D:D, "&gt;=40000", Kickstarter!F:F, "successful", Kickstarter!D:D, "&lt;=44999", Kickstarter!R:R, "plays")</f>
        <v>2</v>
      </c>
      <c r="C11" s="20">
        <f>COUNTIFS(Kickstarter!D:D, "&gt;=40000", Kickstarter!F:F, "failed", Kickstarter!D:D, "&lt;=44999", Kickstarter!R:R, "plays")</f>
        <v>1</v>
      </c>
      <c r="D11" s="20">
        <f>COUNTIFS(Kickstarter!D:D, "&gt;=40000", Kickstarter!F:F, "canceled", Kickstarter!D:D, "&lt;=44999", Kickstarter!R:R, "plays")</f>
        <v>0</v>
      </c>
      <c r="E11" s="20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">
      <c r="A12" s="21" t="s">
        <v>8416</v>
      </c>
      <c r="B12" s="20">
        <f>COUNTIFS(Kickstarter!D:D, "&gt;=45000", Kickstarter!F:F, "successful", Kickstarter!D:D, "&lt;=49999", Kickstarter!R:R, "plays")</f>
        <v>0</v>
      </c>
      <c r="C12" s="20">
        <f>COUNTIFS(Kickstarter!D:D, "&gt;=45000", Kickstarter!F:F, "failed", Kickstarter!D:D, "&lt;=49999", Kickstarter!R:R, "plays")</f>
        <v>1</v>
      </c>
      <c r="D12" s="20">
        <f>COUNTIFS(Kickstarter!D:D, "&gt;=45000", Kickstarter!F:F, "canceled", Kickstarter!D:D, "&lt;=49999", Kickstarter!R:R, "plays")</f>
        <v>0</v>
      </c>
      <c r="E12" s="20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">
      <c r="A13" s="21" t="s">
        <v>8417</v>
      </c>
      <c r="B13" s="20">
        <f>COUNTIFS(Kickstarter!D:D, "&gt;=50000", Kickstarter!F:F, "successful", Kickstarter!R:R, "plays")</f>
        <v>2</v>
      </c>
      <c r="C13" s="20">
        <f>COUNTIFS(Kickstarter!D:D, "&gt;=50000", Kickstarter!F:F, "failed", Kickstarter!R:R, "plays")</f>
        <v>14</v>
      </c>
      <c r="D13" s="20">
        <f>COUNTIFS(Kickstarter!D:D, "&gt;=50000", Kickstarter!F:F, "canceled", Kickstarter!R:R, "plays")</f>
        <v>0</v>
      </c>
      <c r="E13" s="20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  <row r="15" spans="1:8" x14ac:dyDescent="0.2">
      <c r="A15" s="25" t="s">
        <v>8418</v>
      </c>
      <c r="B15" s="20">
        <f>SUM(B2:B13)</f>
        <v>694</v>
      </c>
      <c r="C15" s="20">
        <f>SUM(C2:C13)</f>
        <v>353</v>
      </c>
      <c r="D15" s="20">
        <f>SUM(D2:D13)</f>
        <v>0</v>
      </c>
      <c r="E15" s="20">
        <f t="shared" si="0"/>
        <v>1047</v>
      </c>
    </row>
    <row r="16" spans="1:8" x14ac:dyDescent="0.2">
      <c r="A16" s="25" t="s">
        <v>8419</v>
      </c>
      <c r="B16" s="20">
        <f>COUNTIFS(Kickstarter!E:E, "&gt;0", Kickstarter!F:F, "successful", Kickstarter!R:R, "plays")</f>
        <v>694</v>
      </c>
      <c r="C16" s="20">
        <f>COUNTIFS(Kickstarter!E:E, "&gt;=0", Kickstarter!F:F, "failed", Kickstarter!R:R, "plays")</f>
        <v>353</v>
      </c>
      <c r="D16" s="20">
        <f>COUNTIFS(Kickstarter!E:E, "&gt;=0", Kickstarter!F:F, "canceled", Kickstarter!R:R, "plays")</f>
        <v>0</v>
      </c>
      <c r="E16" s="20">
        <f t="shared" si="0"/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E3AB6-A410-1E44-B45E-18C46D120EE9}">
  <sheetPr codeName="Sheet3"/>
  <dimension ref="A1:E18"/>
  <sheetViews>
    <sheetView topLeftCell="A4" zoomScale="110" zoomScaleNormal="110"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9.83203125" bestFit="1" customWidth="1"/>
    <col min="8" max="8" width="20" bestFit="1" customWidth="1"/>
    <col min="9" max="9" width="14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61155-D4C1-1946-9043-B997CEFE4C96}">
  <sheetPr codeName="Sheet4"/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4C2B8-58CC-994E-9954-6EA874A3DF2C}">
  <sheetPr codeName="Sheet5"/>
  <dimension ref="A1:F47"/>
  <sheetViews>
    <sheetView zoomScaleNormal="100" workbookViewId="0">
      <selection activeCell="AC46" sqref="AC46"/>
    </sheetView>
  </sheetViews>
  <sheetFormatPr baseColWidth="10" defaultRowHeight="15" x14ac:dyDescent="0.2"/>
  <cols>
    <col min="1" max="1" width="16.1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8.83203125" bestFit="1" customWidth="1"/>
    <col min="6" max="6" width="10.33203125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  <c r="F5" t="s">
        <v>8361</v>
      </c>
    </row>
    <row r="6" spans="1:6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  <c r="F6" s="14">
        <v>100</v>
      </c>
    </row>
    <row r="7" spans="1:6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  <c r="F7" s="14">
        <v>20</v>
      </c>
    </row>
    <row r="8" spans="1:6" x14ac:dyDescent="0.2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7719A-8A86-374A-B4FF-889CB6001ED9}">
  <sheetPr codeName="Sheet7"/>
  <dimension ref="A1:E6"/>
  <sheetViews>
    <sheetView workbookViewId="0">
      <selection activeCell="B35" sqref="B3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</cols>
  <sheetData>
    <row r="1" spans="1:5" x14ac:dyDescent="0.2">
      <c r="A1" s="19" t="s">
        <v>8381</v>
      </c>
      <c r="B1" s="19" t="s">
        <v>4110</v>
      </c>
      <c r="C1" s="19" t="s">
        <v>8382</v>
      </c>
      <c r="D1" s="19" t="s">
        <v>8383</v>
      </c>
      <c r="E1" s="19" t="s">
        <v>8307</v>
      </c>
    </row>
    <row r="2" spans="1:5" x14ac:dyDescent="0.2">
      <c r="A2" s="20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VLOOKUP(A2,Kickstarter!B:P, 15, FALSE)</f>
        <v>51.79</v>
      </c>
    </row>
    <row r="3" spans="1:5" x14ac:dyDescent="0.2">
      <c r="A3" s="20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VLOOKUP(A3,Kickstarter!B:P, 15, FALSE)</f>
        <v>36.07</v>
      </c>
    </row>
    <row r="4" spans="1:5" x14ac:dyDescent="0.2">
      <c r="A4" s="20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VLOOKUP(A4,Kickstarter!B:P, 15, FALSE)</f>
        <v>33.03</v>
      </c>
    </row>
    <row r="5" spans="1:5" x14ac:dyDescent="0.2">
      <c r="A5" s="20" t="s">
        <v>3329</v>
      </c>
      <c r="B5" s="20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VLOOKUP(A5,Kickstarter!B:P, 15, FALSE)</f>
        <v>44.92</v>
      </c>
    </row>
    <row r="6" spans="1:5" x14ac:dyDescent="0.2">
      <c r="A6" s="20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VLOOKUP(A6,Kickstarter!B:P, 15, 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1B3C1-F4AB-4346-B498-D216959DC301}">
  <sheetPr codeName="Sheet8"/>
  <dimension ref="A1:T413"/>
  <sheetViews>
    <sheetView zoomScaleNormal="100" workbookViewId="0">
      <selection activeCell="E3" sqref="E3"/>
    </sheetView>
  </sheetViews>
  <sheetFormatPr baseColWidth="10" defaultRowHeight="15" x14ac:dyDescent="0.2"/>
  <cols>
    <col min="1" max="1" width="5.1640625" bestFit="1" customWidth="1"/>
    <col min="2" max="2" width="22.33203125" customWidth="1"/>
    <col min="3" max="3" width="30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6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64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t="s">
        <v>8380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 t="e">
        <v>#VALUE!</v>
      </c>
    </row>
    <row r="6" spans="1:20" ht="80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4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4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4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4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64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8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64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4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80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64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64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4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32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4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64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64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64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4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4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64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4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80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4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4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8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80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64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4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64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64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64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80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64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64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96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8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64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4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64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64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64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8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8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8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8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64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64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4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64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64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64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4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64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4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8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4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6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4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64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64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4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4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8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8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8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4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4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8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64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64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8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4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4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4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64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64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80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64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4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4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64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6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4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64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64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4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4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64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4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64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64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64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4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64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1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4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4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4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64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64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64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4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64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64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4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64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64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64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80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4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4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4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4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64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4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8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80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4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8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64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80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64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4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4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64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4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38A83-1F17-0B41-813E-1CB550C53742}">
  <sheetPr codeName="Sheet9"/>
  <dimension ref="A1:T251"/>
  <sheetViews>
    <sheetView workbookViewId="0">
      <selection activeCell="N4" sqref="N4"/>
    </sheetView>
  </sheetViews>
  <sheetFormatPr baseColWidth="10" defaultRowHeight="15" x14ac:dyDescent="0.2"/>
  <cols>
    <col min="1" max="1" width="5.1640625" bestFit="1" customWidth="1"/>
    <col min="2" max="2" width="15.83203125" customWidth="1"/>
    <col min="3" max="3" width="24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80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80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8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80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96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80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64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80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80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96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80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80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80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80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96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96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80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64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80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80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80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80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80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80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80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80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8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80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80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96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80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80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80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80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8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80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64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80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80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80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8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80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64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80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64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8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96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80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80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80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80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8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64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4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80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80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80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64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80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64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80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4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80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64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80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64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8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96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80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80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96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80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80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80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80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6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96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80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96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80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80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80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80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64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80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64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80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8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80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80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80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64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6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80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8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8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80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80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80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80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80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96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80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80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80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80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80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80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80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80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80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80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80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80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80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80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80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80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80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8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80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80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80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80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6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80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80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80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64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80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80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80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96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80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64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80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80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80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80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80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8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64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96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80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8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80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64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64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6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80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64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4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80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64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80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80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80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80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80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80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80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96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80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80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64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64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64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80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80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80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80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9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80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80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8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80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80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80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6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80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80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80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80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80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80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80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80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80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80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6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80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96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80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64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64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80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64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96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80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80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80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80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80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96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80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80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80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80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80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64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96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6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80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64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80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80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80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80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80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80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F5808-7DAC-FB4A-9F29-4E8EC80DDB9A}">
  <sheetPr codeName="Sheet10"/>
  <dimension ref="A1:C14"/>
  <sheetViews>
    <sheetView workbookViewId="0">
      <selection activeCell="D20" sqref="D19:D20"/>
    </sheetView>
  </sheetViews>
  <sheetFormatPr baseColWidth="10" defaultRowHeight="15" x14ac:dyDescent="0.2"/>
  <cols>
    <col min="1" max="1" width="24.6640625" style="17" bestFit="1" customWidth="1"/>
    <col min="2" max="2" width="10.83203125" style="23"/>
    <col min="3" max="3" width="10.83203125" style="18"/>
  </cols>
  <sheetData>
    <row r="1" spans="1:3" s="17" customFormat="1" x14ac:dyDescent="0.2">
      <c r="B1" s="22" t="s">
        <v>8388</v>
      </c>
      <c r="C1" s="24" t="s">
        <v>8389</v>
      </c>
    </row>
    <row r="2" spans="1:3" x14ac:dyDescent="0.2">
      <c r="A2" s="17" t="s">
        <v>8384</v>
      </c>
      <c r="B2" s="23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s="17" t="s">
        <v>8385</v>
      </c>
      <c r="B3" s="23">
        <f>MEDIAN('Successful US Kickstarters'!D:D)</f>
        <v>3000</v>
      </c>
      <c r="C3" s="18">
        <f>MEDIAN('Failed US Kickstarters'!D:D)</f>
        <v>5000</v>
      </c>
    </row>
    <row r="4" spans="1:3" x14ac:dyDescent="0.2">
      <c r="A4" s="17" t="s">
        <v>8390</v>
      </c>
      <c r="B4" s="23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s="17" t="s">
        <v>8391</v>
      </c>
      <c r="B5" s="23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s="17" t="s">
        <v>8392</v>
      </c>
      <c r="B6" s="23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s="17" t="s">
        <v>8393</v>
      </c>
      <c r="B7" s="23">
        <f>B5-B6</f>
        <v>3500</v>
      </c>
      <c r="C7" s="18">
        <f>C5-C6</f>
        <v>8000</v>
      </c>
    </row>
    <row r="9" spans="1:3" x14ac:dyDescent="0.2">
      <c r="A9" s="17" t="s">
        <v>8386</v>
      </c>
      <c r="B9" s="23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s="17" t="s">
        <v>8387</v>
      </c>
      <c r="B10" s="23">
        <f>MEDIAN('Successful US Kickstarters'!E:E)</f>
        <v>3167.5</v>
      </c>
      <c r="C10" s="18">
        <f>MEDIAN('Failed US Kickstarters'!E:E)</f>
        <v>103</v>
      </c>
    </row>
    <row r="11" spans="1:3" x14ac:dyDescent="0.2">
      <c r="A11" s="17" t="s">
        <v>8394</v>
      </c>
      <c r="B11" s="23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s="17" t="s">
        <v>8395</v>
      </c>
      <c r="B12" s="23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s="17" t="s">
        <v>8396</v>
      </c>
      <c r="B13" s="23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s="17" t="s">
        <v>8397</v>
      </c>
      <c r="B14" s="23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Goals</vt:lpstr>
      <vt:lpstr>Theater Outcomes by Launch Date</vt:lpstr>
      <vt:lpstr>Category Statistics</vt:lpstr>
      <vt:lpstr>Subcategory Statistics (thtr)</vt:lpstr>
      <vt:lpstr>Edinburgh Research (thtr)</vt:lpstr>
      <vt:lpstr>Successful US Kickstarters</vt:lpstr>
      <vt:lpstr>Failed US Kickstarters</vt:lpstr>
      <vt:lpstr>DescriptiveStatistics (thtr)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Logan Murphy</cp:lastModifiedBy>
  <dcterms:created xsi:type="dcterms:W3CDTF">2017-04-20T15:17:24Z</dcterms:created>
  <dcterms:modified xsi:type="dcterms:W3CDTF">2021-09-13T03:23:14Z</dcterms:modified>
</cp:coreProperties>
</file>