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8"/>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17A29BAA-3F11-0C40-BA3E-87464543AB54}" xr6:coauthVersionLast="47" xr6:coauthVersionMax="47" xr10:uidLastSave="{00000000-0000-0000-0000-000000000000}"/>
  <bookViews>
    <workbookView xWindow="0" yWindow="500" windowWidth="28800" windowHeight="1626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c r="BK14" i="1506" a="1"/>
  <c r="BK14" i="1506" s="1"/>
  <c r="BL14" i="1506" a="1"/>
  <c r="BL14" i="1506" s="1"/>
  <c r="BM14" i="1506" a="1"/>
  <c r="BM14" i="1506" s="1"/>
  <c r="BN14" i="1506" a="1"/>
  <c r="BN14" i="1506" s="1"/>
  <c r="BO14" i="1506" a="1"/>
  <c r="BO14" i="1506" s="1"/>
  <c r="BP14" i="1506" a="1"/>
  <c r="BP14" i="1506" s="1"/>
  <c r="BQ14" i="1506" a="1"/>
  <c r="BQ14" i="1506" s="1"/>
  <c r="BR14" i="1506" a="1"/>
  <c r="BR14" i="1506"/>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c r="CQ14" i="1506" a="1"/>
  <c r="CQ14" i="1506" s="1"/>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c r="AK15" i="1506" a="1"/>
  <c r="AK15" i="1506"/>
  <c r="AL15" i="1506" a="1"/>
  <c r="AL15" i="1506" s="1"/>
  <c r="AM15" i="1506" a="1"/>
  <c r="AM15" i="1506" s="1"/>
  <c r="AN15" i="1506" a="1"/>
  <c r="AN15" i="1506" s="1"/>
  <c r="AO15" i="1506" a="1"/>
  <c r="AO15" i="1506" s="1"/>
  <c r="AP15" i="1506" a="1"/>
  <c r="AP15" i="1506" s="1"/>
  <c r="AQ15" i="1506" a="1"/>
  <c r="AQ15" i="1506" s="1"/>
  <c r="AR15" i="1506" a="1"/>
  <c r="AR15" i="1506" s="1"/>
  <c r="AS15" i="1506" a="1"/>
  <c r="AS15" i="1506"/>
  <c r="AT15" i="1506" a="1"/>
  <c r="AT15" i="1506" s="1"/>
  <c r="AU15" i="1506" a="1"/>
  <c r="AU15" i="1506"/>
  <c r="AV15" i="1506" a="1"/>
  <c r="AV15" i="1506" s="1"/>
  <c r="AW15" i="1506" a="1"/>
  <c r="AW15" i="1506" s="1"/>
  <c r="AX15" i="1506" a="1"/>
  <c r="AX15" i="1506" s="1"/>
  <c r="AY15" i="1506" a="1"/>
  <c r="AY15" i="1506" s="1"/>
  <c r="AZ15" i="1506" a="1"/>
  <c r="AZ15" i="1506" s="1"/>
  <c r="BA15" i="1506" a="1"/>
  <c r="BA15" i="1506" s="1"/>
  <c r="BB15" i="1506" a="1"/>
  <c r="BB15" i="1506" s="1"/>
  <c r="BC15" i="1506" a="1"/>
  <c r="BC15" i="1506"/>
  <c r="BD15" i="1506" a="1"/>
  <c r="BD15" i="1506"/>
  <c r="BE15" i="1506" a="1"/>
  <c r="BE15" i="1506" s="1"/>
  <c r="BF15" i="1506" a="1"/>
  <c r="BF15" i="1506" s="1"/>
  <c r="BG15" i="1506" a="1"/>
  <c r="BG15" i="1506" s="1"/>
  <c r="BH15" i="1506" a="1"/>
  <c r="BH15" i="1506"/>
  <c r="BI15" i="1506" a="1"/>
  <c r="BI15" i="1506" s="1"/>
  <c r="BJ15" i="1506" a="1"/>
  <c r="BJ15" i="1506" s="1"/>
  <c r="BK15" i="1506" a="1"/>
  <c r="BK15" i="1506" s="1"/>
  <c r="BL15" i="1506" a="1"/>
  <c r="BL15" i="1506"/>
  <c r="BM15" i="1506" a="1"/>
  <c r="BM15" i="1506" s="1"/>
  <c r="BN15" i="1506" a="1"/>
  <c r="BN15" i="1506" s="1"/>
  <c r="BO15" i="1506" a="1"/>
  <c r="BO15" i="1506" s="1"/>
  <c r="BP15" i="1506" a="1"/>
  <c r="BP15" i="1506"/>
  <c r="BQ15" i="1506" a="1"/>
  <c r="BQ15" i="1506"/>
  <c r="BR15" i="1506" a="1"/>
  <c r="BR15" i="1506" s="1"/>
  <c r="BS15" i="1506" a="1"/>
  <c r="BS15" i="1506" s="1"/>
  <c r="BT15" i="1506" a="1"/>
  <c r="BT15" i="1506" s="1"/>
  <c r="BU15" i="1506" a="1"/>
  <c r="BU15" i="1506" s="1"/>
  <c r="BV15" i="1506" a="1"/>
  <c r="BV15" i="1506" s="1"/>
  <c r="BW15" i="1506" a="1"/>
  <c r="BW15" i="1506" s="1"/>
  <c r="BX15" i="1506" a="1"/>
  <c r="BX15" i="1506" s="1"/>
  <c r="BY15" i="1506" a="1"/>
  <c r="BY15" i="1506"/>
  <c r="BZ15" i="1506" a="1"/>
  <c r="BZ15" i="1506" s="1"/>
  <c r="CA15" i="1506" a="1"/>
  <c r="CA15" i="1506"/>
  <c r="CB15" i="1506" a="1"/>
  <c r="CB15" i="1506" s="1"/>
  <c r="CC15" i="1506" a="1"/>
  <c r="CC15" i="1506" s="1"/>
  <c r="CD15" i="1506" a="1"/>
  <c r="CD15" i="1506" s="1"/>
  <c r="CE15" i="1506" a="1"/>
  <c r="CE15" i="1506" s="1"/>
  <c r="CF15" i="1506" a="1"/>
  <c r="CF15" i="1506" s="1"/>
  <c r="CG15" i="1506" a="1"/>
  <c r="CG15" i="1506" s="1"/>
  <c r="CH15" i="1506" a="1"/>
  <c r="CH15" i="1506" s="1"/>
  <c r="CI15" i="1506" a="1"/>
  <c r="CI15" i="1506"/>
  <c r="CJ15" i="1506" a="1"/>
  <c r="CJ15" i="1506"/>
  <c r="CK15" i="1506" a="1"/>
  <c r="CK15" i="1506" s="1"/>
  <c r="CL15" i="1506" a="1"/>
  <c r="CL15" i="1506" s="1"/>
  <c r="CM15" i="1506" a="1"/>
  <c r="CM15" i="1506" s="1"/>
  <c r="CN15" i="1506" a="1"/>
  <c r="CN15" i="1506" s="1"/>
  <c r="CO15" i="1506" a="1"/>
  <c r="CO15" i="1506" s="1"/>
  <c r="CP15" i="1506" a="1"/>
  <c r="CP15" i="1506"/>
  <c r="CQ15" i="1506" a="1"/>
  <c r="CQ15" i="1506"/>
  <c r="CR15" i="1506" a="1"/>
  <c r="CR15" i="1506" s="1"/>
  <c r="CS15" i="1506" a="1"/>
  <c r="CS15" i="1506" s="1"/>
  <c r="CT15" i="1506" a="1"/>
  <c r="CT15" i="1506" s="1"/>
  <c r="CU15" i="1506" a="1"/>
  <c r="CU15" i="1506"/>
  <c r="A14" i="1506"/>
  <c r="A15" i="1506"/>
  <c r="L15" i="1504"/>
  <c r="M15" i="1504"/>
  <c r="N15" i="1504"/>
  <c r="O15" i="1504"/>
  <c r="P15" i="1504"/>
  <c r="L15" i="1506" s="1"/>
  <c r="S15" i="1504"/>
  <c r="T15" i="1504"/>
  <c r="Z15" i="1504" s="1"/>
  <c r="U15" i="1504"/>
  <c r="AA15" i="1504" s="1"/>
  <c r="V15" i="1504"/>
  <c r="AB15" i="1504" s="1"/>
  <c r="W15" i="1504"/>
  <c r="X15" i="1504"/>
  <c r="Y15" i="1504"/>
  <c r="AC15" i="1504"/>
  <c r="AH15" i="1504"/>
  <c r="AK15" i="1504" a="1"/>
  <c r="AK15" i="1504" s="1"/>
  <c r="AL15" i="1504" a="1"/>
  <c r="AL15" i="1504" s="1"/>
  <c r="AM15" i="1504" a="1"/>
  <c r="AM15" i="1504"/>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c r="BY15" i="1504" a="1"/>
  <c r="BY15" i="1504" s="1"/>
  <c r="BZ15" i="1504" a="1"/>
  <c r="BZ15" i="1504" s="1"/>
  <c r="CA15" i="1504" a="1"/>
  <c r="CA15" i="1504" s="1"/>
  <c r="CB15" i="1504" a="1"/>
  <c r="CB15" i="1504" s="1"/>
  <c r="CC15" i="1504" a="1"/>
  <c r="CC15" i="1504" s="1"/>
  <c r="CD15" i="1504" a="1"/>
  <c r="CD15" i="1504" s="1"/>
  <c r="CE15" i="1504" a="1"/>
  <c r="CE15" i="1504" s="1"/>
  <c r="CF15" i="1504" a="1"/>
  <c r="CF15" i="1504"/>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L16" i="1504"/>
  <c r="M16" i="1504"/>
  <c r="N16" i="1504"/>
  <c r="O16" i="1504"/>
  <c r="P16" i="1504"/>
  <c r="S16" i="1504"/>
  <c r="Y16" i="1504" s="1"/>
  <c r="T16" i="1504"/>
  <c r="U16" i="1504"/>
  <c r="AA16" i="1504" s="1"/>
  <c r="V16" i="1504"/>
  <c r="AB16" i="1504" s="1"/>
  <c r="W16" i="1504"/>
  <c r="AC16" i="1504" s="1"/>
  <c r="X16" i="1504"/>
  <c r="Z16" i="1504"/>
  <c r="AH16" i="1504"/>
  <c r="AK16" i="1504" a="1"/>
  <c r="AK16" i="1504"/>
  <c r="AL16" i="1504" a="1"/>
  <c r="AL16" i="1504"/>
  <c r="AM16" i="1504" a="1"/>
  <c r="AM16" i="1504" s="1"/>
  <c r="AN16" i="1504" a="1"/>
  <c r="AN16" i="1504" s="1"/>
  <c r="AO16" i="1504" a="1"/>
  <c r="AO16" i="1504"/>
  <c r="AP16" i="1504" a="1"/>
  <c r="AP16" i="1504"/>
  <c r="AQ16" i="1504" a="1"/>
  <c r="AQ16" i="1504"/>
  <c r="AR16" i="1504" a="1"/>
  <c r="AR16" i="1504" s="1"/>
  <c r="AS16" i="1504" a="1"/>
  <c r="AS16" i="1504" s="1"/>
  <c r="AT16" i="1504" a="1"/>
  <c r="AT16" i="1504" s="1"/>
  <c r="AU16" i="1504" a="1"/>
  <c r="AU16" i="1504" s="1"/>
  <c r="AV16" i="1504" a="1"/>
  <c r="AV16" i="1504" s="1"/>
  <c r="AW16" i="1504" a="1"/>
  <c r="AW16" i="1504"/>
  <c r="AX16" i="1504" a="1"/>
  <c r="AX16" i="1504"/>
  <c r="AY16" i="1504" a="1"/>
  <c r="AY16" i="1504" s="1"/>
  <c r="AZ16" i="1504" a="1"/>
  <c r="AZ16" i="1504" s="1"/>
  <c r="BA16" i="1504" a="1"/>
  <c r="BA16" i="1504"/>
  <c r="BB16" i="1504" a="1"/>
  <c r="BB16" i="1504" s="1"/>
  <c r="BC16" i="1504" a="1"/>
  <c r="BC16" i="1504" s="1"/>
  <c r="BD16" i="1504" a="1"/>
  <c r="BD16" i="1504" s="1"/>
  <c r="BE16" i="1504" a="1"/>
  <c r="BE16" i="1504"/>
  <c r="BF16" i="1504" a="1"/>
  <c r="BF16" i="1504" s="1"/>
  <c r="BG16" i="1504" a="1"/>
  <c r="BG16" i="1504" s="1"/>
  <c r="BH16" i="1504" a="1"/>
  <c r="BH16" i="1504"/>
  <c r="BI16" i="1504" a="1"/>
  <c r="BI16" i="1504"/>
  <c r="BJ16" i="1504" a="1"/>
  <c r="BJ16" i="1504" s="1"/>
  <c r="BK16" i="1504" a="1"/>
  <c r="BK16" i="1504" s="1"/>
  <c r="BL16" i="1504" a="1"/>
  <c r="BL16" i="1504" s="1"/>
  <c r="BM16" i="1504" a="1"/>
  <c r="BM16" i="1504" s="1"/>
  <c r="BN16" i="1504" a="1"/>
  <c r="BN16" i="1504" s="1"/>
  <c r="BO16" i="1504" a="1"/>
  <c r="BO16" i="1504"/>
  <c r="BP16" i="1504" a="1"/>
  <c r="BP16" i="1504"/>
  <c r="BQ16" i="1504" a="1"/>
  <c r="BQ16" i="1504" s="1"/>
  <c r="BR16" i="1504" a="1"/>
  <c r="BR16" i="1504" s="1"/>
  <c r="BS16" i="1504" a="1"/>
  <c r="BS16" i="1504"/>
  <c r="BT16" i="1504" a="1"/>
  <c r="BT16" i="1504" s="1"/>
  <c r="BU16" i="1504" a="1"/>
  <c r="BU16" i="1504"/>
  <c r="BV16" i="1504" a="1"/>
  <c r="BV16" i="1504" s="1"/>
  <c r="BW16" i="1504" a="1"/>
  <c r="BW16" i="1504" s="1"/>
  <c r="BX16" i="1504" a="1"/>
  <c r="BX16" i="1504" s="1"/>
  <c r="BY16" i="1504" a="1"/>
  <c r="BY16" i="1504" s="1"/>
  <c r="BZ16" i="1504" a="1"/>
  <c r="BZ16" i="1504" s="1"/>
  <c r="CA16" i="1504" a="1"/>
  <c r="CA16" i="1504"/>
  <c r="CB16" i="1504" a="1"/>
  <c r="CB16" i="1504" s="1"/>
  <c r="CC16" i="1504" a="1"/>
  <c r="CC16" i="1504" s="1"/>
  <c r="CD16" i="1504" a="1"/>
  <c r="CD16" i="1504"/>
  <c r="CE16" i="1504" a="1"/>
  <c r="CE16" i="1504" s="1"/>
  <c r="CF16" i="1504" a="1"/>
  <c r="CF16" i="1504" s="1"/>
  <c r="CG16" i="1504" a="1"/>
  <c r="CG16" i="1504" s="1"/>
  <c r="CH16" i="1504" a="1"/>
  <c r="CH16" i="1504" s="1"/>
  <c r="CI16" i="1504" a="1"/>
  <c r="CI16" i="1504"/>
  <c r="CJ16" i="1504" a="1"/>
  <c r="CJ16" i="1504" s="1"/>
  <c r="CK16" i="1504" a="1"/>
  <c r="CK16" i="1504" s="1"/>
  <c r="CL16" i="1504" a="1"/>
  <c r="CL16" i="1504"/>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c r="I15" i="1504"/>
  <c r="I16" i="1504"/>
  <c r="H15" i="1504"/>
  <c r="H16" i="1504"/>
  <c r="F15" i="1504"/>
  <c r="F16" i="1504"/>
  <c r="E15" i="1504"/>
  <c r="E16" i="1504"/>
  <c r="A15" i="1504"/>
  <c r="A16" i="1504"/>
  <c r="K15" i="1506" l="1"/>
  <c r="J15" i="1506"/>
  <c r="I15" i="1506"/>
  <c r="H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5" i="1495" l="1"/>
  <c r="B15" i="1495"/>
  <c r="E4" i="7"/>
  <c r="B4" i="1495" s="1"/>
  <c r="E5" i="7"/>
  <c r="E6" i="7"/>
  <c r="B6" i="1495" s="1"/>
  <c r="E7" i="7"/>
  <c r="B7" i="1495" s="1"/>
  <c r="E8" i="7"/>
  <c r="B8" i="1495" s="1"/>
  <c r="E9" i="7"/>
  <c r="B9" i="1495" s="1"/>
  <c r="E10" i="7"/>
  <c r="B10" i="1495" s="1"/>
  <c r="E11" i="7"/>
  <c r="B11" i="1495" s="1"/>
  <c r="E12" i="7"/>
  <c r="B12" i="1495" s="1"/>
  <c r="E13" i="7"/>
  <c r="B13" i="1495" s="1"/>
  <c r="E14" i="7"/>
  <c r="B14" i="1495" s="1"/>
  <c r="E15" i="7"/>
  <c r="E16" i="7"/>
  <c r="E17" i="7"/>
  <c r="E3" i="7"/>
  <c r="B3" i="1495" s="1"/>
  <c r="J4" i="7"/>
  <c r="B21" i="1495" s="1"/>
  <c r="J5" i="7"/>
  <c r="B22" i="1495" s="1"/>
  <c r="J6" i="7"/>
  <c r="B23" i="1495" s="1"/>
  <c r="J7" i="7"/>
  <c r="B24" i="1495" s="1"/>
  <c r="J8" i="7"/>
  <c r="B25" i="1495" s="1"/>
  <c r="J9" i="7"/>
  <c r="B26" i="1495" s="1"/>
  <c r="J10" i="7"/>
  <c r="B27" i="1495" s="1"/>
  <c r="J11" i="7"/>
  <c r="B28" i="1495" s="1"/>
  <c r="J12" i="7"/>
  <c r="J13" i="7"/>
  <c r="J14" i="7"/>
  <c r="B31" i="1495" s="1"/>
  <c r="J15" i="7"/>
  <c r="J16" i="7"/>
  <c r="B33" i="1495" s="1"/>
  <c r="J17" i="7"/>
  <c r="B34" i="1495" s="1"/>
  <c r="J3" i="7"/>
  <c r="B32" i="1495" l="1"/>
  <c r="B20" i="1495"/>
  <c r="B30" i="1495"/>
  <c r="B29" i="1495"/>
  <c r="C15" i="1502"/>
  <c r="F15" i="1502"/>
  <c r="E15" i="1502" s="1"/>
  <c r="D15" i="1502" s="1"/>
  <c r="C16" i="1502"/>
  <c r="F16" i="1502"/>
  <c r="E16" i="1502" l="1"/>
  <c r="D16" i="1502" s="1"/>
  <c r="G16" i="7"/>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J267" i="1503" s="1"/>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J256" i="1503" s="1"/>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J236" i="1503" s="1"/>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Q223" i="1503"/>
  <c r="N223" i="1503"/>
  <c r="M223" i="1503"/>
  <c r="H223" i="1503"/>
  <c r="E223" i="1503"/>
  <c r="AC222" i="1503"/>
  <c r="AB222" i="1503"/>
  <c r="AA222" i="1503"/>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C206" i="1503"/>
  <c r="AB206" i="1503"/>
  <c r="AJ206" i="1503" s="1"/>
  <c r="AA206" i="1503"/>
  <c r="Y206" i="1503"/>
  <c r="W206" i="1503"/>
  <c r="S206" i="1503"/>
  <c r="R206" i="1503"/>
  <c r="Q206" i="1503"/>
  <c r="N206" i="1503"/>
  <c r="M206" i="1503"/>
  <c r="H206" i="1503"/>
  <c r="E206" i="1503"/>
  <c r="AC205" i="1503"/>
  <c r="AB205" i="1503"/>
  <c r="AA205" i="1503"/>
  <c r="Y205" i="1503"/>
  <c r="W205" i="1503"/>
  <c r="S205" i="1503"/>
  <c r="Q205" i="1503"/>
  <c r="R205" i="1503" s="1"/>
  <c r="N205" i="1503"/>
  <c r="M205" i="1503"/>
  <c r="H205" i="1503"/>
  <c r="E205" i="1503"/>
  <c r="AB204" i="1503"/>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AJ198" i="1503" s="1"/>
  <c r="Y198" i="1503"/>
  <c r="W198" i="1503"/>
  <c r="S198" i="1503"/>
  <c r="Q198" i="1503"/>
  <c r="N198" i="1503"/>
  <c r="M198" i="1503"/>
  <c r="H198" i="1503"/>
  <c r="E198" i="1503"/>
  <c r="Y197" i="1503"/>
  <c r="S197" i="1503"/>
  <c r="R197" i="1503" s="1"/>
  <c r="Q197" i="1503"/>
  <c r="N197" i="1503"/>
  <c r="M197" i="1503"/>
  <c r="E197" i="1503"/>
  <c r="BI196" i="1503"/>
  <c r="BH196" i="1503"/>
  <c r="AC196" i="1503"/>
  <c r="AB196" i="1503"/>
  <c r="AJ196" i="1503" s="1"/>
  <c r="AA196" i="1503"/>
  <c r="Y196" i="1503"/>
  <c r="W196" i="1503"/>
  <c r="S196" i="1503"/>
  <c r="Q196" i="1503"/>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J189" i="1503" s="1"/>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R182" i="1503" s="1"/>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R180" i="1503" s="1"/>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Y173" i="1503"/>
  <c r="W173" i="1503"/>
  <c r="S173" i="1503"/>
  <c r="Q173" i="1503"/>
  <c r="R173" i="1503" s="1"/>
  <c r="N173" i="1503"/>
  <c r="M173" i="1503"/>
  <c r="H173" i="1503"/>
  <c r="E173" i="1503"/>
  <c r="AB172" i="1503"/>
  <c r="AJ172" i="1503" s="1"/>
  <c r="AA172" i="1503"/>
  <c r="Y172" i="1503"/>
  <c r="W172" i="1503"/>
  <c r="S172" i="1503"/>
  <c r="Q172" i="1503"/>
  <c r="R172" i="1503" s="1"/>
  <c r="N172" i="1503"/>
  <c r="M172" i="1503"/>
  <c r="H172" i="1503"/>
  <c r="E172" i="1503"/>
  <c r="AB171" i="1503"/>
  <c r="AJ171" i="1503" s="1"/>
  <c r="AA171" i="1503"/>
  <c r="Y171" i="1503"/>
  <c r="W171" i="1503"/>
  <c r="S171" i="1503"/>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R167" i="1503" s="1"/>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R165" i="1503" s="1"/>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R152" i="1503" s="1"/>
  <c r="N152" i="1503"/>
  <c r="M152" i="1503"/>
  <c r="E152" i="1503"/>
  <c r="BI151" i="1503"/>
  <c r="BH151" i="1503"/>
  <c r="AC151" i="1503"/>
  <c r="AB151" i="1503"/>
  <c r="AA151" i="1503"/>
  <c r="Y151" i="1503"/>
  <c r="W151" i="1503"/>
  <c r="S151" i="1503"/>
  <c r="Q151" i="1503"/>
  <c r="R151" i="1503" s="1"/>
  <c r="N151" i="1503"/>
  <c r="M151" i="1503"/>
  <c r="H151" i="1503"/>
  <c r="E151" i="1503"/>
  <c r="AC150" i="1503"/>
  <c r="AB150" i="1503"/>
  <c r="AA150" i="1503"/>
  <c r="Y150" i="1503"/>
  <c r="W150" i="1503"/>
  <c r="S150" i="1503"/>
  <c r="Q150" i="1503"/>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R141" i="1503" s="1"/>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R131" i="1503" s="1"/>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J59" i="1503"/>
  <c r="AC59" i="1503"/>
  <c r="AB59" i="1503"/>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A46" i="1503"/>
  <c r="Y46" i="1503"/>
  <c r="W46" i="1503"/>
  <c r="T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R41" i="1503" s="1"/>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R25" i="1503" s="1"/>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R18" i="1503" s="1"/>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C12" i="1503"/>
  <c r="AB12" i="1503"/>
  <c r="AA12" i="1503"/>
  <c r="AJ12" i="1503" s="1"/>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R8" i="1503" s="1"/>
  <c r="N8" i="1503"/>
  <c r="M8" i="1503"/>
  <c r="H8" i="1503"/>
  <c r="E8" i="1503"/>
  <c r="AC7" i="1503"/>
  <c r="AB7" i="1503"/>
  <c r="AA7" i="1503"/>
  <c r="Y7" i="1503"/>
  <c r="W7" i="1503"/>
  <c r="S7" i="1503"/>
  <c r="Q7" i="1503"/>
  <c r="R7" i="1503" s="1"/>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R2" i="1503" s="1"/>
  <c r="N2" i="1503"/>
  <c r="M2" i="1503"/>
  <c r="E2" i="1503"/>
  <c r="A16" i="1502" l="1"/>
  <c r="J16" i="1504"/>
  <c r="R19" i="1503"/>
  <c r="R28" i="1503"/>
  <c r="R35" i="1503"/>
  <c r="AJ55" i="1503"/>
  <c r="AJ80" i="1503"/>
  <c r="R84" i="1503"/>
  <c r="R101" i="1503"/>
  <c r="AJ110" i="1503"/>
  <c r="AJ133" i="1503"/>
  <c r="R154" i="1503"/>
  <c r="R160" i="1503"/>
  <c r="AJ164" i="1503"/>
  <c r="R175" i="1503"/>
  <c r="AJ180" i="1503"/>
  <c r="R192" i="1503"/>
  <c r="R208" i="1503"/>
  <c r="R226" i="1503"/>
  <c r="AJ252" i="1503"/>
  <c r="AJ258" i="1503"/>
  <c r="AJ240"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AJ14" i="1503"/>
  <c r="AJ211" i="1503"/>
  <c r="AJ176" i="1503"/>
  <c r="AJ193" i="1503"/>
  <c r="R223" i="1503"/>
  <c r="AJ230" i="1503"/>
  <c r="AJ263" i="1503"/>
  <c r="AJ271" i="1503"/>
  <c r="AJ124" i="1503"/>
  <c r="AJ35" i="1503"/>
  <c r="AJ44" i="1503"/>
  <c r="AJ70" i="1503"/>
  <c r="AJ84" i="1503"/>
  <c r="AJ115" i="1503"/>
  <c r="AJ160" i="1503"/>
  <c r="AJ192" i="1503"/>
  <c r="AJ217" i="1503"/>
  <c r="AJ226" i="1503"/>
  <c r="AJ261" i="1503"/>
  <c r="AJ270" i="1503"/>
  <c r="AJ29" i="1503"/>
  <c r="AJ46" i="1503"/>
  <c r="R22" i="1503"/>
  <c r="R38" i="1503"/>
  <c r="R56" i="1503"/>
  <c r="R57" i="1503"/>
  <c r="AJ68" i="1503"/>
  <c r="AJ83" i="1503"/>
  <c r="AJ159" i="1503"/>
  <c r="R166" i="1503"/>
  <c r="AJ183" i="1503"/>
  <c r="AJ191" i="1503"/>
  <c r="AJ205" i="1503"/>
  <c r="R220" i="1503"/>
  <c r="AJ225" i="1503"/>
  <c r="AJ237" i="1503"/>
  <c r="AJ249" i="1503"/>
  <c r="AJ98" i="1503"/>
  <c r="AJ112" i="1503"/>
  <c r="AJ143" i="1503"/>
  <c r="R150" i="1503"/>
  <c r="R156" i="1503"/>
  <c r="R171" i="1503"/>
  <c r="AJ173" i="1503"/>
  <c r="R187" i="1503"/>
  <c r="R196" i="1503"/>
  <c r="AJ204" i="1503"/>
  <c r="AJ215" i="1503"/>
  <c r="R219" i="1503"/>
  <c r="AJ222" i="1503"/>
  <c r="AJ52" i="1503"/>
  <c r="AJ130" i="1503"/>
  <c r="AJ201" i="1503"/>
  <c r="AJ8" i="1503"/>
  <c r="R3" i="1503"/>
  <c r="R14" i="1503"/>
  <c r="R20" i="1503"/>
  <c r="R31" i="1503"/>
  <c r="R74" i="1503"/>
  <c r="AJ81" i="1503"/>
  <c r="R88" i="1503"/>
  <c r="AJ97" i="1503"/>
  <c r="R118" i="1503"/>
  <c r="R124" i="1503"/>
  <c r="R130" i="1503"/>
  <c r="AJ135" i="1503"/>
  <c r="R179" i="1503"/>
  <c r="R195" i="1503"/>
  <c r="R201" i="1503"/>
  <c r="R212" i="1503"/>
  <c r="AJ149" i="1503"/>
  <c r="R191" i="1503"/>
  <c r="AJ75" i="1503"/>
  <c r="R144" i="1503"/>
  <c r="AJ22" i="1503"/>
  <c r="AJ56"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G15" i="1502"/>
  <c r="H15" i="1502" s="1"/>
  <c r="I15" i="1502" s="1"/>
  <c r="K15" i="1502"/>
  <c r="P3" i="1504"/>
  <c r="P4" i="1504"/>
  <c r="P5" i="1504"/>
  <c r="P6" i="1504"/>
  <c r="P7" i="1504"/>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L8" i="1506" l="1"/>
  <c r="L11" i="1506"/>
  <c r="K4" i="1506"/>
  <c r="L3" i="1506"/>
  <c r="K13" i="1506"/>
  <c r="L7" i="1506"/>
  <c r="K7" i="1506"/>
  <c r="K5" i="1506"/>
  <c r="K9" i="1506"/>
  <c r="L4" i="1506"/>
  <c r="K6"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E12" i="1502" s="1"/>
  <c r="D12" i="1502" s="1"/>
  <c r="C13" i="1502"/>
  <c r="E13" i="1502" s="1"/>
  <c r="D13" i="1502" s="1"/>
  <c r="AL2" i="1504" l="1"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H9" i="1506" s="1"/>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I8" i="1506" l="1"/>
  <c r="I3" i="1506"/>
  <c r="H4" i="1506"/>
  <c r="J3"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A13" i="1499"/>
  <c r="B4" i="1502"/>
  <c r="S4" i="1502" s="1"/>
  <c r="G4" i="1506" s="1"/>
  <c r="B8" i="1502"/>
  <c r="AK38" i="1495"/>
  <c r="B11" i="1502"/>
  <c r="S11" i="1502" s="1"/>
  <c r="G11" i="1506" s="1"/>
  <c r="S10" i="1502" l="1"/>
  <c r="G10" i="1506" s="1"/>
  <c r="G7" i="1502"/>
  <c r="H7" i="1502" s="1"/>
  <c r="I7" i="1502" s="1"/>
  <c r="S7" i="1502"/>
  <c r="G7" i="1506" s="1"/>
  <c r="G3" i="1502"/>
  <c r="H3" i="1502" s="1"/>
  <c r="I3" i="1502" s="1"/>
  <c r="S3" i="1502"/>
  <c r="G3" i="1506" s="1"/>
  <c r="G9" i="1502"/>
  <c r="H9" i="1502" s="1"/>
  <c r="I9" i="1502" s="1"/>
  <c r="S9" i="1502"/>
  <c r="G9" i="1506" s="1"/>
  <c r="G6" i="1502"/>
  <c r="H6" i="1502" s="1"/>
  <c r="I6" i="1502" s="1"/>
  <c r="S6" i="1502"/>
  <c r="G6" i="1506" s="1"/>
  <c r="S8" i="1502"/>
  <c r="G8" i="1506" s="1"/>
  <c r="S5" i="1502"/>
  <c r="G5"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11" i="1502" l="1"/>
  <c r="F11" i="1506" s="1"/>
  <c r="R6" i="1502"/>
  <c r="F6" i="1506" s="1"/>
  <c r="R10" i="1502"/>
  <c r="F10"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6" i="1502"/>
  <c r="T8" i="1502"/>
  <c r="T9" i="1502"/>
  <c r="T10" i="1502"/>
  <c r="T13" i="1502"/>
  <c r="T14" i="1502"/>
  <c r="T15" i="1502"/>
  <c r="P2" i="1502"/>
  <c r="M2" i="1506" s="1"/>
  <c r="N2" i="1506" s="1"/>
  <c r="T4" i="1502"/>
  <c r="T5" i="1502"/>
  <c r="T7" i="1502"/>
  <c r="T12" i="1502"/>
  <c r="T11" i="1502"/>
  <c r="T16"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Q16" i="1502"/>
  <c r="Q16" i="1504"/>
  <c r="R16" i="1504" s="1"/>
  <c r="T2" i="1502"/>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Z4" i="7" s="1"/>
  <c r="Z5" i="7" s="1"/>
  <c r="Z6" i="7" s="1"/>
  <c r="Z7" i="7" s="1"/>
  <c r="Z8" i="7" s="1"/>
  <c r="Z9" i="7" s="1"/>
  <c r="Z10" i="7" s="1"/>
  <c r="Z11" i="7" s="1"/>
  <c r="Z12" i="7" s="1"/>
  <c r="Z13" i="7" s="1"/>
  <c r="Z14" i="7" s="1"/>
  <c r="Z15" i="7" s="1"/>
  <c r="Z16" i="7" s="1"/>
  <c r="Z17" i="7" s="1"/>
  <c r="Y4" i="7" l="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E2" i="1500"/>
  <c r="EK2" i="1500"/>
  <c r="EN2" i="1500"/>
  <c r="EW2" i="1500"/>
  <c r="EZ2" i="1500"/>
  <c r="FF2" i="1500"/>
  <c r="FP2" i="1500"/>
  <c r="EV2" i="1500"/>
  <c r="FM2" i="1500"/>
  <c r="ER2" i="1500"/>
  <c r="FQ2" i="1500"/>
  <c r="FI2" i="1500"/>
  <c r="FK2" i="1500"/>
  <c r="FS2" i="1500"/>
  <c r="FG2" i="1500"/>
  <c r="FD2" i="1500"/>
  <c r="EY2" i="1500"/>
  <c r="EU2" i="1500"/>
  <c r="ES2" i="1500"/>
  <c r="FL2" i="1500"/>
  <c r="FR2" i="1500"/>
  <c r="FC2" i="1500"/>
  <c r="EO2" i="1500"/>
  <c r="EP2" i="1500"/>
  <c r="ET2" i="1500"/>
  <c r="FA2" i="1500"/>
  <c r="FB2" i="1500"/>
  <c r="EM2" i="1500"/>
  <c r="FO2" i="1500"/>
  <c r="FN2" i="1500"/>
  <c r="FJ2" i="1500"/>
  <c r="EX2" i="1500"/>
  <c r="EQ2" i="1500"/>
  <c r="FH2" i="1500"/>
  <c r="AS17" i="1499" l="1"/>
  <c r="L17" i="1499"/>
  <c r="BB17" i="7"/>
  <c r="BZ17" i="7" s="1"/>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BN9" i="7"/>
  <c r="BQ9" i="7"/>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X9" i="1500"/>
  <c r="DW9" i="1500"/>
  <c r="DZ9"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I11" i="1499" l="1"/>
  <c r="BR11" i="7"/>
  <c r="E11" i="1499"/>
  <c r="BD12" i="1499"/>
  <c r="W11" i="1499"/>
  <c r="BL12" i="7"/>
  <c r="BL11" i="7"/>
  <c r="BC11" i="1499"/>
  <c r="V11" i="1499"/>
  <c r="AN10" i="7"/>
  <c r="BL10" i="1499" s="1"/>
  <c r="BK10" i="1499"/>
  <c r="BM10" i="1499"/>
  <c r="AF13" i="7"/>
  <c r="AP11" i="1499"/>
  <c r="AB11" i="1499"/>
  <c r="V12" i="1499"/>
  <c r="AE13" i="7"/>
  <c r="V13" i="1499" s="1"/>
  <c r="BM12" i="7"/>
  <c r="R12" i="7"/>
  <c r="R13" i="7" s="1"/>
  <c r="I13" i="1499" s="1"/>
  <c r="AN11" i="1499"/>
  <c r="BQ11" i="7"/>
  <c r="U12" i="1499"/>
  <c r="BD11" i="1499"/>
  <c r="BM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BJ12" i="7"/>
  <c r="BF12" i="1499"/>
  <c r="BO12" i="7"/>
  <c r="X13"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C12" i="1499" l="1"/>
  <c r="AE10" i="1499"/>
  <c r="BL13" i="7"/>
  <c r="DU20" i="1500" s="1"/>
  <c r="CA20" i="1500"/>
  <c r="AP12" i="1499"/>
  <c r="AY12" i="7"/>
  <c r="I12" i="1499"/>
  <c r="AY13" i="7"/>
  <c r="DH20" i="1500"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BF13" i="7" l="1"/>
  <c r="DO20" i="1500" s="1"/>
  <c r="CH20" i="1500"/>
  <c r="Y14" i="7"/>
  <c r="AW13" i="1499"/>
  <c r="G13" i="1499"/>
  <c r="P14" i="7"/>
  <c r="AN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W15" i="7"/>
  <c r="W16" i="7" s="1"/>
  <c r="Y15" i="7"/>
  <c r="Y16" i="7" s="1"/>
  <c r="AW14" i="1499"/>
  <c r="BF14" i="7"/>
  <c r="DO21" i="1500" s="1"/>
  <c r="DJ20" i="1500"/>
  <c r="AP14" i="1499"/>
  <c r="AY14" i="7"/>
  <c r="DH21" i="1500" s="1"/>
  <c r="CT21" i="1500"/>
  <c r="CH21" i="1500"/>
  <c r="AX14" i="1499"/>
  <c r="P15" i="7"/>
  <c r="P16" i="7" s="1"/>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O14" i="7" l="1"/>
  <c r="CX21" i="1500" s="1"/>
  <c r="AI17" i="7"/>
  <c r="Z16" i="1499"/>
  <c r="BG16" i="1499"/>
  <c r="BP16" i="7"/>
  <c r="AA17" i="7"/>
  <c r="R16" i="1499"/>
  <c r="AY16" i="1499"/>
  <c r="BH16" i="7"/>
  <c r="X16" i="1499"/>
  <c r="BE16" i="1499"/>
  <c r="BN16" i="7"/>
  <c r="AG17" i="7"/>
  <c r="G16" i="1499"/>
  <c r="AN16" i="1499"/>
  <c r="AW16" i="7"/>
  <c r="P17" i="7"/>
  <c r="AW16" i="1499"/>
  <c r="P16" i="1499"/>
  <c r="W17" i="7"/>
  <c r="N16" i="1499"/>
  <c r="AU16" i="1499"/>
  <c r="BD16" i="7"/>
  <c r="S16" i="1499"/>
  <c r="AZ16" i="1499"/>
  <c r="AB17" i="7"/>
  <c r="BI16" i="7"/>
  <c r="AL14" i="1499"/>
  <c r="U16" i="1499"/>
  <c r="BB16" i="1499"/>
  <c r="BK16" i="7"/>
  <c r="CA16" i="7" s="1"/>
  <c r="AD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AD14" i="1499"/>
  <c r="BK14" i="1499"/>
  <c r="AN14" i="7"/>
  <c r="CW21" i="1500" s="1"/>
  <c r="AN17" i="1499"/>
  <c r="G17" i="1499"/>
  <c r="AW17" i="7"/>
  <c r="BC15" i="7"/>
  <c r="DL22" i="1500" s="1"/>
  <c r="V16" i="7"/>
  <c r="U17" i="1499"/>
  <c r="BB17" i="1499"/>
  <c r="BK17" i="7"/>
  <c r="CA17" i="7" s="1"/>
  <c r="O15" i="1499"/>
  <c r="X16" i="7"/>
  <c r="AZ17" i="1499"/>
  <c r="S17" i="1499"/>
  <c r="BI17" i="7"/>
  <c r="BE17" i="1499"/>
  <c r="X17" i="1499"/>
  <c r="BN17" i="7"/>
  <c r="BF15" i="1499"/>
  <c r="AH16" i="7"/>
  <c r="V16" i="1499"/>
  <c r="BC16" i="1499"/>
  <c r="BL16" i="7"/>
  <c r="AE17" i="7"/>
  <c r="AO16" i="1499"/>
  <c r="H16" i="1499"/>
  <c r="AX16" i="7"/>
  <c r="Q17" i="7"/>
  <c r="AR15" i="7"/>
  <c r="AS15" i="7" s="1"/>
  <c r="L16" i="7"/>
  <c r="R17" i="1499"/>
  <c r="AY17" i="1499"/>
  <c r="BH17" i="7"/>
  <c r="BI16" i="1499"/>
  <c r="AB16" i="1499"/>
  <c r="BR16" i="7"/>
  <c r="AK17" i="7"/>
  <c r="BM15" i="7"/>
  <c r="DV22" i="1500" s="1"/>
  <c r="AF16" i="7"/>
  <c r="BA16" i="1499"/>
  <c r="T16" i="1499"/>
  <c r="AC17" i="7"/>
  <c r="BJ16" i="7"/>
  <c r="AU17" i="1499"/>
  <c r="N17" i="1499"/>
  <c r="BD17" i="7"/>
  <c r="N17" i="7"/>
  <c r="E16" i="1499"/>
  <c r="AL16" i="1499"/>
  <c r="AU16" i="7"/>
  <c r="I15" i="1499"/>
  <c r="R16" i="7"/>
  <c r="M17" i="7"/>
  <c r="D16" i="1499"/>
  <c r="AK16" i="1499"/>
  <c r="AJ17" i="7"/>
  <c r="AA16" i="1499"/>
  <c r="BH16" i="1499"/>
  <c r="BQ16" i="7"/>
  <c r="J16" i="1499"/>
  <c r="AQ16" i="1499"/>
  <c r="S17" i="7"/>
  <c r="AZ16" i="7"/>
  <c r="AM15" i="1499"/>
  <c r="O16" i="7"/>
  <c r="BJ16" i="1499"/>
  <c r="AC16" i="1499"/>
  <c r="AL17" i="7"/>
  <c r="BS16" i="7"/>
  <c r="P17" i="1499"/>
  <c r="AW17" i="1499"/>
  <c r="BG17" i="1499"/>
  <c r="Z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CN22" i="1500"/>
  <c r="U15" i="1499"/>
  <c r="CE23" i="1500"/>
  <c r="BS22" i="1500"/>
  <c r="BV22" i="1500"/>
  <c r="Y15" i="1499"/>
  <c r="CO22" i="1500"/>
  <c r="W15" i="1499"/>
  <c r="K15" i="1499"/>
  <c r="BY23" i="1500"/>
  <c r="CM23" i="1500"/>
  <c r="CI23"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DA22" i="1500"/>
  <c r="L14" i="1502"/>
  <c r="DB22" i="1500"/>
  <c r="E17" i="1499"/>
  <c r="AL17" i="1499"/>
  <c r="AU17" i="7"/>
  <c r="L17" i="7"/>
  <c r="AJ16" i="1499"/>
  <c r="C16" i="1499"/>
  <c r="AR16" i="7"/>
  <c r="AS16" i="7" s="1"/>
  <c r="L15" i="1502" s="1"/>
  <c r="BT19" i="1499" a="1"/>
  <c r="BP19" i="1499" a="1"/>
  <c r="BP36" i="1499" a="1"/>
  <c r="BV36" i="1499" a="1"/>
  <c r="AO17" i="1499"/>
  <c r="H17" i="1499"/>
  <c r="AX17" i="7"/>
  <c r="X17" i="7"/>
  <c r="AV16" i="1499"/>
  <c r="O16" i="1499"/>
  <c r="BE16" i="7"/>
  <c r="DN23" i="1500" s="1"/>
  <c r="O17" i="7"/>
  <c r="F16" i="1499"/>
  <c r="AM16" i="1499"/>
  <c r="AV16" i="7"/>
  <c r="DE23" i="1500" s="1"/>
  <c r="AO16" i="7"/>
  <c r="AM16" i="7"/>
  <c r="T17" i="1499"/>
  <c r="BA17" i="1499"/>
  <c r="BJ17" i="7"/>
  <c r="BX23" i="1500"/>
  <c r="AA17" i="1499"/>
  <c r="BH17" i="1499"/>
  <c r="BQ17" i="7"/>
  <c r="V17" i="1499"/>
  <c r="BC17" i="1499"/>
  <c r="BL17" i="7"/>
  <c r="W16" i="1499"/>
  <c r="BD16" i="1499"/>
  <c r="BM16" i="7"/>
  <c r="AF17" i="7"/>
  <c r="V17" i="7"/>
  <c r="M16" i="1499"/>
  <c r="AT16" i="1499"/>
  <c r="BC16" i="7"/>
  <c r="DL23" i="1500" s="1"/>
  <c r="J17" i="1499"/>
  <c r="AQ17" i="1499"/>
  <c r="AZ17" i="7"/>
  <c r="D17" i="1499"/>
  <c r="AK17" i="1499"/>
  <c r="AB17" i="1499"/>
  <c r="BI17" i="1499"/>
  <c r="BR17" i="7"/>
  <c r="AC17" i="1499"/>
  <c r="BJ17" i="1499"/>
  <c r="BS17" i="7"/>
  <c r="AP16" i="1499"/>
  <c r="I16" i="1499"/>
  <c r="R17" i="7"/>
  <c r="AY16" i="7"/>
  <c r="DH23" i="1500" s="1"/>
  <c r="AH17" i="7"/>
  <c r="Y16" i="1499"/>
  <c r="BF16" i="1499"/>
  <c r="BO16" i="7"/>
  <c r="DX23" i="1500" s="1"/>
  <c r="BP37" i="1499" a="1"/>
  <c r="BV37" i="1499" a="1"/>
  <c r="BP14" i="1499" a="1"/>
  <c r="BT14" i="1499" a="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T37" i="1499"/>
  <c r="BS37" i="1499"/>
  <c r="BR37" i="1499"/>
  <c r="BU37" i="1499"/>
  <c r="BQ37" i="1499"/>
  <c r="BY36" i="1499"/>
  <c r="BW36" i="1499"/>
  <c r="BX36" i="1499"/>
  <c r="BZ36" i="1499"/>
  <c r="CA36" i="1499"/>
  <c r="CB36" i="1499"/>
  <c r="BV36" i="1499"/>
  <c r="BP36" i="1499"/>
  <c r="BR36" i="1499"/>
  <c r="BS36" i="1499"/>
  <c r="CA19" i="1499" s="1"/>
  <c r="BT36" i="1499"/>
  <c r="BU36" i="1499"/>
  <c r="BQ36" i="1499"/>
  <c r="BS19" i="1499"/>
  <c r="BP19" i="1499"/>
  <c r="BQ19" i="1499"/>
  <c r="BR19" i="1499"/>
  <c r="BW19" i="1499"/>
  <c r="BV19" i="1499"/>
  <c r="BU19" i="1499"/>
  <c r="BX19" i="1499"/>
  <c r="BT19" i="1499"/>
  <c r="BF17" i="1499"/>
  <c r="Y17" i="1499"/>
  <c r="BO17" i="7"/>
  <c r="BM16" i="1499"/>
  <c r="AF16" i="1499"/>
  <c r="BD17" i="1499"/>
  <c r="W17" i="1499"/>
  <c r="BM17" i="7"/>
  <c r="BV16" i="7"/>
  <c r="BW16" i="7" s="1"/>
  <c r="BT16" i="7"/>
  <c r="BU16" i="7" s="1"/>
  <c r="AP17" i="1499"/>
  <c r="I17" i="1499"/>
  <c r="AY17" i="7"/>
  <c r="M17" i="1499"/>
  <c r="AT17" i="1499"/>
  <c r="BC17" i="7"/>
  <c r="C17" i="1499"/>
  <c r="AJ17" i="1499"/>
  <c r="AR17" i="7"/>
  <c r="AS17" i="7" s="1"/>
  <c r="L16" i="1502" s="1"/>
  <c r="F17" i="1499"/>
  <c r="AM17" i="1499"/>
  <c r="AV17" i="7"/>
  <c r="AM17" i="7"/>
  <c r="AO17" i="7"/>
  <c r="BK16" i="1499"/>
  <c r="AD16" i="1499"/>
  <c r="AN16" i="7"/>
  <c r="CX23" i="1500"/>
  <c r="BU14" i="1499"/>
  <c r="BT14" i="1499"/>
  <c r="BX14" i="1499"/>
  <c r="BW14" i="1499"/>
  <c r="BV14" i="1499"/>
  <c r="BQ14" i="1499"/>
  <c r="BS14" i="1499"/>
  <c r="BP14" i="1499"/>
  <c r="BR14" i="1499"/>
  <c r="BV37" i="1499"/>
  <c r="CE14" i="1499" s="1"/>
  <c r="BW37" i="1499"/>
  <c r="CD14" i="1499" s="1"/>
  <c r="CB37" i="1499"/>
  <c r="BY14" i="1499" s="1" a="1"/>
  <c r="BY14" i="1499" s="1"/>
  <c r="CA37" i="1499"/>
  <c r="BZ14" i="1499" s="1" a="1"/>
  <c r="BZ14" i="1499" s="1"/>
  <c r="BX37" i="1499"/>
  <c r="CC14" i="1499" s="1"/>
  <c r="BY37" i="1499"/>
  <c r="CB14" i="1499" s="1"/>
  <c r="BZ37" i="1499"/>
  <c r="CA14" i="1499" s="1"/>
  <c r="AV17" i="1499"/>
  <c r="O17" i="1499"/>
  <c r="BE17" i="7"/>
  <c r="BY19" i="1499"/>
  <c r="BZ19" i="1499"/>
  <c r="CB19" i="1499"/>
  <c r="CC19" i="1499"/>
  <c r="CD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E33" i="1495" l="1"/>
  <c r="BL16" i="1499"/>
  <c r="AE16" i="1499"/>
  <c r="D29" i="1495"/>
  <c r="P11" i="1506" s="1"/>
  <c r="AF17" i="1499"/>
  <c r="BM17" i="1499"/>
  <c r="E31" i="1495"/>
  <c r="BK17" i="1499"/>
  <c r="AD17" i="1499"/>
  <c r="AN17" i="7"/>
  <c r="E22" i="1495"/>
  <c r="L9" i="1495"/>
  <c r="E20" i="1495"/>
  <c r="L15" i="1495"/>
  <c r="E24" i="1495"/>
  <c r="L7" i="1495"/>
  <c r="E26" i="1495"/>
  <c r="L10" i="1495"/>
  <c r="E25" i="1495"/>
  <c r="L13" i="1495"/>
  <c r="E23" i="1495"/>
  <c r="L5" i="1495"/>
  <c r="E29" i="1495"/>
  <c r="L8" i="1495"/>
  <c r="E28" i="1495"/>
  <c r="L6" i="1495"/>
  <c r="E27" i="1495"/>
  <c r="L11" i="1495"/>
  <c r="L4" i="1495"/>
  <c r="E21" i="1495"/>
  <c r="E32" i="1495"/>
  <c r="E34" i="1495"/>
  <c r="EN34" i="1500" s="1"/>
  <c r="E30" i="1495"/>
  <c r="L12" i="1495"/>
  <c r="L14" i="1495"/>
  <c r="BT17" i="7"/>
  <c r="BU17" i="7" s="1"/>
  <c r="BV17" i="7"/>
  <c r="BW17" i="7" s="1"/>
  <c r="D24" i="1495"/>
  <c r="P6" i="1506" s="1"/>
  <c r="D20" i="1495"/>
  <c r="P2" i="1506"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V14" i="1506" s="1"/>
  <c r="EN33" i="1500"/>
  <c r="Q15" i="1506"/>
  <c r="W15" i="1506" s="1"/>
  <c r="EM29" i="1500"/>
  <c r="P9" i="1506"/>
  <c r="V9" i="1506" s="1"/>
  <c r="EM26" i="1500"/>
  <c r="EM25" i="1500"/>
  <c r="EM24" i="1500"/>
  <c r="Q12" i="1506"/>
  <c r="W12" i="1506" s="1"/>
  <c r="EN30" i="1500"/>
  <c r="Q8" i="1506"/>
  <c r="W8" i="1506" s="1"/>
  <c r="EN26" i="1500"/>
  <c r="Q6" i="1506"/>
  <c r="W6" i="1506" s="1"/>
  <c r="EN24" i="1500"/>
  <c r="Q2" i="1506"/>
  <c r="W2" i="1506" s="1"/>
  <c r="EN20" i="1500"/>
  <c r="Q3" i="1506"/>
  <c r="W3" i="1506" s="1"/>
  <c r="EN21" i="1500"/>
  <c r="Q9" i="1506"/>
  <c r="W9" i="1506" s="1"/>
  <c r="EN27" i="1500"/>
  <c r="Q4" i="1506"/>
  <c r="W4" i="1506" s="1"/>
  <c r="EN22" i="1500"/>
  <c r="AE17" i="1499"/>
  <c r="BL17" i="1499"/>
  <c r="Q11" i="1506"/>
  <c r="W11" i="1506" s="1"/>
  <c r="EN29" i="1500"/>
  <c r="Q13" i="1506"/>
  <c r="W13" i="1506" s="1"/>
  <c r="EN31" i="1500"/>
  <c r="Q5" i="1506"/>
  <c r="W5" i="1506" s="1"/>
  <c r="EN23" i="1500"/>
  <c r="Q10" i="1506"/>
  <c r="W10" i="1506" s="1"/>
  <c r="EN28" i="1500"/>
  <c r="EM20" i="1500"/>
  <c r="Q7" i="1506"/>
  <c r="W7" i="1506" s="1"/>
  <c r="EN25" i="1500"/>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5" i="1506" l="1"/>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34" i="1495" l="1"/>
  <c r="EP34" i="1500" s="1"/>
  <c r="G31" i="1495"/>
  <c r="G30" i="1495"/>
  <c r="G33" i="1495"/>
  <c r="G32" i="1495"/>
  <c r="I4" i="1495"/>
  <c r="G27" i="1495"/>
  <c r="G21" i="1495"/>
  <c r="G28" i="1495"/>
  <c r="G29" i="1495"/>
  <c r="G26" i="1495"/>
  <c r="G23" i="1495"/>
  <c r="G25" i="1495"/>
  <c r="G24" i="1495"/>
  <c r="G22"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J6" i="1495"/>
  <c r="ES6" i="1500" s="1"/>
  <c r="CW49" i="1499"/>
  <c r="CT46" i="1499"/>
  <c r="CT74" i="1499" s="1"/>
  <c r="CT45" i="1499"/>
  <c r="CT73" i="1499" s="1"/>
  <c r="CT44" i="1499"/>
  <c r="CT72" i="1499" s="1"/>
  <c r="CT43" i="1499"/>
  <c r="CT71" i="1499" s="1"/>
  <c r="CT3" i="1499"/>
  <c r="CT47" i="1499"/>
  <c r="CT39" i="1499"/>
  <c r="CT38" i="1499"/>
  <c r="CT66" i="1499" s="1"/>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EV17" i="1500"/>
  <c r="R13" i="1495"/>
  <c r="U5" i="1495"/>
  <c r="FD5" i="1500" s="1"/>
  <c r="FD18" i="1500"/>
  <c r="U10" i="1495"/>
  <c r="FD10" i="1500" s="1"/>
  <c r="FD17" i="1500"/>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FK15" i="1500"/>
  <c r="DH3" i="1499"/>
  <c r="FK17" i="1500"/>
  <c r="O18" i="1492"/>
  <c r="FA17" i="1500"/>
  <c r="FA19" i="1500"/>
  <c r="F18" i="1492"/>
  <c r="FA18" i="1500"/>
  <c r="R4" i="1495"/>
  <c r="FA4" i="1500" s="1"/>
  <c r="AB4" i="1495"/>
  <c r="FK19" i="1500"/>
  <c r="FA15"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F34" i="1495" l="1"/>
  <c r="EO34" i="1500" s="1"/>
  <c r="EP32" i="1500"/>
  <c r="S14" i="1506"/>
  <c r="Y14" i="1506" s="1"/>
  <c r="EP33" i="1500"/>
  <c r="S15" i="1506"/>
  <c r="Y15" i="1506" s="1"/>
  <c r="CB13" i="1499"/>
  <c r="AT4" i="1495"/>
  <c r="AT5" i="1495" s="1"/>
  <c r="AT6" i="1495" s="1"/>
  <c r="AT7" i="1495" s="1"/>
  <c r="AT8" i="1495" s="1"/>
  <c r="AT9" i="1495" s="1"/>
  <c r="AT10" i="1495" s="1"/>
  <c r="AT11" i="1495" s="1"/>
  <c r="AT12" i="1495" s="1"/>
  <c r="AT13" i="1495" s="1"/>
  <c r="AT14" i="1495" s="1"/>
  <c r="AT15" i="1495" s="1"/>
  <c r="H7" i="1495"/>
  <c r="H6" i="1495"/>
  <c r="S12" i="1506"/>
  <c r="Y12" i="1506" s="1"/>
  <c r="EP30" i="1500"/>
  <c r="H5" i="1495"/>
  <c r="S13" i="1506"/>
  <c r="Y13" i="1506" s="1"/>
  <c r="EP31" i="1500"/>
  <c r="F27" i="1495"/>
  <c r="H13" i="1495"/>
  <c r="S2" i="1506"/>
  <c r="Y2" i="1506" s="1"/>
  <c r="EP20" i="1500"/>
  <c r="F26" i="1495"/>
  <c r="H9" i="1495"/>
  <c r="S4" i="1506"/>
  <c r="Y4" i="1506" s="1"/>
  <c r="EP22" i="1500"/>
  <c r="F23" i="1495"/>
  <c r="H12" i="1495"/>
  <c r="S6" i="1506"/>
  <c r="Y6" i="1506" s="1"/>
  <c r="EP24" i="1500"/>
  <c r="F24" i="1495"/>
  <c r="H4" i="1495"/>
  <c r="S7" i="1506"/>
  <c r="Y7" i="1506" s="1"/>
  <c r="EP25" i="1500"/>
  <c r="F25" i="1495"/>
  <c r="F21" i="1495"/>
  <c r="S5" i="1506"/>
  <c r="Y5" i="1506" s="1"/>
  <c r="EP23" i="1500"/>
  <c r="F22" i="1495"/>
  <c r="F29" i="1495"/>
  <c r="S8" i="1506"/>
  <c r="Y8" i="1506" s="1"/>
  <c r="EP26" i="1500"/>
  <c r="F28" i="1495"/>
  <c r="H15" i="1495"/>
  <c r="S11" i="1506"/>
  <c r="Y11" i="1506" s="1"/>
  <c r="EP29" i="1500"/>
  <c r="H14" i="1495"/>
  <c r="F32" i="1495"/>
  <c r="S10" i="1506"/>
  <c r="Y10" i="1506" s="1"/>
  <c r="EP28" i="1500"/>
  <c r="H11" i="1495"/>
  <c r="F30" i="1495"/>
  <c r="S3" i="1506"/>
  <c r="Y3" i="1506" s="1"/>
  <c r="EP21" i="1500"/>
  <c r="H10" i="1495"/>
  <c r="V9" i="1504" s="1"/>
  <c r="AB9" i="1504" s="1"/>
  <c r="F33" i="1495"/>
  <c r="S9" i="1506"/>
  <c r="Y9" i="1506" s="1"/>
  <c r="EP27" i="1500"/>
  <c r="H8" i="1495"/>
  <c r="F31" i="1495"/>
  <c r="G5" i="1495"/>
  <c r="G7" i="1495"/>
  <c r="G8" i="1495"/>
  <c r="G4" i="1495"/>
  <c r="G9" i="1495"/>
  <c r="G14" i="1495"/>
  <c r="EP14" i="1500" s="1"/>
  <c r="G13" i="1495"/>
  <c r="EP13" i="1500" s="1"/>
  <c r="G11" i="1495"/>
  <c r="EP11" i="1500" s="1"/>
  <c r="G12" i="1495"/>
  <c r="EP12" i="1500" s="1"/>
  <c r="G6" i="1495"/>
  <c r="G10" i="1495"/>
  <c r="EP10" i="1500" s="1"/>
  <c r="G15" i="1495"/>
  <c r="EP15" i="1500" s="1"/>
  <c r="F20"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9" i="1500"/>
  <c r="EP9" i="1500"/>
  <c r="EP8" i="1500"/>
  <c r="EP7" i="1500"/>
  <c r="EP17" i="1500"/>
  <c r="EP5" i="1500"/>
  <c r="EP16"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O4" i="1495"/>
  <c r="EX4" i="1500" s="1"/>
  <c r="F31" i="1492"/>
  <c r="L31" i="1492"/>
  <c r="P23" i="1492"/>
  <c r="O23" i="1492"/>
  <c r="CI3" i="1499"/>
  <c r="CM3" i="1499"/>
  <c r="FC16" i="1500"/>
  <c r="T4" i="1495"/>
  <c r="FC4" i="1500" s="1"/>
  <c r="Q31" i="1492"/>
  <c r="G31" i="1492"/>
  <c r="EM18" i="1500"/>
  <c r="EM17" i="1500"/>
  <c r="EL5" i="1500"/>
  <c r="EL14" i="1500"/>
  <c r="K23" i="1492"/>
  <c r="Q23" i="1492"/>
  <c r="CN3" i="1499"/>
  <c r="J31" i="1492"/>
  <c r="CZ3" i="1499"/>
  <c r="P31" i="1492"/>
  <c r="I23" i="1492"/>
  <c r="F23" i="1492"/>
  <c r="I31" i="1492"/>
  <c r="J23" i="1492"/>
  <c r="L23" i="1492"/>
  <c r="EO32" i="1500" l="1"/>
  <c r="R14" i="1506"/>
  <c r="X14" i="1506" s="1"/>
  <c r="EO33" i="1500"/>
  <c r="R15" i="1506"/>
  <c r="X15" i="1506" s="1"/>
  <c r="DF17" i="1499"/>
  <c r="K4" i="1495"/>
  <c r="S3" i="1504" s="1"/>
  <c r="Y3" i="1504" s="1"/>
  <c r="C23" i="1495"/>
  <c r="O5" i="1506" s="1"/>
  <c r="R13" i="1506"/>
  <c r="X13" i="1506" s="1"/>
  <c r="EO31" i="1500"/>
  <c r="C21" i="1495"/>
  <c r="C25" i="1495"/>
  <c r="R2" i="1506"/>
  <c r="X2" i="1506" s="1"/>
  <c r="EO20" i="1500"/>
  <c r="C34" i="1495"/>
  <c r="EL34" i="1500" s="1"/>
  <c r="R11" i="1506"/>
  <c r="X11" i="1506" s="1"/>
  <c r="EO29" i="1500"/>
  <c r="C33" i="1495"/>
  <c r="R10" i="1506"/>
  <c r="X10" i="1506" s="1"/>
  <c r="EO28" i="1500"/>
  <c r="R4" i="1506"/>
  <c r="X4" i="1506" s="1"/>
  <c r="EO22" i="1500"/>
  <c r="C32" i="1495"/>
  <c r="R8" i="1506"/>
  <c r="X8" i="1506" s="1"/>
  <c r="EO26" i="1500"/>
  <c r="C31" i="1495"/>
  <c r="C30" i="1495"/>
  <c r="R5" i="1506"/>
  <c r="X5" i="1506" s="1"/>
  <c r="EO23" i="1500"/>
  <c r="R12" i="1506"/>
  <c r="X12" i="1506" s="1"/>
  <c r="EO30" i="1500"/>
  <c r="C20" i="1495"/>
  <c r="R3" i="1506"/>
  <c r="X3" i="1506" s="1"/>
  <c r="EO21" i="1500"/>
  <c r="C27" i="1495"/>
  <c r="R7" i="1506"/>
  <c r="X7" i="1506" s="1"/>
  <c r="EO25" i="1500"/>
  <c r="R9" i="1506"/>
  <c r="X9" i="1506" s="1"/>
  <c r="EO27" i="1500"/>
  <c r="C26" i="1495"/>
  <c r="C24" i="1495"/>
  <c r="C28" i="1495"/>
  <c r="R6" i="1506"/>
  <c r="X6" i="1506" s="1"/>
  <c r="EO24" i="1500"/>
  <c r="K34" i="1492"/>
  <c r="K10" i="1495"/>
  <c r="C29" i="1495"/>
  <c r="C22" i="1495"/>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32" i="1500" l="1"/>
  <c r="O14" i="1506"/>
  <c r="EL33" i="1500"/>
  <c r="O15" i="1506"/>
  <c r="EL23" i="1500"/>
  <c r="O9" i="1506"/>
  <c r="EL27" i="1500"/>
  <c r="O4" i="1506"/>
  <c r="EL22" i="1500"/>
  <c r="O2" i="1506"/>
  <c r="EL20" i="1500"/>
  <c r="O11" i="1506"/>
  <c r="EL29" i="1500"/>
  <c r="O7" i="1506"/>
  <c r="EL25" i="1500"/>
  <c r="O12" i="1506"/>
  <c r="EL30" i="1500"/>
  <c r="O3" i="1506"/>
  <c r="EL21" i="1500"/>
  <c r="O10" i="1506"/>
  <c r="EL28" i="1500"/>
  <c r="O13" i="1506"/>
  <c r="EL31" i="1500"/>
  <c r="O6" i="1506"/>
  <c r="EL24" i="1500"/>
  <c r="O8" i="1506"/>
  <c r="EL26" i="1500"/>
  <c r="U5" i="1506"/>
  <c r="T5"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T14" i="1506"/>
  <c r="U14" i="1506"/>
  <c r="U7" i="1506"/>
  <c r="T7" i="1506"/>
  <c r="U10" i="1506"/>
  <c r="T10" i="1506"/>
  <c r="U3" i="1506"/>
  <c r="T3" i="1506"/>
  <c r="U11" i="1506"/>
  <c r="T11" i="1506"/>
  <c r="U8" i="1506"/>
  <c r="T8" i="1506"/>
  <c r="U2" i="1506"/>
  <c r="T2" i="1506"/>
  <c r="U6" i="1506"/>
  <c r="T6" i="1506"/>
  <c r="U4" i="1506"/>
  <c r="T4" i="1506"/>
  <c r="U12" i="1506"/>
  <c r="T12" i="1506"/>
  <c r="U13" i="1506"/>
  <c r="T13" i="1506"/>
  <c r="U9" i="1506"/>
  <c r="T9"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<sst xmlns="http://schemas.openxmlformats.org/spreadsheetml/2006/main" count="1962" uniqueCount="723">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</sst>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Regression'!$E$2:$E$18</c:f>
              <c:numCache>
                <c:formatCode>0.0000</c:formatCode>
                <c:ptCount val="17"/>
                <c:pt idx="0">
                  <c:v>0.25458248472505091</c:v>
                </c:pt>
                <c:pt idx="1">
                  <c:v>0.41157155661364664</c:v>
                </c:pt>
                <c:pt idx="2">
                  <c:v>0.79797979797979812</c:v>
                </c:pt>
                <c:pt idx="3">
                  <c:v>1.3624489676739993</c:v>
                </c:pt>
                <c:pt idx="4">
                  <c:v>2.6321311148298348</c:v>
                </c:pt>
                <c:pt idx="5">
                  <c:v>3.9708642327058197</c:v>
                </c:pt>
                <c:pt idx="6">
                  <c:v>6.5230923877748817</c:v>
                </c:pt>
                <c:pt idx="7">
                  <c:v>9.9027150687659571</c:v>
                </c:pt>
                <c:pt idx="8">
                  <c:v>12.668380906452722</c:v>
                </c:pt>
                <c:pt idx="9">
                  <c:v>16.086936977458745</c:v>
                </c:pt>
                <c:pt idx="10">
                  <c:v>17.063427863768812</c:v>
                </c:pt>
                <c:pt idx="11">
                  <c:v>16.579220522169493</c:v>
                </c:pt>
                <c:pt idx="12">
                  <c:v>16.785980975640548</c:v>
                </c:pt>
                <c:pt idx="13">
                  <c:v>16.626316650749924</c:v>
                </c:pt>
                <c:pt idx="14">
                  <c:v>15.711315636897888</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Regression'!$M$2:$M$22</c:f>
              <c:numCache>
                <c:formatCode>General</c:formatCode>
                <c:ptCount val="21"/>
                <c:pt idx="0">
                  <c:v>0.2535504746259114</c:v>
                </c:pt>
                <c:pt idx="1">
                  <c:v>0.43680738588242757</c:v>
                </c:pt>
                <c:pt idx="2">
                  <c:v>0.88490170002532331</c:v>
                </c:pt>
                <c:pt idx="3">
                  <c:v>1.5564241703654311</c:v>
                </c:pt>
                <c:pt idx="4">
                  <c:v>2.7852133766843834</c:v>
                </c:pt>
                <c:pt idx="5">
                  <c:v>4.3449002484024959</c:v>
                </c:pt>
                <c:pt idx="6">
                  <c:v>6.9753980954900223</c:v>
                </c:pt>
                <c:pt idx="7">
                  <c:v>9.8883525699035584</c:v>
                </c:pt>
                <c:pt idx="8">
                  <c:v>12.782738523697281</c:v>
                </c:pt>
                <c:pt idx="9">
                  <c:v>15.044565830344126</c:v>
                </c:pt>
                <c:pt idx="10">
                  <c:v>16.647914297239602</c:v>
                </c:pt>
                <c:pt idx="11">
                  <c:v>17.56280981323258</c:v>
                </c:pt>
                <c:pt idx="12">
                  <c:v>18.079469359130336</c:v>
                </c:pt>
                <c:pt idx="13">
                  <c:v>18.378920839652167</c:v>
                </c:pt>
                <c:pt idx="14">
                  <c:v>18.5435655430745</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Regression'!$L$2:$L$16</c:f>
              <c:numCache>
                <c:formatCode>General</c:formatCode>
                <c:ptCount val="15"/>
                <c:pt idx="0">
                  <c:v>0</c:v>
                </c:pt>
                <c:pt idx="1">
                  <c:v>2.2711701410286961E-2</c:v>
                </c:pt>
                <c:pt idx="2">
                  <c:v>2.3387542977410837E-2</c:v>
                </c:pt>
                <c:pt idx="3">
                  <c:v>2.2878178602500198E-2</c:v>
                </c:pt>
                <c:pt idx="4">
                  <c:v>2.5945738750565411E-2</c:v>
                </c:pt>
                <c:pt idx="5">
                  <c:v>2.0333320052524622E-2</c:v>
                </c:pt>
                <c:pt idx="6">
                  <c:v>1.9694708021018414E-2</c:v>
                </c:pt>
                <c:pt idx="7">
                  <c:v>1.780892146977683E-2</c:v>
                </c:pt>
                <c:pt idx="8">
                  <c:v>1.0666384684841788E-2</c:v>
                </c:pt>
                <c:pt idx="9">
                  <c:v>9.9523010435653321E-3</c:v>
                </c:pt>
                <c:pt idx="10">
                  <c:v>1.1820970615234066E-3</c:v>
                </c:pt>
                <c:pt idx="11">
                  <c:v>-1.4694570152564994E-3</c:v>
                </c:pt>
                <c:pt idx="12">
                  <c:v>-5.4292197513925301E-4</c:v>
                </c:pt>
                <c:pt idx="13">
                  <c:v>-5.6704530371216953E-4</c:v>
                </c:pt>
                <c:pt idx="14">
                  <c:v>-2.7051876261762276E-3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Regression'!$P$2:$P$22</c:f>
              <c:numCache>
                <c:formatCode>General</c:formatCode>
                <c:ptCount val="21"/>
                <c:pt idx="0">
                  <c:v>2.6438696334164732E-2</c:v>
                </c:pt>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3">
                  <c:v>4.9646653685272426E-4</c:v>
                </c:pt>
                <c:pt idx="14">
                  <c:v>2.6081613936711147E-4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Calc.'!$AQ$26:$AQ$42</c:f>
              <c:numCache>
                <c:formatCode>General</c:formatCode>
                <c:ptCount val="17"/>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Calc.'!$AQ$3:$AQ$20</c:f>
              <c:numCache>
                <c:formatCode>General</c:formatCode>
                <c:ptCount val="18"/>
                <c:pt idx="0">
                  <c:v>33.304469459801503</c:v>
                </c:pt>
                <c:pt idx="1">
                  <c:v>32.924900862203941</c:v>
                </c:pt>
                <c:pt idx="2">
                  <c:v>32.014957839574308</c:v>
                </c:pt>
                <c:pt idx="3">
                  <c:v>30.315477206803397</c:v>
                </c:pt>
                <c:pt idx="4">
                  <c:v>27.833941626151354</c:v>
                </c:pt>
                <c:pt idx="5">
                  <c:v>25.300301216292095</c:v>
                </c:pt>
                <c:pt idx="6">
                  <c:v>21.049719988119346</c:v>
                </c:pt>
                <c:pt idx="7">
                  <c:v>15.990149640912744</c:v>
                </c:pt>
                <c:pt idx="8">
                  <c:v>9.8523701495223737</c:v>
                </c:pt>
                <c:pt idx="9">
                  <c:v>2.811568934044232</c:v>
                </c:pt>
                <c:pt idx="10">
                  <c:v>-5.3705249541990145</c:v>
                </c:pt>
                <c:pt idx="11">
                  <c:v>-13.621171921389388</c:v>
                </c:pt>
                <c:pt idx="12">
                  <c:v>-21.467495012798974</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Calc.'!$AR$26:$AR$42</c:f>
              <c:numCache>
                <c:formatCode>General</c:formatCode>
                <c:ptCount val="17"/>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Calc.'!$AR$3:$AR$20</c:f>
              <c:numCache>
                <c:formatCode>General</c:formatCode>
                <c:ptCount val="18"/>
                <c:pt idx="0">
                  <c:v>0</c:v>
                </c:pt>
                <c:pt idx="1">
                  <c:v>0.32491418213597362</c:v>
                </c:pt>
                <c:pt idx="2">
                  <c:v>0.25785212377043654</c:v>
                </c:pt>
                <c:pt idx="3">
                  <c:v>0.28993994945698193</c:v>
                </c:pt>
                <c:pt idx="4">
                  <c:v>0.63233205576925133</c:v>
                </c:pt>
                <c:pt idx="5">
                  <c:v>1.1553777155512948</c:v>
                </c:pt>
                <c:pt idx="6">
                  <c:v>1.9468987984987862</c:v>
                </c:pt>
                <c:pt idx="7">
                  <c:v>2.6646800126048769</c:v>
                </c:pt>
                <c:pt idx="8">
                  <c:v>3.2304299679619057</c:v>
                </c:pt>
                <c:pt idx="9">
                  <c:v>3.4558027854538791</c:v>
                </c:pt>
                <c:pt idx="10">
                  <c:v>3.2736251788312867</c:v>
                </c:pt>
                <c:pt idx="11">
                  <c:v>2.9328614894218119</c:v>
                </c:pt>
                <c:pt idx="12">
                  <c:v>2.4297927355784261</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Calc.'!$AW$26:$AW$42</c:f>
              <c:numCache>
                <c:formatCode>General</c:formatCode>
                <c:ptCount val="17"/>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Calc.'!$AW$3:$AW$20</c:f>
              <c:numCache>
                <c:formatCode>General</c:formatCode>
                <c:ptCount val="18"/>
                <c:pt idx="0">
                  <c:v>0.88809946714031973</c:v>
                </c:pt>
                <c:pt idx="1">
                  <c:v>0.82910054962871538</c:v>
                </c:pt>
                <c:pt idx="2">
                  <c:v>-2.9263717978803547E-2</c:v>
                </c:pt>
                <c:pt idx="3">
                  <c:v>-1.6264446491104689</c:v>
                </c:pt>
                <c:pt idx="4">
                  <c:v>-4.1384989003835253</c:v>
                </c:pt>
                <c:pt idx="5">
                  <c:v>-6.5732234599561883</c:v>
                </c:pt>
                <c:pt idx="6">
                  <c:v>-9.3578351139139535</c:v>
                </c:pt>
                <c:pt idx="7">
                  <c:v>-11.189317998833358</c:v>
                </c:pt>
                <c:pt idx="8">
                  <c:v>-11.834868215305676</c:v>
                </c:pt>
                <c:pt idx="9">
                  <c:v>-10.733812632639857</c:v>
                </c:pt>
                <c:pt idx="10">
                  <c:v>-7.6708018416014934</c:v>
                </c:pt>
                <c:pt idx="11">
                  <c:v>-3.96338340694804</c:v>
                </c:pt>
                <c:pt idx="12">
                  <c:v>-0.41506478214546272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Calc.'!$AN$26:$AN$42</c:f>
              <c:numCache>
                <c:formatCode>General</c:formatCode>
                <c:ptCount val="17"/>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Calc.'!$AN$3:$AN$20</c:f>
              <c:numCache>
                <c:formatCode>General</c:formatCode>
                <c:ptCount val="18"/>
                <c:pt idx="0">
                  <c:v>6.1109999999999998</c:v>
                </c:pt>
                <c:pt idx="1">
                  <c:v>5.806743197796604</c:v>
                </c:pt>
                <c:pt idx="2">
                  <c:v>5.74890794056485</c:v>
                </c:pt>
                <c:pt idx="3">
                  <c:v>5.7174463499457859</c:v>
                </c:pt>
                <c:pt idx="4">
                  <c:v>5.6212508493683728</c:v>
                </c:pt>
                <c:pt idx="5">
                  <c:v>5.4324091981344083</c:v>
                </c:pt>
                <c:pt idx="6">
                  <c:v>4.901656572270749</c:v>
                </c:pt>
                <c:pt idx="7">
                  <c:v>4.1081328761107851</c:v>
                </c:pt>
                <c:pt idx="8">
                  <c:v>3.0622399833910237</c:v>
                </c:pt>
                <c:pt idx="9">
                  <c:v>1.8434451848562037</c:v>
                </c:pt>
                <c:pt idx="10">
                  <c:v>0.52561149048582634</c:v>
                </c:pt>
                <c:pt idx="11">
                  <c:v>-0.47055620926171482</c:v>
                </c:pt>
                <c:pt idx="12">
                  <c:v>-0.9556734259121884</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Data'!$H$7:$H$79</c:f>
              <c:numCache>
                <c:formatCode>0.0000</c:formatCode>
                <c:ptCount val="73"/>
                <c:pt idx="0">
                  <c:v>0.25</c:v>
                </c:pt>
                <c:pt idx="1">
                  <c:v>0.40849999914169305</c:v>
                </c:pt>
                <c:pt idx="2">
                  <c:v>0.79</c:v>
                </c:pt>
                <c:pt idx="3">
                  <c:v>1.3430000377655029</c:v>
                </c:pt>
                <c:pt idx="4">
                  <c:v>2.6090999675750735</c:v>
                </c:pt>
                <c:pt idx="5">
                  <c:v>3.9289001060485846</c:v>
                </c:pt>
                <c:pt idx="6">
                  <c:v>6.4754999710083014</c:v>
                </c:pt>
                <c:pt idx="7">
                  <c:v>9.8106001449584959</c:v>
                </c:pt>
                <c:pt idx="8">
                  <c:v>12.582400186157226</c:v>
                </c:pt>
                <c:pt idx="9">
                  <c:v>15.968199594116211</c:v>
                </c:pt>
                <c:pt idx="10">
                  <c:v>16.753300531005859</c:v>
                </c:pt>
                <c:pt idx="11">
                  <c:v>16.191300256347656</c:v>
                </c:pt>
                <c:pt idx="12">
                  <c:v>16.129900796508789</c:v>
                </c:pt>
                <c:pt idx="13" formatCode="General">
                  <c:v>15.486100061035156</c:v>
                </c:pt>
                <c:pt idx="14" formatCode="General">
                  <c:v>12.884300096130371</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Regression!$CH$3:$CH$26</c:f>
              <c:numCache>
                <c:formatCode>0.000</c:formatCode>
                <c:ptCount val="24"/>
                <c:pt idx="0">
                  <c:v>0.77746405106227101</c:v>
                </c:pt>
                <c:pt idx="1">
                  <c:v>-1.4172226835638914E-2</c:v>
                </c:pt>
                <c:pt idx="2">
                  <c:v>0.12863032294194252</c:v>
                </c:pt>
                <c:pt idx="3">
                  <c:v>1.0953123350449647</c:v>
                </c:pt>
                <c:pt idx="4">
                  <c:v>2.8298782949394119</c:v>
                </c:pt>
                <c:pt idx="5">
                  <c:v>4.6799451352079897</c:v>
                </c:pt>
                <c:pt idx="6">
                  <c:v>7.2739559454749365</c:v>
                </c:pt>
                <c:pt idx="7">
                  <c:v>9.8252401251443509</c:v>
                </c:pt>
                <c:pt idx="8">
                  <c:v>12.356001126343767</c:v>
                </c:pt>
                <c:pt idx="9">
                  <c:v>14.524425284387947</c:v>
                </c:pt>
                <c:pt idx="10">
                  <c:v>16.215190250503181</c:v>
                </c:pt>
                <c:pt idx="11">
                  <c:v>17.026896393961632</c:v>
                </c:pt>
                <c:pt idx="12">
                  <c:v>16.86867821820811</c:v>
                </c:pt>
                <c:pt idx="13">
                  <c:v>15.485900761346695</c:v>
                </c:pt>
                <c:pt idx="14">
                  <c:v>12.537755730067348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Data'!$K$7:$K$79</c:f>
              <c:numCache>
                <c:formatCode>0.00</c:formatCode>
                <c:ptCount val="73"/>
                <c:pt idx="0">
                  <c:v>98.2</c:v>
                </c:pt>
                <c:pt idx="1">
                  <c:v>99.253700256347656</c:v>
                </c:pt>
                <c:pt idx="2">
                  <c:v>99</c:v>
                </c:pt>
                <c:pt idx="3">
                  <c:v>98.572502136230469</c:v>
                </c:pt>
                <c:pt idx="4">
                  <c:v>99.125</c:v>
                </c:pt>
                <c:pt idx="5">
                  <c:v>98.943199157714844</c:v>
                </c:pt>
                <c:pt idx="6">
                  <c:v>99.270401000976562</c:v>
                </c:pt>
                <c:pt idx="7">
                  <c:v>99.069801330566406</c:v>
                </c:pt>
                <c:pt idx="8">
                  <c:v>99.321296691894531</c:v>
                </c:pt>
                <c:pt idx="9">
                  <c:v>99.26190185546875</c:v>
                </c:pt>
                <c:pt idx="10">
                  <c:v>98.182502746582031</c:v>
                </c:pt>
                <c:pt idx="11">
                  <c:v>97.660202026367188</c:v>
                </c:pt>
                <c:pt idx="12">
                  <c:v>96.091499328613281</c:v>
                </c:pt>
                <c:pt idx="13" formatCode="General">
                  <c:v>93.142097473144531</c:v>
                </c:pt>
                <c:pt idx="14" formatCode="General">
                  <c:v>82.006500244140625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21.199999999953434</c:v>
                </c:pt>
                <c:pt idx="1">
                  <c:v>48.46666666661622</c:v>
                </c:pt>
                <c:pt idx="2">
                  <c:v>70.96666666661622</c:v>
                </c:pt>
                <c:pt idx="3">
                  <c:v>95.449999999953434</c:v>
                </c:pt>
                <c:pt idx="4">
                  <c:v>115.8833333333605</c:v>
                </c:pt>
                <c:pt idx="5">
                  <c:v>141.08333333325572</c:v>
                </c:pt>
                <c:pt idx="6">
                  <c:v>164.73333333333721</c:v>
                </c:pt>
                <c:pt idx="7">
                  <c:v>189.11666666652309</c:v>
                </c:pt>
                <c:pt idx="8">
                  <c:v>213.06666666653473</c:v>
                </c:pt>
                <c:pt idx="9">
                  <c:v>238.18333333334886</c:v>
                </c:pt>
                <c:pt idx="10">
                  <c:v>261.83333333325572</c:v>
                </c:pt>
                <c:pt idx="11">
                  <c:v>284.83333333331393</c:v>
                </c:pt>
                <c:pt idx="12">
                  <c:v>308.66666666662786</c:v>
                </c:pt>
                <c:pt idx="13">
                  <c:v>333.01666666654637</c:v>
                </c:pt>
              </c:numCache>
            </c:numRef>
          </c:xVal>
          <c:yVal>
            <c:numRef>
              <c:f>'Measured Data'!$H$8:$H$84</c:f>
              <c:numCache>
                <c:formatCode>0.0000</c:formatCode>
                <c:ptCount val="77"/>
                <c:pt idx="0">
                  <c:v>0.40849999914169305</c:v>
                </c:pt>
                <c:pt idx="1">
                  <c:v>0.79</c:v>
                </c:pt>
                <c:pt idx="2">
                  <c:v>1.3430000377655029</c:v>
                </c:pt>
                <c:pt idx="3">
                  <c:v>2.6090999675750735</c:v>
                </c:pt>
                <c:pt idx="4">
                  <c:v>3.9289001060485846</c:v>
                </c:pt>
                <c:pt idx="5">
                  <c:v>6.4754999710083014</c:v>
                </c:pt>
                <c:pt idx="6">
                  <c:v>9.8106001449584959</c:v>
                </c:pt>
                <c:pt idx="7">
                  <c:v>12.582400186157226</c:v>
                </c:pt>
                <c:pt idx="8">
                  <c:v>15.968199594116211</c:v>
                </c:pt>
                <c:pt idx="9">
                  <c:v>16.753300531005859</c:v>
                </c:pt>
                <c:pt idx="10">
                  <c:v>16.191300256347656</c:v>
                </c:pt>
                <c:pt idx="11">
                  <c:v>16.129900796508789</c:v>
                </c:pt>
                <c:pt idx="12" formatCode="General">
                  <c:v>15.486100061035156</c:v>
                </c:pt>
                <c:pt idx="13" formatCode="General">
                  <c:v>12.884300096130371</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Data'!$AF$7:$AF$84</c:f>
              <c:numCache>
                <c:formatCode>0.0000</c:formatCode>
                <c:ptCount val="78"/>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pt idx="13" formatCode="General">
                  <c:v>2.1092362344582591</c:v>
                </c:pt>
                <c:pt idx="14" formatCode="General">
                  <c:v>3.6634103019538191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Data'!$U$7:$U$84</c:f>
              <c:numCache>
                <c:formatCode>General</c:formatCode>
                <c:ptCount val="78"/>
                <c:pt idx="0">
                  <c:v>5.6000000000000001E-2</c:v>
                </c:pt>
                <c:pt idx="1">
                  <c:v>6.3E-2</c:v>
                </c:pt>
                <c:pt idx="2">
                  <c:v>6.3E-2</c:v>
                </c:pt>
                <c:pt idx="3">
                  <c:v>9.8000000000000004E-2</c:v>
                </c:pt>
                <c:pt idx="4">
                  <c:v>0.25800000000000001</c:v>
                </c:pt>
                <c:pt idx="5">
                  <c:v>0.57899999999999996</c:v>
                </c:pt>
                <c:pt idx="6">
                  <c:v>1.4039999999999999</c:v>
                </c:pt>
                <c:pt idx="7">
                  <c:v>3.0390000000000001</c:v>
                </c:pt>
                <c:pt idx="8">
                  <c:v>5.4450000000000003</c:v>
                </c:pt>
                <c:pt idx="9">
                  <c:v>7.3079999999999998</c:v>
                </c:pt>
                <c:pt idx="10">
                  <c:v>7.4710000000000001</c:v>
                </c:pt>
                <c:pt idx="11">
                  <c:v>6.4710000000000001</c:v>
                </c:pt>
                <c:pt idx="12">
                  <c:v>4.76</c:v>
                </c:pt>
                <c:pt idx="13">
                  <c:v>2.8809999999999998</c:v>
                </c:pt>
                <c:pt idx="14">
                  <c:v>2.2639999999999998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numRef>
          </c:xVal>
          <c:yVal>
            <c:numRef>
              <c:f>'Measured Data'!$AO$7:$AO$14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Data'!$T$7:$T$48</c:f>
              <c:numCache>
                <c:formatCode>0.0000</c:formatCode>
                <c:ptCount val="4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Data'!$V$7:$V$48</c:f>
              <c:numCache>
                <c:formatCode>General</c:formatCode>
                <c:ptCount val="42"/>
                <c:pt idx="0">
                  <c:v>1.976</c:v>
                </c:pt>
                <c:pt idx="1">
                  <c:v>2.0150000000000001</c:v>
                </c:pt>
                <c:pt idx="2">
                  <c:v>1.7390000000000001</c:v>
                </c:pt>
                <c:pt idx="3">
                  <c:v>1.6719999999999999</c:v>
                </c:pt>
                <c:pt idx="4">
                  <c:v>2.1360000000000001</c:v>
                </c:pt>
                <c:pt idx="5">
                  <c:v>2.411</c:v>
                </c:pt>
                <c:pt idx="6">
                  <c:v>2.9489999999999998</c:v>
                </c:pt>
                <c:pt idx="7">
                  <c:v>3.3559999999999999</c:v>
                </c:pt>
                <c:pt idx="8">
                  <c:v>3.2080000000000002</c:v>
                </c:pt>
                <c:pt idx="9">
                  <c:v>2.6469999999999998</c:v>
                </c:pt>
                <c:pt idx="10">
                  <c:v>2.246</c:v>
                </c:pt>
                <c:pt idx="11">
                  <c:v>1.889</c:v>
                </c:pt>
                <c:pt idx="12">
                  <c:v>1.5740000000000001</c:v>
                </c:pt>
                <c:pt idx="13">
                  <c:v>1.327</c:v>
                </c:pt>
                <c:pt idx="14">
                  <c:v>1.264</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Data'!$AA$7:$AA$48</c:f>
              <c:numCache>
                <c:formatCode>General</c:formatCode>
                <c:ptCount val="42"/>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pt idx="13">
                  <c:v>2.3639999999999999</c:v>
                </c:pt>
                <c:pt idx="14">
                  <c:v>1.6970000000000001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Data'!$AB$7:$AB$84</c:f>
              <c:numCache>
                <c:formatCode>General</c:formatCode>
                <c:ptCount val="78"/>
                <c:pt idx="0">
                  <c:v>2.2599999999999998</c:v>
                </c:pt>
                <c:pt idx="1">
                  <c:v>2.31</c:v>
                </c:pt>
                <c:pt idx="2">
                  <c:v>2.2650000000000001</c:v>
                </c:pt>
                <c:pt idx="3">
                  <c:v>2.2429999999999999</c:v>
                </c:pt>
                <c:pt idx="4">
                  <c:v>6.2320000000000002</c:v>
                </c:pt>
                <c:pt idx="5">
                  <c:v>9.57</c:v>
                </c:pt>
                <c:pt idx="6">
                  <c:v>12.855</c:v>
                </c:pt>
                <c:pt idx="7">
                  <c:v>16.155999999999999</c:v>
                </c:pt>
                <c:pt idx="8">
                  <c:v>15.374000000000001</c:v>
                </c:pt>
                <c:pt idx="9">
                  <c:v>12.234</c:v>
                </c:pt>
                <c:pt idx="10">
                  <c:v>8.4719999999999995</c:v>
                </c:pt>
                <c:pt idx="11">
                  <c:v>5.944</c:v>
                </c:pt>
                <c:pt idx="12">
                  <c:v>3.5590000000000002</c:v>
                </c:pt>
                <c:pt idx="13">
                  <c:v>2.2330000000000001</c:v>
                </c:pt>
                <c:pt idx="14">
                  <c:v>2.4950000000000001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Data'!$W$7:$W$84</c:f>
              <c:numCache>
                <c:formatCode>General</c:formatCode>
                <c:ptCount val="78"/>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pt idx="13">
                  <c:v>7.4999999999999997E-2</c:v>
                </c:pt>
                <c:pt idx="14">
                  <c:v>8.1000000000000003E-2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Data'!$Y$7:$Y$84</c:f>
              <c:numCache>
                <c:formatCode>General</c:formatCode>
                <c:ptCount val="78"/>
                <c:pt idx="0">
                  <c:v>1.014</c:v>
                </c:pt>
                <c:pt idx="1">
                  <c:v>1.083</c:v>
                </c:pt>
                <c:pt idx="2">
                  <c:v>1.04</c:v>
                </c:pt>
                <c:pt idx="3">
                  <c:v>0.96499999999999997</c:v>
                </c:pt>
                <c:pt idx="4">
                  <c:v>0.84899999999999998</c:v>
                </c:pt>
                <c:pt idx="5">
                  <c:v>0.8</c:v>
                </c:pt>
                <c:pt idx="6">
                  <c:v>0.70099999999999996</c:v>
                </c:pt>
                <c:pt idx="7">
                  <c:v>0.61899999999999999</c:v>
                </c:pt>
                <c:pt idx="8">
                  <c:v>0.44500000000000001</c:v>
                </c:pt>
                <c:pt idx="9">
                  <c:v>0.26100000000000001</c:v>
                </c:pt>
                <c:pt idx="10">
                  <c:v>0.14199999999999999</c:v>
                </c:pt>
                <c:pt idx="11">
                  <c:v>8.5999999999999993E-2</c:v>
                </c:pt>
                <c:pt idx="12">
                  <c:v>9.9000000000000005E-2</c:v>
                </c:pt>
                <c:pt idx="13">
                  <c:v>0.191</c:v>
                </c:pt>
                <c:pt idx="14">
                  <c:v>0.35799999999999998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Data'!$R$7:$R$79</c:f>
              <c:numCache>
                <c:formatCode>0.0000</c:formatCode>
                <c:ptCount val="73"/>
                <c:pt idx="0">
                  <c:v>325</c:v>
                </c:pt>
                <c:pt idx="1">
                  <c:v>326</c:v>
                </c:pt>
                <c:pt idx="2">
                  <c:v>331</c:v>
                </c:pt>
                <c:pt idx="3">
                  <c:v>326</c:v>
                </c:pt>
                <c:pt idx="4">
                  <c:v>345</c:v>
                </c:pt>
                <c:pt idx="5">
                  <c:v>375</c:v>
                </c:pt>
                <c:pt idx="6">
                  <c:v>393</c:v>
                </c:pt>
                <c:pt idx="7">
                  <c:v>406</c:v>
                </c:pt>
                <c:pt idx="8">
                  <c:v>378</c:v>
                </c:pt>
                <c:pt idx="9">
                  <c:v>375</c:v>
                </c:pt>
                <c:pt idx="10">
                  <c:v>382</c:v>
                </c:pt>
                <c:pt idx="11">
                  <c:v>382</c:v>
                </c:pt>
                <c:pt idx="12">
                  <c:v>408</c:v>
                </c:pt>
                <c:pt idx="13">
                  <c:v>424</c:v>
                </c:pt>
                <c:pt idx="14">
                  <c:v>445</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Data'!$S$7:$S$84</c:f>
              <c:numCache>
                <c:formatCode>0.0000</c:formatCode>
                <c:ptCount val="78"/>
                <c:pt idx="4">
                  <c:v>20.71</c:v>
                </c:pt>
                <c:pt idx="5">
                  <c:v>75.08</c:v>
                </c:pt>
                <c:pt idx="6">
                  <c:v>195.04</c:v>
                </c:pt>
                <c:pt idx="7">
                  <c:v>386.43</c:v>
                </c:pt>
                <c:pt idx="8">
                  <c:v>710.45</c:v>
                </c:pt>
                <c:pt idx="9">
                  <c:v>1165.3599999999999</c:v>
                </c:pt>
                <c:pt idx="10">
                  <c:v>1627.85</c:v>
                </c:pt>
                <c:pt idx="11">
                  <c:v>2082.52</c:v>
                </c:pt>
                <c:pt idx="12">
                  <c:v>2540.4499999999998</c:v>
                </c:pt>
                <c:pt idx="13">
                  <c:v>2894.43</c:v>
                </c:pt>
                <c:pt idx="14">
                  <c:v>3050.77</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Calc.'!$L$3:$L$94</c:f>
              <c:numCache>
                <c:formatCode>0.00</c:formatCode>
                <c:ptCount val="92"/>
                <c:pt idx="0">
                  <c:v>0</c:v>
                </c:pt>
                <c:pt idx="1">
                  <c:v>300.56999835205067</c:v>
                </c:pt>
                <c:pt idx="2">
                  <c:v>1021.1999999999999</c:v>
                </c:pt>
                <c:pt idx="3">
                  <c:v>2035.7180708480835</c:v>
                </c:pt>
                <c:pt idx="4">
                  <c:v>4371.7850396572121</c:v>
                </c:pt>
                <c:pt idx="5">
                  <c:v>6873.0426911666036</c:v>
                </c:pt>
                <c:pt idx="6">
                  <c:v>11714.652945386082</c:v>
                </c:pt>
                <c:pt idx="7">
                  <c:v>18115.331097036687</c:v>
                </c:pt>
                <c:pt idx="8">
                  <c:v>23686.574742786324</c:v>
                </c:pt>
                <c:pt idx="9">
                  <c:v>30156.120093410151</c:v>
                </c:pt>
                <c:pt idx="10">
                  <c:v>30724.39130304955</c:v>
                </c:pt>
                <c:pt idx="11">
                  <c:v>29519.628891693115</c:v>
                </c:pt>
                <c:pt idx="12">
                  <c:v>28682.695062487117</c:v>
                </c:pt>
                <c:pt idx="13">
                  <c:v>27428.22468223131</c:v>
                </c:pt>
                <c:pt idx="14">
                  <c:v>22710.853350833804</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Regression!$CI$3:$CI$26</c:f>
              <c:numCache>
                <c:formatCode>0.000</c:formatCode>
                <c:ptCount val="24"/>
                <c:pt idx="0">
                  <c:v>1106.1784221758769</c:v>
                </c:pt>
                <c:pt idx="1">
                  <c:v>-599.96459545135053</c:v>
                </c:pt>
                <c:pt idx="2">
                  <c:v>-389.33691043968031</c:v>
                </c:pt>
                <c:pt idx="3">
                  <c:v>1500.1962815361965</c:v>
                </c:pt>
                <c:pt idx="4">
                  <c:v>4892.9472393408905</c:v>
                </c:pt>
                <c:pt idx="5">
                  <c:v>8482.4215296594721</c:v>
                </c:pt>
                <c:pt idx="6">
                  <c:v>13456.859365731103</c:v>
                </c:pt>
                <c:pt idx="7">
                  <c:v>18276.360741692904</c:v>
                </c:pt>
                <c:pt idx="8">
                  <c:v>22970.721832471361</c:v>
                </c:pt>
                <c:pt idx="9">
                  <c:v>26894.768514352574</c:v>
                </c:pt>
                <c:pt idx="10">
                  <c:v>29827.323499563092</c:v>
                </c:pt>
                <c:pt idx="11">
                  <c:v>31063.668133883853</c:v>
                </c:pt>
                <c:pt idx="12">
                  <c:v>30463.386012660863</c:v>
                </c:pt>
                <c:pt idx="13">
                  <c:v>27573.757317044074</c:v>
                </c:pt>
                <c:pt idx="14">
                  <c:v>21821.50058471688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Regression!$CK$3:$CK$26</c:f>
              <c:numCache>
                <c:formatCode>0.000</c:formatCode>
                <c:ptCount val="24"/>
                <c:pt idx="0">
                  <c:v>252.00140468322894</c:v>
                </c:pt>
                <c:pt idx="1">
                  <c:v>-48.028132127670446</c:v>
                </c:pt>
                <c:pt idx="2">
                  <c:v>-237.42126068210419</c:v>
                </c:pt>
                <c:pt idx="3">
                  <c:v>-232.8978289753355</c:v>
                </c:pt>
                <c:pt idx="4">
                  <c:v>-80.182126908792782</c:v>
                </c:pt>
                <c:pt idx="5">
                  <c:v>152.58456687617843</c:v>
                </c:pt>
                <c:pt idx="6">
                  <c:v>555.17471836729328</c:v>
                </c:pt>
                <c:pt idx="7">
                  <c:v>1032.7540626199125</c:v>
                </c:pt>
                <c:pt idx="8">
                  <c:v>1608.7913659840819</c:v>
                </c:pt>
                <c:pt idx="9">
                  <c:v>2240.2894497999887</c:v>
                </c:pt>
                <c:pt idx="10">
                  <c:v>2954.0496699048626</c:v>
                </c:pt>
                <c:pt idx="11">
                  <c:v>3657.2389882381322</c:v>
                </c:pt>
                <c:pt idx="12">
                  <c:v>4354.352897061116</c:v>
                </c:pt>
                <c:pt idx="13">
                  <c:v>5074.4800341740511</c:v>
                </c:pt>
                <c:pt idx="14">
                  <c:v>5790.8423707072843</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Calc.'!$T$3:$T$94</c:f>
              <c:numCache>
                <c:formatCode>0.0000</c:formatCode>
                <c:ptCount val="9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Calc.'!$U$3:$U$94</c:f>
              <c:numCache>
                <c:formatCode>0.0000</c:formatCode>
                <c:ptCount val="92"/>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Regression!$CQ$3:$CQ$26</c:f>
              <c:numCache>
                <c:formatCode>0.000</c:formatCode>
                <c:ptCount val="24"/>
                <c:pt idx="0">
                  <c:v>0.10342680944719113</c:v>
                </c:pt>
                <c:pt idx="1">
                  <c:v>0.33832500390145293</c:v>
                </c:pt>
                <c:pt idx="2">
                  <c:v>1.5915420944172951</c:v>
                </c:pt>
                <c:pt idx="3">
                  <c:v>3.9006189224982202</c:v>
                </c:pt>
                <c:pt idx="4">
                  <c:v>8.1012475136994109</c:v>
                </c:pt>
                <c:pt idx="5">
                  <c:v>13.135927201784792</c:v>
                </c:pt>
                <c:pt idx="6">
                  <c:v>21.380861535995862</c:v>
                </c:pt>
                <c:pt idx="7">
                  <c:v>31.165343980283303</c:v>
                </c:pt>
                <c:pt idx="8">
                  <c:v>43.203559922208441</c:v>
                </c:pt>
                <c:pt idx="9">
                  <c:v>56.707422710385465</c:v>
                </c:pt>
                <c:pt idx="10">
                  <c:v>72.249822058917289</c:v>
                </c:pt>
                <c:pt idx="11">
                  <c:v>87.671535684630555</c:v>
                </c:pt>
                <c:pt idx="12">
                  <c:v>102.82189082099322</c:v>
                </c:pt>
                <c:pt idx="13">
                  <c:v>117.96964262487768</c:v>
                </c:pt>
                <c:pt idx="14">
                  <c:v>131.98785896325626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Regression!$CR$3:$CR$26</c:f>
              <c:numCache>
                <c:formatCode>0.000</c:formatCode>
                <c:ptCount val="24"/>
                <c:pt idx="0">
                  <c:v>0.17896537923830427</c:v>
                </c:pt>
                <c:pt idx="1">
                  <c:v>-0.44974356319480463</c:v>
                </c:pt>
                <c:pt idx="2">
                  <c:v>-0.32585812386501301</c:v>
                </c:pt>
                <c:pt idx="3">
                  <c:v>-0.3944631433872246</c:v>
                </c:pt>
                <c:pt idx="4">
                  <c:v>-1.0411398340708966</c:v>
                </c:pt>
                <c:pt idx="5">
                  <c:v>-2.0072676981368178</c:v>
                </c:pt>
                <c:pt idx="6">
                  <c:v>-3.4763247791491581</c:v>
                </c:pt>
                <c:pt idx="7">
                  <c:v>-4.8050301866436724</c:v>
                </c:pt>
                <c:pt idx="8">
                  <c:v>-5.8105755657659515</c:v>
                </c:pt>
                <c:pt idx="9">
                  <c:v>-6.2504777545686352</c:v>
                </c:pt>
                <c:pt idx="10">
                  <c:v>-6.0944393068688072</c:v>
                </c:pt>
                <c:pt idx="11">
                  <c:v>-5.4915806585988349</c:v>
                </c:pt>
                <c:pt idx="12">
                  <c:v>-4.6908562662386828</c:v>
                </c:pt>
                <c:pt idx="13">
                  <c:v>-3.8720198760252629</c:v>
                </c:pt>
                <c:pt idx="14">
                  <c:v>-3.1907399282803794</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Calc.'!$Z$3:$Z$94</c:f>
              <c:numCache>
                <c:formatCode>0.0000</c:formatCode>
                <c:ptCount val="92"/>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pt idx="10">
                  <c:v>14.411504588513914</c:v>
                </c:pt>
                <c:pt idx="11">
                  <c:v>8.15571343990527</c:v>
                </c:pt>
                <c:pt idx="12">
                  <c:v>4.3035820011841333</c:v>
                </c:pt>
                <c:pt idx="13">
                  <c:v>2.0831914841128882</c:v>
                </c:pt>
                <c:pt idx="14">
                  <c:v>4.8764801657785686</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Regression!$CW$3:$CW$26</c:f>
              <c:numCache>
                <c:formatCode>0.000</c:formatCode>
                <c:ptCount val="24"/>
                <c:pt idx="0">
                  <c:v>0.43402660913275265</c:v>
                </c:pt>
                <c:pt idx="1">
                  <c:v>0.53486802251060228</c:v>
                </c:pt>
                <c:pt idx="2">
                  <c:v>2.1704909080726078</c:v>
                </c:pt>
                <c:pt idx="3">
                  <c:v>5.2139692296998152</c:v>
                </c:pt>
                <c:pt idx="4">
                  <c:v>9.9509796748247261</c:v>
                </c:pt>
                <c:pt idx="5">
                  <c:v>14.434485981703567</c:v>
                </c:pt>
                <c:pt idx="6">
                  <c:v>19.574366657031568</c:v>
                </c:pt>
                <c:pt idx="7">
                  <c:v>22.911832808170413</c:v>
                </c:pt>
                <c:pt idx="8">
                  <c:v>23.854285845554138</c:v>
                </c:pt>
                <c:pt idx="9">
                  <c:v>21.764731483442887</c:v>
                </c:pt>
                <c:pt idx="10">
                  <c:v>16.48850286829969</c:v>
                </c:pt>
                <c:pt idx="11">
                  <c:v>9.6570935294137712</c:v>
                </c:pt>
                <c:pt idx="12">
                  <c:v>3.2595536782536101</c:v>
                </c:pt>
                <c:pt idx="13">
                  <c:v>0.19117581024795527</c:v>
                </c:pt>
                <c:pt idx="14">
                  <c:v>5.8922568693020594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Calc.'!$O$3:$O$94</c:f>
              <c:numCache>
                <c:formatCode>0.0000</c:formatCode>
                <c:ptCount val="92"/>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pt idx="10">
                  <c:v>-13.808660305555556</c:v>
                </c:pt>
                <c:pt idx="11">
                  <c:v>-11.882762500000002</c:v>
                </c:pt>
                <c:pt idx="12">
                  <c:v>-8.4987777777777787</c:v>
                </c:pt>
                <c:pt idx="13">
                  <c:v>-5.0843223888888902</c:v>
                </c:pt>
                <c:pt idx="14">
                  <c:v>-3.9673431111111119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Calc.'!$Q$3:$Q$94</c:f>
              <c:numCache>
                <c:formatCode>0.0000</c:formatCode>
                <c:ptCount val="92"/>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pt idx="10">
                  <c:v>11.71487947222222</c:v>
                </c:pt>
                <c:pt idx="11">
                  <c:v>11.698777222222221</c:v>
                </c:pt>
                <c:pt idx="12">
                  <c:v>11.703634111111109</c:v>
                </c:pt>
                <c:pt idx="13">
                  <c:v>11.689605833333331</c:v>
                </c:pt>
                <c:pt idx="14">
                  <c:v>11.678966999999998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Calc.'!$V$3:$V$94</c:f>
              <c:numCache>
                <c:formatCode>0.0000</c:formatCode>
                <c:ptCount val="92"/>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pt idx="10">
                  <c:v>-11.40858866666667</c:v>
                </c:pt>
                <c:pt idx="11">
                  <c:v>-6.6414622222222262</c:v>
                </c:pt>
                <c:pt idx="12">
                  <c:v>-2.0623628888888934</c:v>
                </c:pt>
                <c:pt idx="13">
                  <c:v>0.34836561111110731</c:v>
                </c:pt>
                <c:pt idx="14">
                  <c:v>-0.11845444444444814</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Regression!$CL$3:$CL$26</c:f>
              <c:numCache>
                <c:formatCode>0.000</c:formatCode>
                <c:ptCount val="24"/>
                <c:pt idx="0">
                  <c:v>-1.1781876580924495</c:v>
                </c:pt>
                <c:pt idx="1">
                  <c:v>0.67494480278808533</c:v>
                </c:pt>
                <c:pt idx="2">
                  <c:v>1.4481785466862531</c:v>
                </c:pt>
                <c:pt idx="3">
                  <c:v>0.9261932774892021</c:v>
                </c:pt>
                <c:pt idx="4">
                  <c:v>-0.53874793803885712</c:v>
                </c:pt>
                <c:pt idx="5">
                  <c:v>-2.2634697930361138</c:v>
                </c:pt>
                <c:pt idx="6">
                  <c:v>-4.7413876854860106</c:v>
                </c:pt>
                <c:pt idx="7">
                  <c:v>-7.1431421486791962</c:v>
                </c:pt>
                <c:pt idx="8">
                  <c:v>-9.4006613605533005</c:v>
                </c:pt>
                <c:pt idx="9">
                  <c:v>-11.114329270231352</c:v>
                </c:pt>
                <c:pt idx="10">
                  <c:v>-12.062799954018445</c:v>
                </c:pt>
                <c:pt idx="11">
                  <c:v>-11.872223735472708</c:v>
                </c:pt>
                <c:pt idx="12">
                  <c:v>-10.413008391327651</c:v>
                </c:pt>
                <c:pt idx="13">
                  <c:v>-7.3041951325312624</c:v>
                </c:pt>
                <c:pt idx="14">
                  <c:v>-2.161396976162905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Regression!$CN$3:$CN$26</c:f>
              <c:numCache>
                <c:formatCode>0.000</c:formatCode>
                <c:ptCount val="24"/>
                <c:pt idx="0">
                  <c:v>0.43846963786623494</c:v>
                </c:pt>
                <c:pt idx="1">
                  <c:v>0.93554155012980533</c:v>
                </c:pt>
                <c:pt idx="2">
                  <c:v>0.95948409604782325</c:v>
                </c:pt>
                <c:pt idx="3">
                  <c:v>0.85270009590076068</c:v>
                </c:pt>
                <c:pt idx="4">
                  <c:v>0.94740115973479977</c:v>
                </c:pt>
                <c:pt idx="5">
                  <c:v>1.3633757602109933</c:v>
                </c:pt>
                <c:pt idx="6">
                  <c:v>2.4185663272932167</c:v>
                </c:pt>
                <c:pt idx="7">
                  <c:v>3.9723900539627</c:v>
                </c:pt>
                <c:pt idx="8">
                  <c:v>6.0585212288710579</c:v>
                </c:pt>
                <c:pt idx="9">
                  <c:v>8.3931743970849269</c:v>
                </c:pt>
                <c:pt idx="10">
                  <c:v>10.818608080789161</c:v>
                </c:pt>
                <c:pt idx="11">
                  <c:v>12.669150094111643</c:v>
                </c:pt>
                <c:pt idx="12">
                  <c:v>13.589195850903351</c:v>
                </c:pt>
                <c:pt idx="13">
                  <c:v>13.04006984274173</c:v>
                </c:pt>
                <c:pt idx="14">
                  <c:v>10.170290778055517</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Regression!$CS$3:$CS$26</c:f>
              <c:numCache>
                <c:formatCode>0.000</c:formatCode>
                <c:ptCount val="24"/>
                <c:pt idx="0">
                  <c:v>4.5812937272949101</c:v>
                </c:pt>
                <c:pt idx="1">
                  <c:v>0.86119672039976469</c:v>
                </c:pt>
                <c:pt idx="2">
                  <c:v>-3.8877248649252238</c:v>
                </c:pt>
                <c:pt idx="3">
                  <c:v>-7.5384719464276086</c:v>
                </c:pt>
                <c:pt idx="4">
                  <c:v>-11.09322732245764</c:v>
                </c:pt>
                <c:pt idx="5">
                  <c:v>-13.623377480702988</c:v>
                </c:pt>
                <c:pt idx="6">
                  <c:v>-16.062212378663137</c:v>
                </c:pt>
                <c:pt idx="7">
                  <c:v>-17.532781159981056</c:v>
                </c:pt>
                <c:pt idx="8">
                  <c:v>-18.07631811323494</c:v>
                </c:pt>
                <c:pt idx="9">
                  <c:v>-17.50985886939214</c:v>
                </c:pt>
                <c:pt idx="10">
                  <c:v>-15.593336736105424</c:v>
                </c:pt>
                <c:pt idx="11">
                  <c:v>-12.411172387243766</c:v>
                </c:pt>
                <c:pt idx="12">
                  <c:v>-7.9064481212918167</c:v>
                </c:pt>
                <c:pt idx="13">
                  <c:v>-1.6404003541381584</c:v>
                </c:pt>
                <c:pt idx="14">
                  <c:v>6.5806446572396382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Calc.'!$R$3:$R$98</c:f>
              <c:numCache>
                <c:formatCode>0.0000</c:formatCode>
                <c:ptCount val="96"/>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pt idx="10">
                  <c:v>-1.4101418333333335</c:v>
                </c:pt>
                <c:pt idx="11">
                  <c:v>-0.79624166666666718</c:v>
                </c:pt>
                <c:pt idx="12">
                  <c:v>0.19239566666666641</c:v>
                </c:pt>
                <c:pt idx="13">
                  <c:v>0.68544588888888858</c:v>
                </c:pt>
                <c:pt idx="14">
                  <c:v>-0.70658900000000036</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Calc.'!$S$3:$S$94</c:f>
              <c:numCache>
                <c:formatCode>0.0000</c:formatCode>
                <c:ptCount val="92"/>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Regression!$CO$3:$CO$26</c:f>
              <c:numCache>
                <c:formatCode>0.000</c:formatCode>
                <c:ptCount val="24"/>
                <c:pt idx="0">
                  <c:v>-0.73464272963729338</c:v>
                </c:pt>
                <c:pt idx="1">
                  <c:v>0.54226735951548233</c:v>
                </c:pt>
                <c:pt idx="2">
                  <c:v>0.91402708872440341</c:v>
                </c:pt>
                <c:pt idx="3">
                  <c:v>0.50449976544246344</c:v>
                </c:pt>
                <c:pt idx="4">
                  <c:v>-0.30646698050663057</c:v>
                </c:pt>
                <c:pt idx="5">
                  <c:v>-1.0583600345236064</c:v>
                </c:pt>
                <c:pt idx="6">
                  <c:v>-1.8639682002091047</c:v>
                </c:pt>
                <c:pt idx="7">
                  <c:v>-2.3502010253815282</c:v>
                </c:pt>
                <c:pt idx="8">
                  <c:v>-2.4911320704202264</c:v>
                </c:pt>
                <c:pt idx="9">
                  <c:v>-2.2608740253816144</c:v>
                </c:pt>
                <c:pt idx="10">
                  <c:v>-1.6913105999705778</c:v>
                </c:pt>
                <c:pt idx="11">
                  <c:v>-0.97991888861943721</c:v>
                </c:pt>
                <c:pt idx="12">
                  <c:v>-0.31175525795729442</c:v>
                </c:pt>
                <c:pt idx="13">
                  <c:v>9.8632448616683632E-2</c:v>
                </c:pt>
                <c:pt idx="14">
                  <c:v>-0.12197096080276992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Regression!$CP$3:$CP$26</c:f>
              <c:numCache>
                <c:formatCode>0.000</c:formatCode>
                <c:ptCount val="24"/>
                <c:pt idx="0">
                  <c:v>2.0153964379117904E-2</c:v>
                </c:pt>
                <c:pt idx="1">
                  <c:v>-5.8339700809573458E-2</c:v>
                </c:pt>
                <c:pt idx="2">
                  <c:v>-3.7755504105188929E-2</c:v>
                </c:pt>
                <c:pt idx="3">
                  <c:v>6.6286724709000031E-2</c:v>
                </c:pt>
                <c:pt idx="4">
                  <c:v>0.24802672403231826</c:v>
                </c:pt>
                <c:pt idx="5">
                  <c:v>0.43923398592327417</c:v>
                </c:pt>
                <c:pt idx="6">
                  <c:v>0.70483989394185553</c:v>
                </c:pt>
                <c:pt idx="7">
                  <c:v>0.96444940793525014</c:v>
                </c:pt>
                <c:pt idx="8">
                  <c:v>1.2215975794195009</c:v>
                </c:pt>
                <c:pt idx="9">
                  <c:v>1.4433912113000651</c:v>
                </c:pt>
                <c:pt idx="10">
                  <c:v>1.6210588644391604</c:v>
                </c:pt>
                <c:pt idx="11">
                  <c:v>1.7164177220881687</c:v>
                </c:pt>
                <c:pt idx="12">
                  <c:v>1.7233875590025454</c:v>
                </c:pt>
                <c:pt idx="13">
                  <c:v>1.6221283410901348</c:v>
                </c:pt>
                <c:pt idx="14">
                  <c:v>1.3842036803580768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Calc.'!$AM$3:$AM$94</c:f>
              <c:numCache>
                <c:formatCode>0</c:formatCode>
                <c:ptCount val="92"/>
                <c:pt idx="0">
                  <c:v>0</c:v>
                </c:pt>
                <c:pt idx="1">
                  <c:v>0.16795499999999935</c:v>
                </c:pt>
                <c:pt idx="2">
                  <c:v>4.8523649999999989</c:v>
                </c:pt>
                <c:pt idx="3">
                  <c:v>8.6017189999999975</c:v>
                </c:pt>
                <c:pt idx="4">
                  <c:v>-7.0369400000000022</c:v>
                </c:pt>
                <c:pt idx="5">
                  <c:v>-20.678064629629638</c:v>
                </c:pt>
                <c:pt idx="6">
                  <c:v>-36.472432111111118</c:v>
                </c:pt>
                <c:pt idx="7">
                  <c:v>-50.009740962962965</c:v>
                </c:pt>
                <c:pt idx="8">
                  <c:v>-40.49533277777779</c:v>
                </c:pt>
                <c:pt idx="9">
                  <c:v>-27.212699222222231</c:v>
                </c:pt>
                <c:pt idx="10">
                  <c:v>-13.65742997222223</c:v>
                </c:pt>
                <c:pt idx="11">
                  <c:v>-1.0721725000000122</c:v>
                </c:pt>
                <c:pt idx="12">
                  <c:v>11.281565444444428</c:v>
                </c:pt>
                <c:pt idx="13">
                  <c:v>19.769833333333324</c:v>
                </c:pt>
                <c:pt idx="14">
                  <c:v>21.283130555555545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Calc.'!$AN$3:$AN$94</c:f>
              <c:numCache>
                <c:formatCode>0</c:formatCode>
                <c:ptCount val="92"/>
                <c:pt idx="0">
                  <c:v>0</c:v>
                </c:pt>
                <c:pt idx="1">
                  <c:v>0.15535499999999935</c:v>
                </c:pt>
                <c:pt idx="2">
                  <c:v>4.8407099999999987</c:v>
                </c:pt>
                <c:pt idx="3">
                  <c:v>8.5262309999999975</c:v>
                </c:pt>
                <c:pt idx="4">
                  <c:v>-7.4087180000000021</c:v>
                </c:pt>
                <c:pt idx="5">
                  <c:v>-21.653871407407415</c:v>
                </c:pt>
                <c:pt idx="6">
                  <c:v>-39.00889611111112</c:v>
                </c:pt>
                <c:pt idx="7">
                  <c:v>-55.662762185185187</c:v>
                </c:pt>
                <c:pt idx="8">
                  <c:v>-50.846616111111125</c:v>
                </c:pt>
                <c:pt idx="9">
                  <c:v>-41.126970222222234</c:v>
                </c:pt>
                <c:pt idx="10">
                  <c:v>-27.466090277777788</c:v>
                </c:pt>
                <c:pt idx="11">
                  <c:v>-12.954935000000013</c:v>
                </c:pt>
                <c:pt idx="12">
                  <c:v>2.7827876666666498</c:v>
                </c:pt>
                <c:pt idx="13">
                  <c:v>14.685510944444435</c:v>
                </c:pt>
                <c:pt idx="14">
                  <c:v>17.315787444444432</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Calc.'!$AO$3:$AO$94</c:f>
              <c:numCache>
                <c:formatCode>0</c:formatCode>
                <c:ptCount val="92"/>
                <c:pt idx="0">
                  <c:v>0</c:v>
                </c:pt>
                <c:pt idx="1">
                  <c:v>-8.0040000000001499E-2</c:v>
                </c:pt>
                <c:pt idx="2">
                  <c:v>8.3782800000000002</c:v>
                </c:pt>
                <c:pt idx="3">
                  <c:v>16.486868000000001</c:v>
                </c:pt>
                <c:pt idx="4">
                  <c:v>-33.366136000000012</c:v>
                </c:pt>
                <c:pt idx="5">
                  <c:v>-76.750703962963001</c:v>
                </c:pt>
                <c:pt idx="6">
                  <c:v>-119.67377977777778</c:v>
                </c:pt>
                <c:pt idx="7">
                  <c:v>-153.21797474074074</c:v>
                </c:pt>
                <c:pt idx="8">
                  <c:v>-112.27291962962967</c:v>
                </c:pt>
                <c:pt idx="9">
                  <c:v>-49.347534861111129</c:v>
                </c:pt>
                <c:pt idx="10">
                  <c:v>2.5912695833333075</c:v>
                </c:pt>
                <c:pt idx="11">
                  <c:v>33.68814222222219</c:v>
                </c:pt>
                <c:pt idx="12">
                  <c:v>56.249646666666621</c:v>
                </c:pt>
                <c:pt idx="13">
                  <c:v>63.488507444444416</c:v>
                </c:pt>
                <c:pt idx="14">
                  <c:v>57.11852088888886</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Regression!$DJ$3:$DJ$26</c:f>
              <c:numCache>
                <c:formatCode>0.000</c:formatCode>
                <c:ptCount val="24"/>
                <c:pt idx="0">
                  <c:v>9.3207824681946665</c:v>
                </c:pt>
                <c:pt idx="1">
                  <c:v>3.866908969617759</c:v>
                </c:pt>
                <c:pt idx="2">
                  <c:v>-3.760608983655541</c:v>
                </c:pt>
                <c:pt idx="3">
                  <c:v>-10.027346073400906</c:v>
                </c:pt>
                <c:pt idx="4">
                  <c:v>-16.387993225285939</c:v>
                </c:pt>
                <c:pt idx="5">
                  <c:v>-21.018868711384791</c:v>
                </c:pt>
                <c:pt idx="6">
                  <c:v>-25.474725160212664</c:v>
                </c:pt>
                <c:pt idx="7">
                  <c:v>-27.99203899654054</c:v>
                </c:pt>
                <c:pt idx="8">
                  <c:v>-28.467813068722513</c:v>
                </c:pt>
                <c:pt idx="9">
                  <c:v>-26.420320851840081</c:v>
                </c:pt>
                <c:pt idx="10">
                  <c:v>-21.139638441379205</c:v>
                </c:pt>
                <c:pt idx="11">
                  <c:v>-12.8122799325606</c:v>
                </c:pt>
                <c:pt idx="12">
                  <c:v>-1.2045735691684882</c:v>
                </c:pt>
                <c:pt idx="13">
                  <c:v>14.870787863014584</c:v>
                </c:pt>
                <c:pt idx="14">
                  <c:v>35.969483870731523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Regression!$DK$3:$DK$26</c:f>
              <c:numCache>
                <c:formatCode>0.000</c:formatCode>
                <c:ptCount val="24"/>
                <c:pt idx="0">
                  <c:v>8.1425948101022225</c:v>
                </c:pt>
                <c:pt idx="1">
                  <c:v>4.541853772405851</c:v>
                </c:pt>
                <c:pt idx="2">
                  <c:v>-2.312430436969283</c:v>
                </c:pt>
                <c:pt idx="3">
                  <c:v>-9.1011527959117018</c:v>
                </c:pt>
                <c:pt idx="4">
                  <c:v>-16.926741163324799</c:v>
                </c:pt>
                <c:pt idx="5">
                  <c:v>-23.28233850442091</c:v>
                </c:pt>
                <c:pt idx="6">
                  <c:v>-30.216112845698671</c:v>
                </c:pt>
                <c:pt idx="7">
                  <c:v>-35.135181145219732</c:v>
                </c:pt>
                <c:pt idx="8">
                  <c:v>-37.868474429275828</c:v>
                </c:pt>
                <c:pt idx="9">
                  <c:v>-37.53465012207144</c:v>
                </c:pt>
                <c:pt idx="10">
                  <c:v>-33.202438395397635</c:v>
                </c:pt>
                <c:pt idx="11">
                  <c:v>-24.684503668033329</c:v>
                </c:pt>
                <c:pt idx="12">
                  <c:v>-11.617581960496125</c:v>
                </c:pt>
                <c:pt idx="13">
                  <c:v>7.5665927304833644</c:v>
                </c:pt>
                <c:pt idx="14">
                  <c:v>33.808086894568646</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Regression!$DL$3:$DL$26</c:f>
              <c:numCache>
                <c:formatCode>0.000</c:formatCode>
                <c:ptCount val="24"/>
                <c:pt idx="0">
                  <c:v>37.762174468575815</c:v>
                </c:pt>
                <c:pt idx="1">
                  <c:v>6.7995736588887681</c:v>
                </c:pt>
                <c:pt idx="2">
                  <c:v>-26.521825311198661</c:v>
                </c:pt>
                <c:pt idx="3">
                  <c:v>-47.667086130192608</c:v>
                </c:pt>
                <c:pt idx="4">
                  <c:v>-64.25985094671131</c:v>
                </c:pt>
                <c:pt idx="5">
                  <c:v>-73.066575647284239</c:v>
                </c:pt>
                <c:pt idx="6">
                  <c:v>-77.71308640638172</c:v>
                </c:pt>
                <c:pt idx="7">
                  <c:v>-75.931423484633456</c:v>
                </c:pt>
                <c:pt idx="8">
                  <c:v>-67.975920049063603</c:v>
                </c:pt>
                <c:pt idx="9">
                  <c:v>-54.219688387765814</c:v>
                </c:pt>
                <c:pt idx="10">
                  <c:v>-33.581609625614817</c:v>
                </c:pt>
                <c:pt idx="11">
                  <c:v>-8.4413838178304488</c:v>
                </c:pt>
                <c:pt idx="12">
                  <c:v>21.220113385007366</c:v>
                </c:pt>
                <c:pt idx="13">
                  <c:v>57.279204426600465</c:v>
                </c:pt>
                <c:pt idx="14">
                  <c:v>99.609529700937557</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Calc.'!$P$3:$P$94</c:f>
              <c:numCache>
                <c:formatCode>0.0000</c:formatCode>
                <c:ptCount val="92"/>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pt idx="10">
                  <c:v>-0.3603012777777781</c:v>
                </c:pt>
                <c:pt idx="11">
                  <c:v>0.32313805555555519</c:v>
                </c:pt>
                <c:pt idx="12">
                  <c:v>0.97741822222222163</c:v>
                </c:pt>
                <c:pt idx="13">
                  <c:v>1.4317899444444442</c:v>
                </c:pt>
                <c:pt idx="14">
                  <c:v>1.5480791111111107</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Regression!$CM$3:$CM$26</c:f>
              <c:numCache>
                <c:formatCode>0.000</c:formatCode>
                <c:ptCount val="24"/>
                <c:pt idx="0">
                  <c:v>0.48683688628417399</c:v>
                </c:pt>
                <c:pt idx="1">
                  <c:v>0.28247453994255822</c:v>
                </c:pt>
                <c:pt idx="2">
                  <c:v>-4.6300832860457858E-2</c:v>
                </c:pt>
                <c:pt idx="3">
                  <c:v>-0.34177576167490958</c:v>
                </c:pt>
                <c:pt idx="4">
                  <c:v>-0.65943197245599816</c:v>
                </c:pt>
                <c:pt idx="5">
                  <c:v>-0.90066798767947742</c:v>
                </c:pt>
                <c:pt idx="6">
                  <c:v>-1.1411731198517039</c:v>
                </c:pt>
                <c:pt idx="7">
                  <c:v>-1.2827187272032528</c:v>
                </c:pt>
                <c:pt idx="8">
                  <c:v>-1.3145072664666304</c:v>
                </c:pt>
                <c:pt idx="9">
                  <c:v>-1.2049142729445403</c:v>
                </c:pt>
                <c:pt idx="10">
                  <c:v>-0.90965039421848193</c:v>
                </c:pt>
                <c:pt idx="11">
                  <c:v>-0.4346842275916547</c:v>
                </c:pt>
                <c:pt idx="12">
                  <c:v>0.23631949951923836</c:v>
                </c:pt>
                <c:pt idx="13">
                  <c:v>1.1755890041084065</c:v>
                </c:pt>
                <c:pt idx="14">
                  <c:v>2.4197101608705029</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Calc.'!$C$3:$C$97</c:f>
              <c:numCache>
                <c:formatCode>0.0000000</c:formatCode>
                <c:ptCount val="95"/>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6" formatCode="General">
                  <c:v>0</c:v>
                </c:pt>
                <c:pt idx="17" formatCode="0.000">
                  <c:v>3.2104395037506034E-2</c:v>
                </c:pt>
                <c:pt idx="18" formatCode="0.000">
                  <c:v>7.4853757248542888E-2</c:v>
                </c:pt>
                <c:pt idx="19" formatCode="0.000">
                  <c:v>9.5706170287010089E-2</c:v>
                </c:pt>
                <c:pt idx="20" formatCode="0.000">
                  <c:v>8.6604471299917329E-2</c:v>
                </c:pt>
                <c:pt idx="21" formatCode="0.000">
                  <c:v>7.5325407257936558E-2</c:v>
                </c:pt>
                <c:pt idx="22" formatCode="0.000">
                  <c:v>6.289051606076719E-2</c:v>
                </c:pt>
                <c:pt idx="23" formatCode="0.000">
                  <c:v>5.0831688889231307E-2</c:v>
                </c:pt>
                <c:pt idx="24" formatCode="0.000">
                  <c:v>4.4134194462242884E-2</c:v>
                </c:pt>
                <c:pt idx="25" formatCode="0.000">
                  <c:v>3.9542381939957801E-2</c:v>
                </c:pt>
                <c:pt idx="26" formatCode="0.000">
                  <c:v>3.7880847555194587E-2</c:v>
                </c:pt>
                <c:pt idx="27" formatCode="0.000">
                  <c:v>3.965068573274054E-2</c:v>
                </c:pt>
                <c:pt idx="28" formatCode="0.000">
                  <c:v>4.0834157794084711E-2</c:v>
                </c:pt>
                <c:pt idx="29" formatCode="0.000">
                  <c:v>4.0299860323077877E-2</c:v>
                </c:pt>
                <c:pt idx="30" formatCode="0.000">
                  <c:v>4.0709785377592005E-2</c:v>
                </c:pt>
                <c:pt idx="31" formatCode="0.000">
                  <c:v>2.464650022126654E-4</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Calc.'!$E$3:$E$97</c:f>
              <c:numCache>
                <c:formatCode>0.0000</c:formatCode>
                <c:ptCount val="95"/>
                <c:pt idx="1">
                  <c:v>-27.266128867525616</c:v>
                </c:pt>
                <c:pt idx="2">
                  <c:v>-3.6774507545455859</c:v>
                </c:pt>
                <c:pt idx="3">
                  <c:v>2.3857928039471576</c:v>
                </c:pt>
                <c:pt idx="4">
                  <c:v>3.5065038854593049</c:v>
                </c:pt>
                <c:pt idx="5">
                  <c:v>3.4485853315140464</c:v>
                </c:pt>
                <c:pt idx="6">
                  <c:v>2.8218765987348244</c:v>
                </c:pt>
                <c:pt idx="7">
                  <c:v>2.2424963528156172</c:v>
                </c:pt>
                <c:pt idx="8">
                  <c:v>1.9970014317936808</c:v>
                </c:pt>
                <c:pt idx="9">
                  <c:v>1.7215942654564096</c:v>
                </c:pt>
                <c:pt idx="10">
                  <c:v>1.7439123769845268</c:v>
                </c:pt>
                <c:pt idx="11">
                  <c:v>1.8612511549235631</c:v>
                </c:pt>
                <c:pt idx="12">
                  <c:v>1.8831324766339526</c:v>
                </c:pt>
                <c:pt idx="16" formatCode="General">
                  <c:v>0</c:v>
                </c:pt>
                <c:pt idx="17" formatCode="General">
                  <c:v>-4.3997318398012915E-2</c:v>
                </c:pt>
                <c:pt idx="18" formatCode="General">
                  <c:v>5.9736459475640503E-3</c:v>
                </c:pt>
                <c:pt idx="19" formatCode="General">
                  <c:v>-1.2566537523588665E-3</c:v>
                </c:pt>
                <c:pt idx="20" formatCode="General">
                  <c:v>-7.1954531825508599E-3</c:v>
                </c:pt>
                <c:pt idx="21" formatCode="General">
                  <c:v>-7.8010140067021495E-3</c:v>
                </c:pt>
                <c:pt idx="22" formatCode="General">
                  <c:v>-6.0312422651329521E-3</c:v>
                </c:pt>
                <c:pt idx="23" formatCode="General">
                  <c:v>-3.6826215607348605E-3</c:v>
                </c:pt>
                <c:pt idx="24" formatCode="General">
                  <c:v>-1.9444841825072014E-3</c:v>
                </c:pt>
                <c:pt idx="25" formatCode="General">
                  <c:v>-6.7225229040200954E-4</c:v>
                </c:pt>
                <c:pt idx="26" formatCode="General">
                  <c:v>2.086483329753267E-4</c:v>
                </c:pt>
                <c:pt idx="27" formatCode="General">
                  <c:v>8.4593502171075735E-4</c:v>
                </c:pt>
                <c:pt idx="28" formatCode="General">
                  <c:v>1.1907830958138061E-3</c:v>
                </c:pt>
                <c:pt idx="29" formatCode="General">
                  <c:v>1.2136623663437176E-3</c:v>
                </c:pt>
                <c:pt idx="30" formatCode="General">
                  <c:v>1.0878421764874103E-3</c:v>
                </c:pt>
                <c:pt idx="31" formatCode="General">
                  <c:v>-5.863880389989899E-3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Calc.'!$AU$3:$AU$98</c:f>
              <c:numCache>
                <c:formatCode>0.0000</c:formatCode>
                <c:ptCount val="96"/>
                <c:pt idx="1">
                  <c:v>0</c:v>
                </c:pt>
                <c:pt idx="2">
                  <c:v>0</c:v>
                </c:pt>
                <c:pt idx="3">
                  <c:v>0</c:v>
                </c:pt>
                <c:pt idx="4">
                  <c:v>0.42689760121491876</c:v>
                </c:pt>
                <c:pt idx="5">
                  <c:v>0.81786637127224016</c:v>
                </c:pt>
                <c:pt idx="6">
                  <c:v>0.92057744703280409</c:v>
                </c:pt>
                <c:pt idx="7">
                  <c:v>1.0027663562522091</c:v>
                </c:pt>
                <c:pt idx="8">
                  <c:v>1.2123353211881611</c:v>
                </c:pt>
                <c:pt idx="9">
                  <c:v>1.3275666026457436</c:v>
                </c:pt>
                <c:pt idx="10">
                  <c:v>1.0251842902302319</c:v>
                </c:pt>
                <c:pt idx="11">
                  <c:v>1.1420658742501071</c:v>
                </c:pt>
                <c:pt idx="12">
                  <c:v>1.0796820873275796</c:v>
                </c:pt>
                <c:pt idx="13">
                  <c:v>0.91620777219841332</c:v>
                </c:pt>
                <c:pt idx="14">
                  <c:v>0.44224604302057091</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Calc.'!$G$3:$G$97</c:f>
              <c:numCache>
                <c:formatCode>0.0000</c:formatCode>
                <c:ptCount val="95"/>
                <c:pt idx="1">
                  <c:v>-1.4041641665740786E-2</c:v>
                </c:pt>
                <c:pt idx="2">
                  <c:v>-8.5402151887304777E-3</c:v>
                </c:pt>
                <c:pt idx="3">
                  <c:v>-5.2557660673670506E-3</c:v>
                </c:pt>
                <c:pt idx="4">
                  <c:v>-2.5755388885567985E-3</c:v>
                </c:pt>
                <c:pt idx="5">
                  <c:v>-1.4906083022295689E-3</c:v>
                </c:pt>
                <c:pt idx="6">
                  <c:v>-6.4830052867142303E-4</c:v>
                </c:pt>
                <c:pt idx="7">
                  <c:v>-2.0828231290731349E-4</c:v>
                </c:pt>
                <c:pt idx="8">
                  <c:v>6.066265299499687E-5</c:v>
                </c:pt>
                <c:pt idx="9">
                  <c:v>2.5712633479172737E-4</c:v>
                </c:pt>
                <c:pt idx="10">
                  <c:v>5.0772154185427937E-4</c:v>
                </c:pt>
                <c:pt idx="11">
                  <c:v>8.1688019205107217E-4</c:v>
                </c:pt>
                <c:pt idx="12">
                  <c:v>1.1662969197725342E-3</c:v>
                </c:pt>
                <c:pt idx="16" formatCode="General">
                  <c:v>0</c:v>
                </c:pt>
                <c:pt idx="17" formatCode="General">
                  <c:v>9.6430413678712981E-2</c:v>
                </c:pt>
                <c:pt idx="18" formatCode="General">
                  <c:v>1.1067591840009371E-2</c:v>
                </c:pt>
                <c:pt idx="19" formatCode="General">
                  <c:v>-9.3166804255870959E-3</c:v>
                </c:pt>
                <c:pt idx="20" formatCode="General">
                  <c:v>-9.1239625228728399E-3</c:v>
                </c:pt>
                <c:pt idx="21" formatCode="General">
                  <c:v>-6.0721165722529809E-3</c:v>
                </c:pt>
                <c:pt idx="22" formatCode="General">
                  <c:v>-3.2999731679041956E-3</c:v>
                </c:pt>
                <c:pt idx="23" formatCode="General">
                  <c:v>-1.344271123342767E-3</c:v>
                </c:pt>
                <c:pt idx="24" formatCode="General">
                  <c:v>-2.7133893558094966E-4</c:v>
                </c:pt>
                <c:pt idx="25" formatCode="General">
                  <c:v>3.545047818560414E-4</c:v>
                </c:pt>
                <c:pt idx="26" formatCode="General">
                  <c:v>7.4134229657445638E-4</c:v>
                </c:pt>
                <c:pt idx="27" formatCode="General">
                  <c:v>9.9397617805387344E-4</c:v>
                </c:pt>
                <c:pt idx="28" formatCode="General">
                  <c:v>9.9655499862548371E-4</c:v>
                </c:pt>
                <c:pt idx="29" formatCode="General">
                  <c:v>6.2375254335919551E-4</c:v>
                </c:pt>
                <c:pt idx="30" formatCode="General">
                  <c:v>-3.2579216015671725E-4</c:v>
                </c:pt>
                <c:pt idx="31" formatCode="General">
                  <c:v>7.7439436707646076E-3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Calc.'!$AW$3:$AW$94</c:f>
              <c:numCache>
                <c:formatCode>0.0000</c:formatCode>
                <c:ptCount val="92"/>
                <c:pt idx="1">
                  <c:v>-3.4525416750076014E-3</c:v>
                </c:pt>
                <c:pt idx="2">
                  <c:v>1.7814745689914004E-2</c:v>
                </c:pt>
                <c:pt idx="3">
                  <c:v>3.8900972767172402E-3</c:v>
                </c:pt>
                <c:pt idx="4">
                  <c:v>-9.2866899023675373E-3</c:v>
                </c:pt>
                <c:pt idx="5">
                  <c:v>-4.3236351505456152E-3</c:v>
                </c:pt>
                <c:pt idx="6">
                  <c:v>-4.2237295833845194E-3</c:v>
                </c:pt>
                <c:pt idx="7">
                  <c:v>-2.2161933671714716E-3</c:v>
                </c:pt>
                <c:pt idx="8">
                  <c:v>3.8337879133487732E-4</c:v>
                </c:pt>
                <c:pt idx="9">
                  <c:v>1.6505941055409278E-3</c:v>
                </c:pt>
                <c:pt idx="10">
                  <c:v>1.1525786953791848E-3</c:v>
                </c:pt>
                <c:pt idx="11">
                  <c:v>9.4420360647458693E-4</c:v>
                </c:pt>
                <c:pt idx="12">
                  <c:v>9.615361975750552E-4</c:v>
                </c:pt>
                <c:pt idx="13">
                  <c:v>6.6801245972922707E-4</c:v>
                </c:pt>
                <c:pt idx="14">
                  <c:v>1.8689319383994744E-4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Calc.'!$K$3:$K$97</c:f>
              <c:numCache>
                <c:formatCode>0.0000</c:formatCode>
                <c:ptCount val="95"/>
                <c:pt idx="1">
                  <c:v>5.5096279529410284E-2</c:v>
                </c:pt>
                <c:pt idx="2">
                  <c:v>9.3465513653296001E-2</c:v>
                </c:pt>
                <c:pt idx="3">
                  <c:v>9.9503746540952273E-2</c:v>
                </c:pt>
                <c:pt idx="4">
                  <c:v>8.0967790857635766E-2</c:v>
                </c:pt>
                <c:pt idx="5">
                  <c:v>7.1817658299274681E-2</c:v>
                </c:pt>
                <c:pt idx="6">
                  <c:v>5.7484212717558075E-2</c:v>
                </c:pt>
                <c:pt idx="7">
                  <c:v>4.6315429675966649E-2</c:v>
                </c:pt>
                <c:pt idx="8">
                  <c:v>4.222280263055788E-2</c:v>
                </c:pt>
                <c:pt idx="9">
                  <c:v>3.7188412926494746E-2</c:v>
                </c:pt>
                <c:pt idx="10">
                  <c:v>3.8200287551901899E-2</c:v>
                </c:pt>
                <c:pt idx="11">
                  <c:v>4.075970141112055E-2</c:v>
                </c:pt>
                <c:pt idx="12">
                  <c:v>4.0464969614902244E-2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Calc.'!$Q$3:$Q$97</c:f>
              <c:numCache>
                <c:formatCode>0.0000</c:formatCode>
                <c:ptCount val="95"/>
                <c:pt idx="1">
                  <c:v>2.8827663182812099E-2</c:v>
                </c:pt>
                <c:pt idx="2">
                  <c:v>6.7210332266750106E-2</c:v>
                </c:pt>
                <c:pt idx="3">
                  <c:v>6.6383455431723526E-2</c:v>
                </c:pt>
                <c:pt idx="4">
                  <c:v>4.3994922326562366E-2</c:v>
                </c:pt>
                <c:pt idx="5">
                  <c:v>2.9857828146996605E-2</c:v>
                </c:pt>
                <c:pt idx="6">
                  <c:v>1.4707185509965399E-2</c:v>
                </c:pt>
                <c:pt idx="7">
                  <c:v>5.1732638699410888E-3</c:v>
                </c:pt>
                <c:pt idx="8">
                  <c:v>-9.5114007830296833E-4</c:v>
                </c:pt>
                <c:pt idx="9">
                  <c:v>-4.9256428064741418E-3</c:v>
                </c:pt>
                <c:pt idx="10">
                  <c:v>-8.3847754917642913E-3</c:v>
                </c:pt>
                <c:pt idx="11">
                  <c:v>-1.0053208903358403E-2</c:v>
                </c:pt>
                <c:pt idx="12">
                  <c:v>-7.9755282549017568E-3</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Calc.'!$BB$3:$BB$94</c:f>
              <c:numCache>
                <c:formatCode>0.0000</c:formatCode>
                <c:ptCount val="92"/>
                <c:pt idx="1">
                  <c:v>0</c:v>
                </c:pt>
                <c:pt idx="2">
                  <c:v>-1.6235944071456409E-2</c:v>
                </c:pt>
                <c:pt idx="3">
                  <c:v>-3.6417245833342883E-3</c:v>
                </c:pt>
                <c:pt idx="4">
                  <c:v>-5.9183231260472322E-3</c:v>
                </c:pt>
                <c:pt idx="5">
                  <c:v>-4.7419862837727771E-3</c:v>
                </c:pt>
                <c:pt idx="6">
                  <c:v>-4.7688341626658231E-3</c:v>
                </c:pt>
                <c:pt idx="7">
                  <c:v>-4.6279711000439781E-3</c:v>
                </c:pt>
                <c:pt idx="8">
                  <c:v>-3.7325286220031353E-3</c:v>
                </c:pt>
                <c:pt idx="9">
                  <c:v>7.0415573468670225E-4</c:v>
                </c:pt>
                <c:pt idx="10">
                  <c:v>-8.3392384938369324E-5</c:v>
                </c:pt>
                <c:pt idx="11">
                  <c:v>1.6346941531096457E-3</c:v>
                </c:pt>
                <c:pt idx="12">
                  <c:v>5.9848702622487511E-4</c:v>
                </c:pt>
                <c:pt idx="13">
                  <c:v>5.2271699660439894E-4</c:v>
                </c:pt>
                <c:pt idx="14">
                  <c:v>1.9380045764159617E-3</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Calc.'!$L$3:$L$97</c:f>
              <c:numCache>
                <c:formatCode>0.0000</c:formatCode>
                <c:ptCount val="95"/>
                <c:pt idx="1">
                  <c:v>-6.86143953030039E-3</c:v>
                </c:pt>
                <c:pt idx="2">
                  <c:v>3.4893971256530283E-3</c:v>
                </c:pt>
                <c:pt idx="3">
                  <c:v>-5.3373829133951962E-3</c:v>
                </c:pt>
                <c:pt idx="4">
                  <c:v>-8.0147364350930637E-3</c:v>
                </c:pt>
                <c:pt idx="5">
                  <c:v>-7.3736015101016055E-3</c:v>
                </c:pt>
                <c:pt idx="6">
                  <c:v>-4.8906321548188641E-3</c:v>
                </c:pt>
                <c:pt idx="7">
                  <c:v>-2.7210955859687963E-3</c:v>
                </c:pt>
                <c:pt idx="8">
                  <c:v>-1.261838209222753E-3</c:v>
                </c:pt>
                <c:pt idx="9">
                  <c:v>-1.9625647499637043E-4</c:v>
                </c:pt>
                <c:pt idx="10">
                  <c:v>5.6024663916141469E-4</c:v>
                </c:pt>
                <c:pt idx="11">
                  <c:v>1.0634132702051465E-3</c:v>
                </c:pt>
                <c:pt idx="12">
                  <c:v>1.2367299010639639E-3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Calc.'!$F$3:$F$101</c:f>
              <c:numCache>
                <c:formatCode>0.0000</c:formatCode>
                <c:ptCount val="99"/>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Calc.'!$I$3:$I$101</c:f>
              <c:numCache>
                <c:formatCode>0.0000</c:formatCode>
                <c:ptCount val="99"/>
                <c:pt idx="1">
                  <c:v>9.2673510411092327E-2</c:v>
                </c:pt>
                <c:pt idx="2">
                  <c:v>-8.5129385370001087E-3</c:v>
                </c:pt>
                <c:pt idx="3">
                  <c:v>-2.047180183250974E-2</c:v>
                </c:pt>
                <c:pt idx="4">
                  <c:v>-1.4053567781549267E-2</c:v>
                </c:pt>
                <c:pt idx="5">
                  <c:v>-9.1139346601547874E-3</c:v>
                </c:pt>
                <c:pt idx="6">
                  <c:v>-4.1603717861920268E-3</c:v>
                </c:pt>
                <c:pt idx="7">
                  <c:v>-1.3879212715268701E-3</c:v>
                </c:pt>
                <c:pt idx="8">
                  <c:v>1.7067395332874847E-4</c:v>
                </c:pt>
                <c:pt idx="9">
                  <c:v>1.0443411158599983E-3</c:v>
                </c:pt>
                <c:pt idx="10">
                  <c:v>1.6523868299114322E-3</c:v>
                </c:pt>
                <c:pt idx="11">
                  <c:v>1.9214891534916879E-3</c:v>
                </c:pt>
                <c:pt idx="12">
                  <c:v>1.5660468505655179E-3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Calc.'!$J$3:$J$100</c:f>
              <c:numCache>
                <c:formatCode>0.0000</c:formatCode>
                <c:ptCount val="98"/>
                <c:pt idx="1">
                  <c:v>-4.1544789758087858E-3</c:v>
                </c:pt>
                <c:pt idx="2">
                  <c:v>3.8290766566026983E-3</c:v>
                </c:pt>
                <c:pt idx="3">
                  <c:v>4.54155917119163E-3</c:v>
                </c:pt>
                <c:pt idx="4">
                  <c:v>3.2961488239212126E-3</c:v>
                </c:pt>
                <c:pt idx="5">
                  <c:v>2.5485637189177858E-3</c:v>
                </c:pt>
                <c:pt idx="6">
                  <c:v>1.6850196524592525E-3</c:v>
                </c:pt>
                <c:pt idx="7">
                  <c:v>1.1116592498701741E-3</c:v>
                </c:pt>
                <c:pt idx="8">
                  <c:v>7.9798416819841143E-4</c:v>
                </c:pt>
                <c:pt idx="9">
                  <c:v>5.2231521669676858E-4</c:v>
                </c:pt>
                <c:pt idx="10">
                  <c:v>3.3739899668851811E-4</c:v>
                </c:pt>
                <c:pt idx="11">
                  <c:v>1.404904703466454E-4</c:v>
                </c:pt>
                <c:pt idx="12">
                  <c:v>-1.1147821122068187E-4</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Calc.'!$AY$3:$AY$98</c:f>
              <c:numCache>
                <c:formatCode>0.0000</c:formatCode>
                <c:ptCount val="96"/>
                <c:pt idx="1">
                  <c:v>-5.6699068024908721E-3</c:v>
                </c:pt>
                <c:pt idx="2">
                  <c:v>2.4914787184426549E-3</c:v>
                </c:pt>
                <c:pt idx="3">
                  <c:v>1.6040745650727831E-3</c:v>
                </c:pt>
                <c:pt idx="4">
                  <c:v>2.8205187074899774E-3</c:v>
                </c:pt>
                <c:pt idx="5">
                  <c:v>-3.238146279605494E-3</c:v>
                </c:pt>
                <c:pt idx="6">
                  <c:v>-3.064160983281486E-3</c:v>
                </c:pt>
                <c:pt idx="7">
                  <c:v>-4.1692412982975184E-3</c:v>
                </c:pt>
                <c:pt idx="8">
                  <c:v>-3.0244383695728376E-3</c:v>
                </c:pt>
                <c:pt idx="9">
                  <c:v>1.0414030977060828E-3</c:v>
                </c:pt>
                <c:pt idx="10">
                  <c:v>2.3561042539694244E-3</c:v>
                </c:pt>
                <c:pt idx="11">
                  <c:v>8.4813197472101854E-4</c:v>
                </c:pt>
                <c:pt idx="12">
                  <c:v>1.4529105889257068E-3</c:v>
                </c:pt>
                <c:pt idx="13">
                  <c:v>7.2487717788833825E-4</c:v>
                </c:pt>
                <c:pt idx="14">
                  <c:v>-2.2371976150350583E-3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Calc.'!$AZ$3:$AZ$93</c:f>
              <c:numCache>
                <c:formatCode>0.0000</c:formatCode>
                <c:ptCount val="91"/>
                <c:pt idx="1">
                  <c:v>-8.9495924453611847E-3</c:v>
                </c:pt>
                <c:pt idx="2">
                  <c:v>3.1451073945773142E-3</c:v>
                </c:pt>
                <c:pt idx="3">
                  <c:v>3.7738513465016385E-3</c:v>
                </c:pt>
                <c:pt idx="4">
                  <c:v>2.5514516589461465E-3</c:v>
                </c:pt>
                <c:pt idx="5">
                  <c:v>6.572436238320965E-4</c:v>
                </c:pt>
                <c:pt idx="6">
                  <c:v>7.2021196879127074E-4</c:v>
                </c:pt>
                <c:pt idx="7">
                  <c:v>4.0369803781264139E-4</c:v>
                </c:pt>
                <c:pt idx="8">
                  <c:v>6.1116668458670125E-4</c:v>
                </c:pt>
                <c:pt idx="9">
                  <c:v>5.3937555406552136E-4</c:v>
                </c:pt>
                <c:pt idx="10">
                  <c:v>3.0421970471989008E-4</c:v>
                </c:pt>
                <c:pt idx="11">
                  <c:v>1.4527742611460806E-4</c:v>
                </c:pt>
                <c:pt idx="12">
                  <c:v>-2.8879618328526485E-5</c:v>
                </c:pt>
                <c:pt idx="13">
                  <c:v>-2.4293743433181206E-4</c:v>
                </c:pt>
                <c:pt idx="14">
                  <c:v>-4.8250141313524474E-4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6" formatCode="General">
                  <c:v>0</c:v>
                </c:pt>
                <c:pt idx="17" formatCode="General">
                  <c:v>4.8589801521378671E-3</c:v>
                </c:pt>
                <c:pt idx="18" formatCode="General">
                  <c:v>5.1586916974178672E-2</c:v>
                </c:pt>
                <c:pt idx="19" formatCode="General">
                  <c:v>6.7489362516996207E-2</c:v>
                </c:pt>
                <c:pt idx="20" formatCode="General">
                  <c:v>5.2883106584454796E-2</c:v>
                </c:pt>
                <c:pt idx="21" formatCode="General">
                  <c:v>3.6162685614812624E-2</c:v>
                </c:pt>
                <c:pt idx="22" formatCode="General">
                  <c:v>2.1087590806991536E-2</c:v>
                </c:pt>
                <c:pt idx="23" formatCode="General">
                  <c:v>9.2720495847371937E-3</c:v>
                </c:pt>
                <c:pt idx="24" formatCode="General">
                  <c:v>1.8553255093505024E-3</c:v>
                </c:pt>
                <c:pt idx="25" formatCode="General">
                  <c:v>-3.1887177717506736E-3</c:v>
                </c:pt>
                <c:pt idx="26" formatCode="General">
                  <c:v>-6.8538510221468401E-3</c:v>
                </c:pt>
                <c:pt idx="27" formatCode="General">
                  <c:v>-9.5554263032342351E-3</c:v>
                </c:pt>
                <c:pt idx="28" formatCode="General">
                  <c:v>-9.5881488510246547E-3</c:v>
                </c:pt>
                <c:pt idx="29" formatCode="General">
                  <c:v>-4.8115362171210971E-3</c:v>
                </c:pt>
                <c:pt idx="30" formatCode="General">
                  <c:v>8.6841707018281908E-3</c:v>
                </c:pt>
                <c:pt idx="31" formatCode="General">
                  <c:v>-4.9434825083795721E-4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Calc.'!$AG$3:$AG$97</c:f>
              <c:numCache>
                <c:formatCode>0.0000</c:formatCode>
                <c:ptCount val="95"/>
                <c:pt idx="1">
                  <c:v>0.52322340871354023</c:v>
                </c:pt>
                <c:pt idx="2">
                  <c:v>0.71909231158844622</c:v>
                </c:pt>
                <c:pt idx="3">
                  <c:v>0.66714528587526511</c:v>
                </c:pt>
                <c:pt idx="4">
                  <c:v>0.54336325420953946</c:v>
                </c:pt>
                <c:pt idx="5">
                  <c:v>0.41574494148186608</c:v>
                </c:pt>
                <c:pt idx="6">
                  <c:v>0.25584738512863398</c:v>
                </c:pt>
                <c:pt idx="7">
                  <c:v>0.11169633761652277</c:v>
                </c:pt>
                <c:pt idx="8">
                  <c:v>-2.2526692191072138E-2</c:v>
                </c:pt>
                <c:pt idx="9">
                  <c:v>-0.1324510087647458</c:v>
                </c:pt>
                <c:pt idx="10">
                  <c:v>-0.21949508836476897</c:v>
                </c:pt>
                <c:pt idx="11">
                  <c:v>-0.24664579364694675</c:v>
                </c:pt>
                <c:pt idx="12">
                  <c:v>-0.19709710227891949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Calc.'!$F$3:$F$97</c:f>
              <c:numCache>
                <c:formatCode>0.0000</c:formatCode>
                <c:ptCount val="95"/>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Calc.'!$H$3:$H$97</c:f>
              <c:numCache>
                <c:formatCode>0.0000</c:formatCode>
                <c:ptCount val="95"/>
                <c:pt idx="1">
                  <c:v>1.3670191841330101E-2</c:v>
                </c:pt>
                <c:pt idx="2">
                  <c:v>-3.3469966757559864E-3</c:v>
                </c:pt>
                <c:pt idx="3">
                  <c:v>-9.7366568913388361E-4</c:v>
                </c:pt>
                <c:pt idx="4">
                  <c:v>2.4315697743294358E-3</c:v>
                </c:pt>
                <c:pt idx="5">
                  <c:v>4.0145403770987173E-3</c:v>
                </c:pt>
                <c:pt idx="6">
                  <c:v>4.4586084135094647E-3</c:v>
                </c:pt>
                <c:pt idx="7">
                  <c:v>4.1098342225424885E-3</c:v>
                </c:pt>
                <c:pt idx="8">
                  <c:v>3.860028245921565E-3</c:v>
                </c:pt>
                <c:pt idx="9">
                  <c:v>3.2505344397707292E-3</c:v>
                </c:pt>
                <c:pt idx="10">
                  <c:v>2.8978800804004908E-3</c:v>
                </c:pt>
                <c:pt idx="11">
                  <c:v>2.0857343993721917E-3</c:v>
                </c:pt>
                <c:pt idx="12">
                  <c:v>4.6205087507694622E-4</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Calc.'!$M$3:$M$97</c:f>
              <c:numCache>
                <c:formatCode>0.0000</c:formatCode>
                <c:ptCount val="95"/>
                <c:pt idx="1">
                  <c:v>-0.4367868234980537</c:v>
                </c:pt>
                <c:pt idx="2">
                  <c:v>-0.21349849918675431</c:v>
                </c:pt>
                <c:pt idx="3">
                  <c:v>-0.1154150358805462</c:v>
                </c:pt>
                <c:pt idx="4">
                  <c:v>-5.1504022615961133E-2</c:v>
                </c:pt>
                <c:pt idx="5">
                  <c:v>-2.8652684533508384E-2</c:v>
                </c:pt>
                <c:pt idx="6">
                  <c:v>-1.2342718576888869E-2</c:v>
                </c:pt>
                <c:pt idx="7">
                  <c:v>-4.4342379307815557E-3</c:v>
                </c:pt>
                <c:pt idx="8">
                  <c:v>-7.0074137988797702E-6</c:v>
                </c:pt>
                <c:pt idx="9">
                  <c:v>3.0278096191329231E-3</c:v>
                </c:pt>
                <c:pt idx="10">
                  <c:v>6.2861311649147801E-3</c:v>
                </c:pt>
                <c:pt idx="11">
                  <c:v>1.0173645572428247E-2</c:v>
                </c:pt>
                <c:pt idx="12">
                  <c:v>1.4127377639042283E-2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Calc.'!$AX$3:$AX$94</c:f>
              <c:numCache>
                <c:formatCode>0.0000</c:formatCode>
                <c:ptCount val="92"/>
                <c:pt idx="1">
                  <c:v>2.7948874335315062E-2</c:v>
                </c:pt>
                <c:pt idx="2">
                  <c:v>4.9317725442321346E-2</c:v>
                </c:pt>
                <c:pt idx="3">
                  <c:v>3.2216113939620851E-2</c:v>
                </c:pt>
                <c:pt idx="4">
                  <c:v>-2.3512319697648179E-2</c:v>
                </c:pt>
                <c:pt idx="5">
                  <c:v>-1.255938410966018E-2</c:v>
                </c:pt>
                <c:pt idx="6">
                  <c:v>-2.078860862346924E-3</c:v>
                </c:pt>
                <c:pt idx="7">
                  <c:v>5.2386058388638398E-3</c:v>
                </c:pt>
                <c:pt idx="8">
                  <c:v>1.6444506258024582E-2</c:v>
                </c:pt>
                <c:pt idx="9">
                  <c:v>3.1522749661548445E-3</c:v>
                </c:pt>
                <c:pt idx="10">
                  <c:v>1.7834173793437334E-6</c:v>
                </c:pt>
                <c:pt idx="11">
                  <c:v>-2.2246016260436011E-5</c:v>
                </c:pt>
                <c:pt idx="12">
                  <c:v>7.1377289304952576E-6</c:v>
                </c:pt>
                <c:pt idx="13">
                  <c:v>-2.0624224364725659E-5</c:v>
                </c:pt>
                <c:pt idx="14">
                  <c:v>-1.7098114961102962E-5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Calc.'!$BC$3:$BC$94</c:f>
              <c:numCache>
                <c:formatCode>0.0000</c:formatCode>
                <c:ptCount val="92"/>
                <c:pt idx="1">
                  <c:v>-4.7392316095926654E-3</c:v>
                </c:pt>
                <c:pt idx="2">
                  <c:v>3.8568897985151169E-3</c:v>
                </c:pt>
                <c:pt idx="3">
                  <c:v>2.3624009040604981E-3</c:v>
                </c:pt>
                <c:pt idx="4">
                  <c:v>-8.1853049438550707E-2</c:v>
                </c:pt>
                <c:pt idx="5">
                  <c:v>-5.0668687790422912E-2</c:v>
                </c:pt>
                <c:pt idx="6">
                  <c:v>-2.5553699030362621E-2</c:v>
                </c:pt>
                <c:pt idx="7">
                  <c:v>-1.7608919857390336E-2</c:v>
                </c:pt>
                <c:pt idx="8">
                  <c:v>2.1017180483761514E-3</c:v>
                </c:pt>
                <c:pt idx="9">
                  <c:v>9.2301336147573299E-3</c:v>
                </c:pt>
                <c:pt idx="10">
                  <c:v>9.9045961459427682E-3</c:v>
                </c:pt>
                <c:pt idx="11">
                  <c:v>6.5860095575878755E-3</c:v>
                </c:pt>
                <c:pt idx="12">
                  <c:v>6.7294868247702311E-3</c:v>
                </c:pt>
                <c:pt idx="13">
                  <c:v>3.544227328118679E-3</c:v>
                </c:pt>
                <c:pt idx="14">
                  <c:v>-7.5024607736163043E-4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Calc.'!$AD$3:$AD$97</c:f>
              <c:numCache>
                <c:formatCode>0.0000</c:formatCode>
                <c:ptCount val="95"/>
                <c:pt idx="1">
                  <c:v>-0.66968522814061238</c:v>
                </c:pt>
                <c:pt idx="2">
                  <c:v>-0.35716822875106069</c:v>
                </c:pt>
                <c:pt idx="3">
                  <c:v>-0.20277692472682335</c:v>
                </c:pt>
                <c:pt idx="4">
                  <c:v>-9.3610832169223973E-2</c:v>
                </c:pt>
                <c:pt idx="5">
                  <c:v>-5.2666870494398797E-2</c:v>
                </c:pt>
                <c:pt idx="6">
                  <c:v>-2.2163011463928156E-2</c:v>
                </c:pt>
                <c:pt idx="7">
                  <c:v>-6.7830379681919446E-3</c:v>
                </c:pt>
                <c:pt idx="8">
                  <c:v>2.4253756197627502E-3</c:v>
                </c:pt>
                <c:pt idx="9">
                  <c:v>8.9774604351062996E-3</c:v>
                </c:pt>
                <c:pt idx="10">
                  <c:v>1.673206027186934E-2</c:v>
                </c:pt>
                <c:pt idx="11">
                  <c:v>2.6354741911771215E-2</c:v>
                </c:pt>
                <c:pt idx="12">
                  <c:v>3.6287504417713022E-2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Calc.'!$AE$3:$AE$97</c:f>
              <c:numCache>
                <c:formatCode>0.0000</c:formatCode>
                <c:ptCount val="95"/>
                <c:pt idx="1">
                  <c:v>-0.51965067790738861</c:v>
                </c:pt>
                <c:pt idx="2">
                  <c:v>-0.35970862657815611</c:v>
                </c:pt>
                <c:pt idx="3">
                  <c:v>-0.23453020794690138</c:v>
                </c:pt>
                <c:pt idx="4">
                  <c:v>-0.122339161644786</c:v>
                </c:pt>
                <c:pt idx="5">
                  <c:v>-7.6189624211760273E-2</c:v>
                </c:pt>
                <c:pt idx="6">
                  <c:v>-3.7922415229350935E-2</c:v>
                </c:pt>
                <c:pt idx="7">
                  <c:v>-1.6887201412122799E-2</c:v>
                </c:pt>
                <c:pt idx="8">
                  <c:v>-4.2497654221095443E-3</c:v>
                </c:pt>
                <c:pt idx="9">
                  <c:v>5.3994151873094937E-3</c:v>
                </c:pt>
                <c:pt idx="10">
                  <c:v>1.5764301609773764E-2</c:v>
                </c:pt>
                <c:pt idx="11">
                  <c:v>2.8470681160374545E-2</c:v>
                </c:pt>
                <c:pt idx="12">
                  <c:v>4.214334397918066E-2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Calc.'!$AF$3:$AF$97</c:f>
              <c:numCache>
                <c:formatCode>0.0000</c:formatCode>
                <c:ptCount val="95"/>
                <c:pt idx="1">
                  <c:v>-3.3743498743375069</c:v>
                </c:pt>
                <c:pt idx="2">
                  <c:v>-1.3501643485856152</c:v>
                </c:pt>
                <c:pt idx="3">
                  <c:v>-0.60579934392742407</c:v>
                </c:pt>
                <c:pt idx="4">
                  <c:v>-0.20796531970591664</c:v>
                </c:pt>
                <c:pt idx="5">
                  <c:v>-8.1427652828326161E-2</c:v>
                </c:pt>
                <c:pt idx="6">
                  <c:v>-7.6676616593805494E-3</c:v>
                </c:pt>
                <c:pt idx="7">
                  <c:v>2.0346810075951273E-2</c:v>
                </c:pt>
                <c:pt idx="8">
                  <c:v>3.5936748404197208E-2</c:v>
                </c:pt>
                <c:pt idx="9">
                  <c:v>4.3577271734189904E-2</c:v>
                </c:pt>
                <c:pt idx="10">
                  <c:v>5.6510033296993521E-2</c:v>
                </c:pt>
                <c:pt idx="11">
                  <c:v>7.2791378135307269E-2</c:v>
                </c:pt>
                <c:pt idx="12">
                  <c:v>8.6795647575622165E-2</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Calc.'!$BT$3:$BT$94</c:f>
              <c:numCache>
                <c:formatCode>0.0000</c:formatCode>
                <c:ptCount val="92"/>
                <c:pt idx="1">
                  <c:v>2.1767267888020254E-2</c:v>
                </c:pt>
                <c:pt idx="2">
                  <c:v>0.14694629980012427</c:v>
                </c:pt>
                <c:pt idx="3">
                  <c:v>7.9039590309891231E-2</c:v>
                </c:pt>
                <c:pt idx="4">
                  <c:v>-0.1757709403924142</c:v>
                </c:pt>
                <c:pt idx="5">
                  <c:v>-0.10998803762371503</c:v>
                </c:pt>
                <c:pt idx="6">
                  <c:v>-6.4821909133667949E-2</c:v>
                </c:pt>
                <c:pt idx="7">
                  <c:v>-3.7575699804383716E-2</c:v>
                </c:pt>
                <c:pt idx="8">
                  <c:v>1.7635581661145143E-2</c:v>
                </c:pt>
                <c:pt idx="9">
                  <c:v>1.9697679977974742E-2</c:v>
                </c:pt>
                <c:pt idx="10">
                  <c:v>1.7147989159605748E-2</c:v>
                </c:pt>
                <c:pt idx="11">
                  <c:v>1.7241848122727277E-2</c:v>
                </c:pt>
                <c:pt idx="12">
                  <c:v>1.8184047410525282E-2</c:v>
                </c:pt>
                <c:pt idx="13">
                  <c:v>1.2722298349587199E-2</c:v>
                </c:pt>
                <c:pt idx="14">
                  <c:v>2.9145848066032421E-3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Calc.'!$BU$3:$BU$94</c:f>
              <c:numCache>
                <c:formatCode>0.0000</c:formatCode>
                <c:ptCount val="92"/>
                <c:pt idx="1">
                  <c:v>2.2728851113154994E-2</c:v>
                </c:pt>
                <c:pt idx="2">
                  <c:v>0.14691602141292098</c:v>
                </c:pt>
                <c:pt idx="3">
                  <c:v>8.0449494635076987E-2</c:v>
                </c:pt>
                <c:pt idx="4">
                  <c:v>-0.17248912432897556</c:v>
                </c:pt>
                <c:pt idx="5">
                  <c:v>-0.10514687183524468</c:v>
                </c:pt>
                <c:pt idx="6">
                  <c:v>-5.8487956428416407E-2</c:v>
                </c:pt>
                <c:pt idx="7">
                  <c:v>-2.9017967108921378E-2</c:v>
                </c:pt>
                <c:pt idx="8">
                  <c:v>2.6645916800772416E-2</c:v>
                </c:pt>
                <c:pt idx="9">
                  <c:v>2.5126150090375738E-2</c:v>
                </c:pt>
                <c:pt idx="10">
                  <c:v>1.7012016951030773E-2</c:v>
                </c:pt>
                <c:pt idx="11">
                  <c:v>1.458112965802027E-2</c:v>
                </c:pt>
                <c:pt idx="12">
                  <c:v>1.3210912095978373E-2</c:v>
                </c:pt>
                <c:pt idx="13">
                  <c:v>7.7024024550714594E-3</c:v>
                </c:pt>
                <c:pt idx="14">
                  <c:v>1.1194405927375741E-3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Calc.'!$BV$3:$BV$94</c:f>
              <c:numCache>
                <c:formatCode>0.0000</c:formatCode>
                <c:ptCount val="92"/>
                <c:pt idx="1">
                  <c:v>-1.1877842314283491E-2</c:v>
                </c:pt>
                <c:pt idx="2">
                  <c:v>0.27119149894690736</c:v>
                </c:pt>
                <c:pt idx="3">
                  <c:v>0.17063811438616155</c:v>
                </c:pt>
                <c:pt idx="4">
                  <c:v>-0.5718809444344668</c:v>
                </c:pt>
                <c:pt idx="5">
                  <c:v>-0.37676533845373328</c:v>
                </c:pt>
                <c:pt idx="6">
                  <c:v>-0.21220771715096998</c:v>
                </c:pt>
                <c:pt idx="7">
                  <c:v>-0.14345516668744629</c:v>
                </c:pt>
                <c:pt idx="8">
                  <c:v>2.4462486122319708E-2</c:v>
                </c:pt>
                <c:pt idx="9">
                  <c:v>6.3300566623099574E-2</c:v>
                </c:pt>
                <c:pt idx="10">
                  <c:v>6.7686276516736435E-2</c:v>
                </c:pt>
                <c:pt idx="11">
                  <c:v>5.8926103976986124E-2</c:v>
                </c:pt>
                <c:pt idx="12">
                  <c:v>6.2995407945520235E-2</c:v>
                </c:pt>
                <c:pt idx="13">
                  <c:v>4.0761871273641552E-2</c:v>
                </c:pt>
                <c:pt idx="14">
                  <c:v>5.3339290111223099E-4</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Calc.'!$Z$3:$Z$12</c:f>
              <c:numCache>
                <c:formatCode>0.0000</c:formatCode>
                <c:ptCount val="10"/>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Calc.'!$V$3:$V$12</c:f>
              <c:numCache>
                <c:formatCode>0.0000</c:formatCode>
                <c:ptCount val="10"/>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Calc.'!$R$3:$R$12</c:f>
              <c:numCache>
                <c:formatCode>0.0000</c:formatCode>
                <c:ptCount val="10"/>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Calc.'!$O$3:$O$12</c:f>
              <c:numCache>
                <c:formatCode>0.0000</c:formatCode>
                <c:ptCount val="10"/>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Calc.'!$Q$3:$Q$12</c:f>
              <c:numCache>
                <c:formatCode>0.0000</c:formatCode>
                <c:ptCount val="10"/>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Calc.'!$S$3:$S$93</c:f>
              <c:numCache>
                <c:formatCode>0.0000</c:formatCode>
                <c:ptCount val="91"/>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Calc.'!$P$3:$P$12</c:f>
              <c:numCache>
                <c:formatCode>0.0000</c:formatCode>
                <c:ptCount val="10"/>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B1" zoomScale="130" zoomScaleNormal="130" workbookViewId="0">
      <pane ySplit="6" topLeftCell="A7" activePane="bottomLeft" state="frozen"/>
      <selection pane="bottomLeft" activeCell="J6" sqref="J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583</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603</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2.2222222221898846E-2</v>
      </c>
      <c r="C7">
        <v>0.53333333332557231</v>
      </c>
      <c r="D7" s="413">
        <v>20</v>
      </c>
      <c r="E7" s="64"/>
      <c r="F7" s="299"/>
      <c r="G7"/>
      <c r="H7" s="65">
        <v>0.25</v>
      </c>
      <c r="I7" s="307">
        <v>4.582484725050906E-3</v>
      </c>
      <c r="J7" s="307">
        <v>0.25458248472505091</v>
      </c>
      <c r="K7" s="325">
        <v>98.2</v>
      </c>
      <c r="L7" s="326"/>
      <c r="M7" s="64"/>
      <c r="N7" s="298"/>
      <c r="O7" s="298"/>
      <c r="P7" s="64"/>
      <c r="Q7" s="64"/>
      <c r="R7" s="297">
        <v>325</v>
      </c>
      <c r="S7" s="65"/>
      <c r="T7" s="100">
        <v>0</v>
      </c>
      <c r="U7" s="479">
        <v>5.6000000000000001E-2</v>
      </c>
      <c r="V7" s="479">
        <v>1.976</v>
      </c>
      <c r="W7" s="479">
        <v>6.1109999999999998</v>
      </c>
      <c r="X7" s="479">
        <v>1.7030000000000001</v>
      </c>
      <c r="Y7" s="479">
        <v>1.014</v>
      </c>
      <c r="Z7" s="65">
        <v>33.304469459801503</v>
      </c>
      <c r="AA7" s="479">
        <v>0</v>
      </c>
      <c r="AB7" s="479">
        <v>2.2599999999999998</v>
      </c>
      <c r="AC7" s="479">
        <v>0</v>
      </c>
      <c r="AD7" s="479">
        <v>0</v>
      </c>
      <c r="AE7" s="479">
        <v>0</v>
      </c>
      <c r="AF7" s="65">
        <v>0.88809946714031973</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0.88333333333139308</v>
      </c>
      <c r="C8">
        <v>21.199999999953434</v>
      </c>
      <c r="D8" s="413">
        <v>20</v>
      </c>
      <c r="E8" s="64"/>
      <c r="F8" s="299"/>
      <c r="G8"/>
      <c r="H8" s="65">
        <v>0.40849999914169305</v>
      </c>
      <c r="I8" s="307">
        <v>3.0715574719535899E-3</v>
      </c>
      <c r="J8" s="307">
        <v>0.41157155661364664</v>
      </c>
      <c r="K8" s="325">
        <v>99.253700256347656</v>
      </c>
      <c r="L8" s="326"/>
      <c r="M8" s="64"/>
      <c r="N8" s="298"/>
      <c r="O8" s="298"/>
      <c r="P8" s="64"/>
      <c r="Q8" s="64"/>
      <c r="R8" s="297">
        <v>326</v>
      </c>
      <c r="S8" s="65"/>
      <c r="T8" s="102">
        <v>0.23790920273805341</v>
      </c>
      <c r="U8" s="479">
        <v>6.3E-2</v>
      </c>
      <c r="V8" s="479">
        <v>2.0150000000000001</v>
      </c>
      <c r="W8" s="479">
        <v>5.968</v>
      </c>
      <c r="X8" s="479">
        <v>1.7549999999999999</v>
      </c>
      <c r="Y8" s="479">
        <v>1.083</v>
      </c>
      <c r="Z8" s="65">
        <v>33.415484358000839</v>
      </c>
      <c r="AA8" s="479">
        <v>0</v>
      </c>
      <c r="AB8" s="479">
        <v>2.31</v>
      </c>
      <c r="AC8" s="479">
        <v>0</v>
      </c>
      <c r="AD8" s="479">
        <v>0</v>
      </c>
      <c r="AE8" s="479">
        <v>0</v>
      </c>
      <c r="AF8" s="65">
        <v>1.3321492007104796</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2.0194444444423425</v>
      </c>
      <c r="C9">
        <v>48.46666666661622</v>
      </c>
      <c r="D9" s="413">
        <v>20</v>
      </c>
      <c r="E9" s="64"/>
      <c r="F9" s="299"/>
      <c r="G9"/>
      <c r="H9" s="65">
        <v>0.79</v>
      </c>
      <c r="I9" s="307">
        <v>7.9797979797980867E-3</v>
      </c>
      <c r="J9" s="307">
        <v>0.79797979797979812</v>
      </c>
      <c r="K9" s="325">
        <v>99</v>
      </c>
      <c r="L9" s="326"/>
      <c r="M9" s="64"/>
      <c r="N9" s="298"/>
      <c r="O9" s="298"/>
      <c r="P9" s="64"/>
      <c r="Q9" s="64"/>
      <c r="R9" s="297">
        <v>331</v>
      </c>
      <c r="S9" s="65"/>
      <c r="T9" s="102">
        <v>2.0361132618648101</v>
      </c>
      <c r="U9" s="479">
        <v>6.3E-2</v>
      </c>
      <c r="V9" s="479">
        <v>1.7390000000000001</v>
      </c>
      <c r="W9" s="479">
        <v>5.2069999999999999</v>
      </c>
      <c r="X9" s="479">
        <v>1.728</v>
      </c>
      <c r="Y9" s="479">
        <v>1.04</v>
      </c>
      <c r="Z9" s="65">
        <v>31.972290681409444</v>
      </c>
      <c r="AA9" s="479">
        <v>0.26600000000000001</v>
      </c>
      <c r="AB9" s="479">
        <v>2.2650000000000001</v>
      </c>
      <c r="AC9" s="479">
        <v>0</v>
      </c>
      <c r="AD9" s="479">
        <v>0</v>
      </c>
      <c r="AE9" s="479">
        <v>0</v>
      </c>
      <c r="AF9" s="65">
        <v>2.5532859680284195</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2.9569444444423425</v>
      </c>
      <c r="C10">
        <v>70.96666666661622</v>
      </c>
      <c r="D10" s="413">
        <v>20</v>
      </c>
      <c r="E10" s="64"/>
      <c r="F10" s="299"/>
      <c r="G10"/>
      <c r="H10" s="65">
        <v>1.3430000377655029</v>
      </c>
      <c r="I10" s="307">
        <v>1.9448929908496337E-2</v>
      </c>
      <c r="J10" s="307">
        <v>1.3624489676739993</v>
      </c>
      <c r="K10" s="325">
        <v>98.572502136230469</v>
      </c>
      <c r="L10" s="326"/>
      <c r="M10" s="64"/>
      <c r="N10" s="298"/>
      <c r="O10" s="298"/>
      <c r="P10" s="64"/>
      <c r="Q10" s="64"/>
      <c r="R10" s="297">
        <v>326</v>
      </c>
      <c r="S10" s="65"/>
      <c r="T10" s="102">
        <v>4.1004094487096108</v>
      </c>
      <c r="U10" s="479">
        <v>9.8000000000000004E-2</v>
      </c>
      <c r="V10" s="479">
        <v>1.6719999999999999</v>
      </c>
      <c r="W10" s="479">
        <v>4.51</v>
      </c>
      <c r="X10" s="479">
        <v>1.716</v>
      </c>
      <c r="Y10" s="479">
        <v>0.96499999999999997</v>
      </c>
      <c r="Z10" s="65">
        <v>30.251559759319701</v>
      </c>
      <c r="AA10" s="479">
        <v>0.35799999999999998</v>
      </c>
      <c r="AB10" s="479">
        <v>2.2429999999999999</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3.9770833333313931</v>
      </c>
      <c r="C11">
        <v>95.449999999953434</v>
      </c>
      <c r="D11" s="413">
        <v>20</v>
      </c>
      <c r="E11" s="64"/>
      <c r="F11" s="299"/>
      <c r="G11"/>
      <c r="H11" s="65">
        <v>2.6090999675750735</v>
      </c>
      <c r="I11" s="307">
        <v>2.3031147254761297E-2</v>
      </c>
      <c r="J11" s="307">
        <v>2.6321311148298348</v>
      </c>
      <c r="K11" s="325">
        <v>99.125</v>
      </c>
      <c r="L11" s="326"/>
      <c r="M11" s="64"/>
      <c r="N11" s="298"/>
      <c r="O11" s="298"/>
      <c r="P11" s="64"/>
      <c r="Q11" s="64"/>
      <c r="R11" s="297">
        <v>345</v>
      </c>
      <c r="S11" s="65">
        <v>20.71</v>
      </c>
      <c r="T11" s="102">
        <v>7.9942980563749506</v>
      </c>
      <c r="U11" s="479">
        <v>0.25800000000000001</v>
      </c>
      <c r="V11" s="479">
        <v>2.1360000000000001</v>
      </c>
      <c r="W11" s="479">
        <v>5.6870000000000003</v>
      </c>
      <c r="X11" s="479">
        <v>1.593</v>
      </c>
      <c r="Y11" s="479">
        <v>0.84899999999999998</v>
      </c>
      <c r="Z11" s="65">
        <v>33.082439663402823</v>
      </c>
      <c r="AA11" s="479">
        <v>0.64800000000000002</v>
      </c>
      <c r="AB11" s="479">
        <v>6.2320000000000002</v>
      </c>
      <c r="AC11" s="479">
        <v>0</v>
      </c>
      <c r="AD11" s="479">
        <v>0</v>
      </c>
      <c r="AE11" s="479">
        <v>0</v>
      </c>
      <c r="AF11" s="65">
        <v>5.7726465364120783</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4.828472222223354</v>
      </c>
      <c r="C12" s="482">
        <v>115.8833333333605</v>
      </c>
      <c r="D12" s="488">
        <v>35</v>
      </c>
      <c r="E12" s="64"/>
      <c r="F12" s="299"/>
      <c r="G12"/>
      <c r="H12" s="65">
        <v>3.9289001060485846</v>
      </c>
      <c r="I12" s="307">
        <v>4.1964126657235035E-2</v>
      </c>
      <c r="J12" s="307">
        <v>3.9708642327058197</v>
      </c>
      <c r="K12" s="325">
        <v>98.943199157714844</v>
      </c>
      <c r="L12" s="326"/>
      <c r="M12" s="64"/>
      <c r="N12" s="298"/>
      <c r="O12" s="298"/>
      <c r="P12" s="64"/>
      <c r="Q12" s="64"/>
      <c r="R12" s="297">
        <v>375</v>
      </c>
      <c r="S12" s="65">
        <v>75.08</v>
      </c>
      <c r="T12" s="102">
        <v>12.867750240484616</v>
      </c>
      <c r="U12" s="479">
        <v>0.57899999999999996</v>
      </c>
      <c r="V12" s="479">
        <v>2.411</v>
      </c>
      <c r="W12" s="479">
        <v>6.4889999999999999</v>
      </c>
      <c r="X12" s="479">
        <v>1.7989999999999999</v>
      </c>
      <c r="Y12" s="479">
        <v>0.8</v>
      </c>
      <c r="Z12" s="65">
        <v>34.248096094495885</v>
      </c>
      <c r="AA12" s="479">
        <v>0.96</v>
      </c>
      <c r="AB12" s="479">
        <v>9.57</v>
      </c>
      <c r="AC12" s="479">
        <v>0</v>
      </c>
      <c r="AD12" s="479">
        <v>0</v>
      </c>
      <c r="AE12" s="479">
        <v>0</v>
      </c>
      <c r="AF12" s="65">
        <v>7.659857904085257</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5.8784722222189885</v>
      </c>
      <c r="C13">
        <v>141.08333333325572</v>
      </c>
      <c r="D13" s="413">
        <v>20</v>
      </c>
      <c r="E13" s="64"/>
      <c r="F13" s="299"/>
      <c r="G13"/>
      <c r="H13" s="65">
        <v>6.4754999710083014</v>
      </c>
      <c r="I13" s="307">
        <v>4.7592416766580214E-2</v>
      </c>
      <c r="J13" s="307">
        <v>6.5230923877748817</v>
      </c>
      <c r="K13" s="325">
        <v>99.270401000976562</v>
      </c>
      <c r="L13" s="326"/>
      <c r="M13" s="64"/>
      <c r="N13" s="298"/>
      <c r="O13" s="298"/>
      <c r="P13" s="64"/>
      <c r="Q13" s="64"/>
      <c r="R13" s="297">
        <v>393</v>
      </c>
      <c r="S13" s="65">
        <v>195.04</v>
      </c>
      <c r="T13" s="102">
        <v>20.620079823926854</v>
      </c>
      <c r="U13" s="479">
        <v>1.4039999999999999</v>
      </c>
      <c r="V13" s="479">
        <v>2.9489999999999998</v>
      </c>
      <c r="W13" s="479">
        <v>6.7220000000000004</v>
      </c>
      <c r="X13" s="479">
        <v>2.1890000000000001</v>
      </c>
      <c r="Y13" s="479">
        <v>0.70099999999999996</v>
      </c>
      <c r="Z13" s="65">
        <v>33.526499256200182</v>
      </c>
      <c r="AA13" s="479">
        <v>1.5780000000000001</v>
      </c>
      <c r="AB13" s="479">
        <v>12.855</v>
      </c>
      <c r="AC13" s="479">
        <v>0</v>
      </c>
      <c r="AD13" s="479">
        <v>0</v>
      </c>
      <c r="AE13" s="479">
        <v>0</v>
      </c>
      <c r="AF13" s="65">
        <v>10.768206039076377</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6.8638888888890506</v>
      </c>
      <c r="C14">
        <v>164.73333333333721</v>
      </c>
      <c r="D14" s="413">
        <v>20</v>
      </c>
      <c r="E14" s="64"/>
      <c r="F14" s="299"/>
      <c r="G14"/>
      <c r="H14" s="65">
        <v>9.8106001449584959</v>
      </c>
      <c r="I14" s="307">
        <v>9.2114923807461224E-2</v>
      </c>
      <c r="J14" s="307">
        <v>9.9027150687659571</v>
      </c>
      <c r="K14" s="325">
        <v>99.069801330566406</v>
      </c>
      <c r="L14" s="326"/>
      <c r="M14" s="64"/>
      <c r="N14" s="298"/>
      <c r="O14" s="298"/>
      <c r="P14" s="64"/>
      <c r="Q14" s="64"/>
      <c r="R14" s="297">
        <v>406</v>
      </c>
      <c r="S14" s="65">
        <v>386.43</v>
      </c>
      <c r="T14" s="102">
        <v>30.756762103315186</v>
      </c>
      <c r="U14" s="479">
        <v>3.0390000000000001</v>
      </c>
      <c r="V14" s="479">
        <v>3.3559999999999999</v>
      </c>
      <c r="W14" s="479">
        <v>5.673</v>
      </c>
      <c r="X14" s="479">
        <v>2.976</v>
      </c>
      <c r="Y14" s="479">
        <v>0.61899999999999999</v>
      </c>
      <c r="Z14" s="65">
        <v>29.974022513821357</v>
      </c>
      <c r="AA14" s="479">
        <v>2.4569999999999999</v>
      </c>
      <c r="AB14" s="479">
        <v>16.155999999999999</v>
      </c>
      <c r="AC14" s="479">
        <v>0</v>
      </c>
      <c r="AD14" s="479">
        <v>0</v>
      </c>
      <c r="AE14" s="479">
        <v>0</v>
      </c>
      <c r="AF14" s="65">
        <v>13.987566607460035</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7.8798611111051287</v>
      </c>
      <c r="C15">
        <v>189.11666666652309</v>
      </c>
      <c r="D15" s="413">
        <v>20</v>
      </c>
      <c r="E15" s="64"/>
      <c r="F15" s="299"/>
      <c r="G15"/>
      <c r="H15" s="65">
        <v>12.582400186157226</v>
      </c>
      <c r="I15" s="307">
        <v>8.5980720295495416E-2</v>
      </c>
      <c r="J15" s="307">
        <v>12.668380906452722</v>
      </c>
      <c r="K15" s="325">
        <v>99.321296691894531</v>
      </c>
      <c r="L15" s="326"/>
      <c r="M15" s="64"/>
      <c r="N15" s="298"/>
      <c r="O15" s="298"/>
      <c r="P15" s="250"/>
      <c r="Q15" s="250"/>
      <c r="R15" s="297">
        <v>378</v>
      </c>
      <c r="S15" s="65">
        <v>710.45</v>
      </c>
      <c r="T15" s="102">
        <v>44.226152156654031</v>
      </c>
      <c r="U15" s="479">
        <v>5.4450000000000003</v>
      </c>
      <c r="V15" s="479">
        <v>3.2080000000000002</v>
      </c>
      <c r="W15" s="479">
        <v>1.135</v>
      </c>
      <c r="X15" s="479">
        <v>3.758</v>
      </c>
      <c r="Y15" s="479">
        <v>0.44500000000000001</v>
      </c>
      <c r="Z15" s="65">
        <v>18.650502897488842</v>
      </c>
      <c r="AA15" s="479">
        <v>3.4380000000000002</v>
      </c>
      <c r="AB15" s="479">
        <v>15.374000000000001</v>
      </c>
      <c r="AC15" s="479">
        <v>0</v>
      </c>
      <c r="AD15" s="479">
        <v>0</v>
      </c>
      <c r="AE15" s="479">
        <v>0</v>
      </c>
      <c r="AF15" s="65">
        <v>15.430728241563054</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8.8777777777722804</v>
      </c>
      <c r="C16">
        <v>213.06666666653473</v>
      </c>
      <c r="D16" s="413">
        <v>20</v>
      </c>
      <c r="E16" s="64"/>
      <c r="F16" s="299"/>
      <c r="G16"/>
      <c r="H16" s="65">
        <v>15.968199594116211</v>
      </c>
      <c r="I16" s="307">
        <v>0.11873738334253403</v>
      </c>
      <c r="J16" s="307">
        <v>16.086936977458745</v>
      </c>
      <c r="K16" s="325">
        <v>99.26190185546875</v>
      </c>
      <c r="L16" s="326"/>
      <c r="M16" s="64"/>
      <c r="N16" s="298"/>
      <c r="O16" s="298"/>
      <c r="P16" s="250"/>
      <c r="Q16" s="250"/>
      <c r="R16" s="297">
        <v>375</v>
      </c>
      <c r="S16" s="65">
        <v>1165.3599999999999</v>
      </c>
      <c r="T16" s="102">
        <v>58.261340562456823</v>
      </c>
      <c r="U16" s="479">
        <v>7.3079999999999998</v>
      </c>
      <c r="V16" s="479">
        <v>2.6469999999999998</v>
      </c>
      <c r="W16" s="479">
        <v>5.8000000000000003E-2</v>
      </c>
      <c r="X16" s="479">
        <v>3.4060000000000001</v>
      </c>
      <c r="Y16" s="479">
        <v>0.26100000000000001</v>
      </c>
      <c r="Z16" s="65">
        <v>9.5472812451430986</v>
      </c>
      <c r="AA16" s="479">
        <v>3.2010000000000001</v>
      </c>
      <c r="AB16" s="479">
        <v>12.234</v>
      </c>
      <c r="AC16" s="479">
        <v>0</v>
      </c>
      <c r="AD16" s="479">
        <v>0</v>
      </c>
      <c r="AE16" s="479">
        <v>0</v>
      </c>
      <c r="AF16" s="65">
        <v>11.323268206039078</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9.9243055555562023</v>
      </c>
      <c r="C17">
        <v>238.18333333334886</v>
      </c>
      <c r="D17" s="413">
        <v>46</v>
      </c>
      <c r="E17" s="64"/>
      <c r="F17" s="299"/>
      <c r="G17"/>
      <c r="H17" s="65">
        <v>16.753300531005859</v>
      </c>
      <c r="I17" s="307">
        <v>0.31012733276295279</v>
      </c>
      <c r="J17" s="307">
        <v>17.063427863768812</v>
      </c>
      <c r="K17" s="325">
        <v>98.182502746582031</v>
      </c>
      <c r="L17" s="326"/>
      <c r="M17" s="64"/>
      <c r="N17" s="298"/>
      <c r="O17" s="298"/>
      <c r="P17" s="250"/>
      <c r="Q17" s="250"/>
      <c r="R17" s="297">
        <v>382</v>
      </c>
      <c r="S17" s="65">
        <v>1627.85</v>
      </c>
      <c r="T17" s="102">
        <v>71.298677089160918</v>
      </c>
      <c r="U17" s="479">
        <v>7.4710000000000001</v>
      </c>
      <c r="V17" s="479">
        <v>2.246</v>
      </c>
      <c r="W17" s="479">
        <v>5.8999999999999997E-2</v>
      </c>
      <c r="X17" s="479">
        <v>2.5259999999999998</v>
      </c>
      <c r="Y17" s="479">
        <v>0.14199999999999999</v>
      </c>
      <c r="Z17" s="65">
        <v>6.2723417482626154</v>
      </c>
      <c r="AA17" s="479">
        <v>3.3319999999999999</v>
      </c>
      <c r="AB17" s="479">
        <v>8.4719999999999995</v>
      </c>
      <c r="AC17" s="479">
        <v>0</v>
      </c>
      <c r="AD17" s="479">
        <v>0</v>
      </c>
      <c r="AE17" s="479">
        <v>0</v>
      </c>
      <c r="AF17" s="65">
        <v>8.6589698046181169</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10.909722222218988</v>
      </c>
      <c r="C18">
        <v>261.83333333325572</v>
      </c>
      <c r="D18" s="413">
        <v>20</v>
      </c>
      <c r="E18" s="64"/>
      <c r="F18" s="299"/>
      <c r="G18"/>
      <c r="H18" s="65">
        <v>16.191300256347656</v>
      </c>
      <c r="I18" s="307">
        <v>0.38792026582183681</v>
      </c>
      <c r="J18" s="307">
        <v>16.579220522169493</v>
      </c>
      <c r="K18" s="325">
        <v>97.660202026367188</v>
      </c>
      <c r="L18" s="326"/>
      <c r="M18" s="64"/>
      <c r="N18" s="298"/>
      <c r="O18" s="298"/>
      <c r="P18" s="250"/>
      <c r="Q18" s="250"/>
      <c r="R18" s="297">
        <v>382</v>
      </c>
      <c r="S18" s="65">
        <v>2082.52</v>
      </c>
      <c r="T18" s="102">
        <v>86.449325988235898</v>
      </c>
      <c r="U18" s="479">
        <v>6.4710000000000001</v>
      </c>
      <c r="V18" s="479">
        <v>1.889</v>
      </c>
      <c r="W18" s="479">
        <v>6.8000000000000005E-2</v>
      </c>
      <c r="X18" s="479">
        <v>2.2080000000000002</v>
      </c>
      <c r="Y18" s="479">
        <v>8.5999999999999993E-2</v>
      </c>
      <c r="Z18" s="65">
        <v>7.8820577721530221</v>
      </c>
      <c r="AA18" s="479">
        <v>2.7109999999999999</v>
      </c>
      <c r="AB18" s="479">
        <v>5.944</v>
      </c>
      <c r="AC18" s="479">
        <v>0</v>
      </c>
      <c r="AD18" s="479">
        <v>0</v>
      </c>
      <c r="AE18" s="479">
        <v>0</v>
      </c>
      <c r="AF18" s="65">
        <v>5.3285968028419184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11.868055555554747</v>
      </c>
      <c r="C19">
        <v>284.83333333331393</v>
      </c>
      <c r="D19" s="413">
        <v>20</v>
      </c>
      <c r="E19" s="64"/>
      <c r="F19" s="299"/>
      <c r="G19"/>
      <c r="H19" s="65">
        <v>16.129900796508789</v>
      </c>
      <c r="I19" s="307">
        <v>0.65608017913175942</v>
      </c>
      <c r="J19" s="307">
        <v>16.785980975640548</v>
      </c>
      <c r="K19" s="325">
        <v>96.091499328613281</v>
      </c>
      <c r="L19" s="326"/>
      <c r="M19" s="64"/>
      <c r="N19" s="298"/>
      <c r="O19" s="298"/>
      <c r="P19" s="250"/>
      <c r="Q19" s="250"/>
      <c r="R19" s="297">
        <v>408</v>
      </c>
      <c r="S19" s="65">
        <v>2540.4499999999998</v>
      </c>
      <c r="T19" s="102">
        <v>103.05467116437173</v>
      </c>
      <c r="U19" s="479">
        <v>4.76</v>
      </c>
      <c r="V19" s="479">
        <v>1.5740000000000001</v>
      </c>
      <c r="W19" s="479">
        <v>6.7000000000000004E-2</v>
      </c>
      <c r="X19" s="479">
        <v>1.716</v>
      </c>
      <c r="Y19" s="479">
        <v>9.9000000000000005E-2</v>
      </c>
      <c r="Z19" s="65">
        <v>8.8811918559470691</v>
      </c>
      <c r="AA19" s="479">
        <v>2.5529999999999999</v>
      </c>
      <c r="AB19" s="479">
        <v>3.5590000000000002</v>
      </c>
      <c r="AC19" s="479">
        <v>0</v>
      </c>
      <c r="AD19" s="479">
        <v>0</v>
      </c>
      <c r="AE19" s="479">
        <v>0</v>
      </c>
      <c r="AF19" s="65">
        <v>3.3303730017761985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12.861111111109494</v>
      </c>
      <c r="C20">
        <v>308.66666666662786</v>
      </c>
      <c r="D20" s="413">
        <v>20</v>
      </c>
      <c r="E20" s="290"/>
      <c r="F20" s="290"/>
      <c r="G20" s="250"/>
      <c r="H20" s="250">
        <v>15.486100061035156</v>
      </c>
      <c r="I20" s="307">
        <v>1.1402165897147682</v>
      </c>
      <c r="J20" s="307">
        <v>16.626316650749924</v>
      </c>
      <c r="K20" s="314">
        <v>93.142097473144531</v>
      </c>
      <c r="L20" s="250"/>
      <c r="M20" s="250"/>
      <c r="N20" s="250"/>
      <c r="O20" s="250"/>
      <c r="P20" s="250"/>
      <c r="Q20" s="250"/>
      <c r="R20" s="297">
        <v>424</v>
      </c>
      <c r="S20" s="65">
        <v>2894.43</v>
      </c>
      <c r="T20" s="102">
        <v>118.69643760746584</v>
      </c>
      <c r="U20" s="479">
        <v>2.8809999999999998</v>
      </c>
      <c r="V20" s="479">
        <v>1.327</v>
      </c>
      <c r="W20" s="479">
        <v>7.4999999999999997E-2</v>
      </c>
      <c r="X20" s="479">
        <v>1.448</v>
      </c>
      <c r="Y20" s="479">
        <v>0.191</v>
      </c>
      <c r="Z20" s="250">
        <v>12.65569839472457</v>
      </c>
      <c r="AA20" s="479">
        <v>2.3639999999999999</v>
      </c>
      <c r="AB20" s="479">
        <v>2.2330000000000001</v>
      </c>
      <c r="AC20" s="479">
        <v>0</v>
      </c>
      <c r="AD20" s="479">
        <v>0</v>
      </c>
      <c r="AE20" s="479">
        <v>0</v>
      </c>
      <c r="AF20" s="250">
        <v>2.1092362344582591</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13.875694444439432</v>
      </c>
      <c r="C21" s="482">
        <v>333.01666666654637</v>
      </c>
      <c r="D21" s="488">
        <v>20</v>
      </c>
      <c r="E21" s="250"/>
      <c r="F21" s="250"/>
      <c r="G21" s="250"/>
      <c r="H21" s="250">
        <v>12.884300096130371</v>
      </c>
      <c r="I21" s="307">
        <v>2.8270155407675173</v>
      </c>
      <c r="J21" s="307">
        <v>15.711315636897888</v>
      </c>
      <c r="K21" s="314">
        <v>82.006500244140625</v>
      </c>
      <c r="L21" s="250"/>
      <c r="M21" s="250"/>
      <c r="N21" s="250"/>
      <c r="O21" s="250"/>
      <c r="P21" s="250"/>
      <c r="Q21" s="250"/>
      <c r="R21" s="297">
        <v>445</v>
      </c>
      <c r="S21" s="65">
        <v>3050.77</v>
      </c>
      <c r="T21" s="102">
        <v>131.72909914153692</v>
      </c>
      <c r="U21" s="479">
        <v>2.2639999999999998</v>
      </c>
      <c r="V21" s="479">
        <v>1.264</v>
      </c>
      <c r="W21" s="479">
        <v>8.1000000000000003E-2</v>
      </c>
      <c r="X21" s="479">
        <v>2.2229999999999999</v>
      </c>
      <c r="Y21" s="479">
        <v>0.35799999999999998</v>
      </c>
      <c r="Z21" s="250">
        <v>14.265414418614977</v>
      </c>
      <c r="AA21" s="479">
        <v>1.6970000000000001</v>
      </c>
      <c r="AB21" s="479">
        <v>2.4950000000000001</v>
      </c>
      <c r="AC21" s="479">
        <v>0</v>
      </c>
      <c r="AD21" s="479">
        <v>0</v>
      </c>
      <c r="AE21" s="479">
        <v>0</v>
      </c>
      <c r="AF21" s="250">
        <v>3.6634103019538191</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AJ1" zoomScale="160" zoomScaleNormal="160" workbookViewId="0">
      <pane ySplit="2" topLeftCell="A3" activePane="bottomLeft" state="frozen"/>
      <selection pane="bottomLeft" activeCell="E17" sqref="E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2.2222222221898846E-2</v>
      </c>
      <c r="C3" s="500">
        <f>'Measured Data'!C7</f>
        <v>0.53333333332557231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0.88333333333139308</v>
      </c>
      <c r="C4" s="500">
        <f>'Measured Data'!C8</f>
        <v>21.199999999953434</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300.56999835205067</v>
      </c>
      <c r="M4" s="102">
        <f>M3 + ('Measured Data'!P8*$E4-'Measured Data'!P7*$J3)/1000</f>
        <v>0</v>
      </c>
      <c r="N4" s="102">
        <f>N3+(-'Measured Data'!S7*'In Process Calc.'!$J3+'Measured Data'!S8*'In Process Calc.'!$E4)/1000</f>
        <v>0</v>
      </c>
      <c r="O4" s="102">
        <f>O3-(-'Measured Data'!U7*'In Process Calc.'!$J3+'Measured Data'!U8*'In Process Calc.'!$E4-$F3*'Measured Data'!AS8)/1000</f>
        <v>-1.2600000000000009E-2</v>
      </c>
      <c r="P4" s="102">
        <f>P3-(-'Measured Data'!V7*'In Process Calc.'!$J3+'Measured Data'!V8*'In Process Calc.'!$E4-$F3*'Measured Data'!AT8)/1000</f>
        <v>-4.5240000000000238E-2</v>
      </c>
      <c r="Q4" s="102">
        <f>Q3-(-'Measured Data'!W7*'In Process Calc.'!$J3+'Measured Data'!W8*'In Process Calc.'!$E4-$F3*'Measured Data'!AU8)/1000</f>
        <v>0.36622500000000036</v>
      </c>
      <c r="R4" s="102">
        <f>R3-(-'Measured Data'!X7*'In Process Calc.'!$J3+'Measured Data'!X8*'In Process Calc.'!$E4-$F3*'Measured Data'!AV8)/1000</f>
        <v>-7.4294999999999611E-2</v>
      </c>
      <c r="S4" s="102">
        <f>S3-(-'Measured Data'!Y7*'In Process Calc.'!$J3+'Measured Data'!Y8*'In Process Calc.'!$E4-$F3*'Measured Data'!AW8)/1000</f>
        <v>-0.11727000000000021</v>
      </c>
      <c r="T4" s="102">
        <v>0.23790920273805341</v>
      </c>
      <c r="U4" s="102">
        <f>U3-(-'Measured Data'!AA7*'In Process Calc.'!$J3+'Measured Data'!AA8*'In Process Calc.'!$E4-$G3*'Measured Data'!AY8)/1000</f>
        <v>0</v>
      </c>
      <c r="V4" s="102">
        <f>V3-(-'Measured Data'!AB7*'In Process Calc.'!$J3+'Measured Data'!AB8*'In Process Calc.'!$E4-$F3*'Measured Data'!AZ8)/1000</f>
        <v>-6.2100000000000363E-2</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0.83925399644760224</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0.16795499999999935</v>
      </c>
      <c r="AN4" s="101">
        <f t="shared" ref="AN4:AN17" si="2">$AM4+$AD4*1+$O4*1</f>
        <v>0.15535499999999935</v>
      </c>
      <c r="AO4" s="101">
        <f>(-$O4*3+$P4*6+$Q4*4+$R4*4+S4*6+$U4*5+$V4*5+$W4*2+$X4*6+$Y4*6+$AA4*6+$AB4*6+$AC4*5+$AE4*9+AF4*5+$AG4*3+$AH4*4+AI4*11+$AJ4*9+$AK4*5)</f>
        <v>-8.0040000000001499E-2</v>
      </c>
      <c r="AP4" s="107">
        <f>'Measured Data'!N8/('Measured Data'!H8)</f>
        <v>0</v>
      </c>
      <c r="AQ4" s="108">
        <f>IF('Measured Data'!O8&gt;0,'Measured Data'!O8,('Measured Data'!P8*$E4-'Measured Data'!P7*$J3)/1000/(('Measured Data'!$H7*$J3+'Measured Data'!$H8*$E4)*1000000*0.5*($C4-$C3))*1000000000)</f>
        <v>0</v>
      </c>
      <c r="AR4" s="108">
        <f>(L4-L3)/(('Measured Data'!$H7*$J3+'Measured Data'!$H8*$E4)*0.5*($C4-$C3))</f>
        <v>2.2938338761437124E-2</v>
      </c>
      <c r="AS4" s="108">
        <f t="shared" ref="AS4:AS17" si="3">$AR4+$AT4</f>
        <v>2.2711701410286961E-2</v>
      </c>
      <c r="AT4" s="108">
        <f>('Measured Data'!$I8*$E4-'Measured Data'!$I7*$J3)/(('Measured Data'!$H7*$J3+'Measured Data'!$H8*$E4)*0.5*($C4-$C3))</f>
        <v>-2.2663735115016422E-4</v>
      </c>
      <c r="AU4" s="108">
        <f>(N4-N3)*1000/(('Measured Data'!$H7*$J3+'Measured Data'!$H8*$E4)*0.5*($C4-$C3))</f>
        <v>0</v>
      </c>
      <c r="AV4" s="108">
        <f>(O4-O3)*1000/(('Measured Data'!$H7*$J3+'Measured Data'!$H8*$E4)*0.5*($C4-$C3))</f>
        <v>-9.6158322513473866E-4</v>
      </c>
      <c r="AW4" s="108">
        <f>(P4-P3)*1000/(('Measured Data'!$H7*$J3+'Measured Data'!$H8*$E4)*0.5*($C4-$C3))</f>
        <v>-3.4525416750076014E-3</v>
      </c>
      <c r="AX4" s="108">
        <f>(Q4-Q3)*1000/(('Measured Data'!$H7*$J3+'Measured Data'!$H8*$E4)*0.5*($C4-$C3))</f>
        <v>2.7948874335315062E-2</v>
      </c>
      <c r="AY4" s="108">
        <f>(R4-R3)*1000/(('Measured Data'!$H7*$J3+'Measured Data'!$H8*$E4)*0.5*($C4-$C3))</f>
        <v>-5.6699068024908721E-3</v>
      </c>
      <c r="AZ4" s="108">
        <f>(S4-S3)*1000/(('Measured Data'!$H7*$J3+'Measured Data'!$H8*$E4)*0.5*($C4-$C3))</f>
        <v>-8.9495924453611847E-3</v>
      </c>
      <c r="BA4" s="507">
        <v>0.1449857625715468</v>
      </c>
      <c r="BB4" s="108">
        <f>(U4-U3)*1000/(('Measured Data'!$H7*$J3+'Measured Data'!$H8*$E4)*0.5*($C4-$C3))</f>
        <v>0</v>
      </c>
      <c r="BC4" s="108">
        <f>(V4-V3)*1000/(('Measured Data'!$H7*$J3+'Measured Data'!$H8*$E4)*0.5*($C4-$C3))</f>
        <v>-4.7392316095926654E-3</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2.1767267888020254E-2</v>
      </c>
      <c r="BU4" s="109">
        <f>$BT4+$BK4*1-$AV4*1</f>
        <v>2.2728851113154994E-2</v>
      </c>
      <c r="BV4" s="109">
        <f>($AV4*3+$AW4*6+$AX4*4+$AY4*4+$AZ4*6+$BB4*5+$BC4*5+$BD4*2+$BE4*6+$BF4*6+$BH4*6+$BI4*6+$BJ4*5+$BL4*9+$BM4*5+$BN4*3+$BO4*4+$BP4*4+$BQ4*9+$BR4*5)</f>
        <v>-1.1877842314283491E-2</v>
      </c>
      <c r="BW4" s="109">
        <f>($BV4+ABS($AV4*3)+ABS($AW4*6)+ABS($AX4*4)+ABS($AY4*4)+ABS($AZ4*6)+ABS($BB4*5)+ABS($BC4*5)+ABS($BD4*2)+ABS($BE4*6)+ABS($BF4*6)+ABS($BH4*6)+ABS($BI4*6)+ABS($BJ4*5)+ABS($BL4*9)+ABS($BM4*5)+ABS($BN4*3)+ABS($BO4*4)+ABS($BP4*4)+ABS($BQ4*9)+ABS($BR4*5))/2</f>
        <v>0.11179549734126025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2.0194444444423425</v>
      </c>
      <c r="C5" s="500">
        <f>'Measured Data'!C9</f>
        <v>48.46666666661622</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1021.1999999999999</v>
      </c>
      <c r="M5" s="102">
        <f>M4 + ('Measured Data'!P9*$E5-'Measured Data'!P8*$J4)/1000</f>
        <v>0</v>
      </c>
      <c r="N5" s="102">
        <f>N4+(-'Measured Data'!S8*'In Process Calc.'!$J4+'Measured Data'!S9*'In Process Calc.'!$E5)/1000</f>
        <v>0</v>
      </c>
      <c r="O5" s="102">
        <f>O4-(-'Measured Data'!U8*'In Process Calc.'!$J4+'Measured Data'!U9*'In Process Calc.'!$E5-$F4*'Measured Data'!AS9)/1000</f>
        <v>-1.1655000000000002E-2</v>
      </c>
      <c r="P5" s="102">
        <f>P4-(-'Measured Data'!V8*'In Process Calc.'!$J4+'Measured Data'!V9*'In Process Calc.'!$E5-$F4*'Measured Data'!AT9)/1000</f>
        <v>0.5107649999999998</v>
      </c>
      <c r="Q5" s="102">
        <f>Q4-(-'Measured Data'!W8*'In Process Calc.'!$J4+'Measured Data'!W9*'In Process Calc.'!$E5-$F4*'Measured Data'!AU9)/1000</f>
        <v>1.9054500000000005</v>
      </c>
      <c r="R5" s="102">
        <f>R4-(-'Measured Data'!X8*'In Process Calc.'!$J4+'Measured Data'!X9*'In Process Calc.'!$E5-$F4*'Measured Data'!AV9)/1000</f>
        <v>3.4650000000001485E-3</v>
      </c>
      <c r="S5" s="102">
        <f>S4-(-'Measured Data'!Y8*'In Process Calc.'!$J4+'Measured Data'!Y9*'In Process Calc.'!$E5-$F4*'Measured Data'!AW9)/1000</f>
        <v>-1.9110000000000127E-2</v>
      </c>
      <c r="T5" s="102">
        <v>2.0361132618648101</v>
      </c>
      <c r="U5" s="102">
        <f>U4-(-'Measured Data'!AA8*'In Process Calc.'!$J4+'Measured Data'!AA9*'In Process Calc.'!$E5-$G4*'Measured Data'!AY9)/1000</f>
        <v>-0.50673000000000001</v>
      </c>
      <c r="V5" s="102">
        <f>V4-(-'Measured Data'!AB8*'In Process Calc.'!$J4+'Measured Data'!AB9*'In Process Calc.'!$E5-$F4*'Measured Data'!AZ9)/1000</f>
        <v>5.8274999999999633E-2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3.1455373001776206</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4.8523649999999989</v>
      </c>
      <c r="AN5" s="101">
        <f t="shared" si="2"/>
        <v>4.8407099999999987</v>
      </c>
      <c r="AO5" s="101">
        <f t="shared" ref="AO5:AO15" si="7">(-$O5*3+$P5*6+$Q5*4+$R5*4+S5*6+$U5*5+$V5*5+$W5*2+$X5*6+$Y5*6+$AA5*6+$AB5*6+$AC5*5+$AE5*9+AF5*5+$AG5*3+$AH5*4+AI5*11+$AJ5*9+$AK5*5)</f>
        <v>8.3782800000000002</v>
      </c>
      <c r="AP5" s="107">
        <f>'Measured Data'!N9/('Measured Data'!H9)</f>
        <v>0</v>
      </c>
      <c r="AQ5" s="108">
        <f>IF('Measured Data'!O9&gt;0,'Measured Data'!O9,('Measured Data'!P9*$E5-'Measured Data'!P8*$J4)/1000/(('Measured Data'!$H8*$J4+'Measured Data'!$H9*$E5)*1000000*0.5*($C5-$C4))*1000000000)</f>
        <v>0</v>
      </c>
      <c r="AR5" s="108">
        <f>(L5-L4)/(('Measured Data'!$H8*$J4+'Measured Data'!$H9*$E5)*0.5*($C5-$C4))</f>
        <v>2.30894330372578E-2</v>
      </c>
      <c r="AS5" s="108">
        <f t="shared" si="3"/>
        <v>2.3387542977410837E-2</v>
      </c>
      <c r="AT5" s="108">
        <f>('Measured Data'!$I9*$E5-'Measured Data'!$I8*$J4)/(('Measured Data'!$H8*$J4+'Measured Data'!$H9*$E5)*0.5*($C5-$C4))</f>
        <v>2.9810994015303546E-4</v>
      </c>
      <c r="AU5" s="108">
        <f>(N5-N4)*1000/(('Measured Data'!$H8*$J4+'Measured Data'!$H9*$E5)*0.5*($C5-$C4))</f>
        <v>0</v>
      </c>
      <c r="AV5" s="108">
        <f>(O5-O4)*1000/(('Measured Data'!$H8*$J4+'Measured Data'!$H9*$E5)*0.5*($C5-$C4))</f>
        <v>3.0278387203296458E-5</v>
      </c>
      <c r="AW5" s="108">
        <f>(P5-P4)*1000/(('Measured Data'!$H8*$J4+'Measured Data'!$H9*$E5)*0.5*($C5-$C4))</f>
        <v>1.7814745689914004E-2</v>
      </c>
      <c r="AX5" s="108">
        <f>(Q5-Q4)*1000/(('Measured Data'!$H8*$J4+'Measured Data'!$H9*$E5)*0.5*($C5-$C4))</f>
        <v>4.9317725442321346E-2</v>
      </c>
      <c r="AY5" s="108">
        <f>(R5-R4)*1000/(('Measured Data'!$H8*$J4+'Measured Data'!$H9*$E5)*0.5*($C5-$C4))</f>
        <v>2.4914787184426549E-3</v>
      </c>
      <c r="AZ5" s="108">
        <f>(S5-S4)*1000/(('Measured Data'!$H8*$J4+'Measured Data'!$H9*$E5)*0.5*($C5-$C4))</f>
        <v>3.1451073945773142E-3</v>
      </c>
      <c r="BA5" s="507">
        <v>5.2687416642327865E-2</v>
      </c>
      <c r="BB5" s="108">
        <f>(U5-U4)*1000/(('Measured Data'!$H8*$J4+'Measured Data'!$H9*$E5)*0.5*($C5-$C4))</f>
        <v>-1.6235944071456409E-2</v>
      </c>
      <c r="BC5" s="108">
        <f>(V5-V4)*1000/(('Measured Data'!$H8*$J4+'Measured Data'!$H9*$E5)*0.5*($C5-$C4))</f>
        <v>3.8568897985151169E-3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0.14694629980012427</v>
      </c>
      <c r="BU5" s="109">
        <f t="shared" ref="BU5:BU17" si="9">$BT5+$BK5*1-$AV5*1</f>
        <v>0.14691602141292098</v>
      </c>
      <c r="BV5" s="109">
        <f t="shared" ref="BV5:BV17" si="10">($AV5*3+$AW5*6+$AX5*4+$AY5*4+$AZ5*6+$BB5*5+$BC5*5+$BD5*2+$BE5*6+$BF5*6+$BH5*6+$BI5*6+$BJ5*5+$BL5*9+$BM5*5+$BN5*3+$BO5*4+$BP5*4+$BQ5*9+$BR5*5)</f>
        <v>0.27119149894690736</v>
      </c>
      <c r="BW5" s="109">
        <f t="shared" ref="BW5:BW17" si="11">($BV5+ABS($AV5*3)+ABS($AW5*6)+ABS($AX5*4)+ABS($AY5*4)+ABS($AZ5*6)+ABS($BB5*5)+ABS($BC5*5)+ABS($BD5*2)+ABS($BE5*6)+ABS($BF5*6)+ABS($BH5*6)+ABS($BI5*6)+ABS($BJ5*5)+ABS($BL5*9)+ABS($BM5*5)+ABS($BN5*3)+ABS($BO5*4)+ABS($BP5*4)+ABS($BQ5*9)+ABS($BR5*5))/2</f>
        <v>0.35237121930418941</v>
      </c>
      <c r="BX5" s="108">
        <f t="shared" si="4"/>
        <v>1.0852781281738566</v>
      </c>
      <c r="BY5" s="108">
        <f t="shared" si="5"/>
        <v>0</v>
      </c>
      <c r="BZ5" s="108">
        <f t="shared" si="6"/>
        <v>-0.30815600965359957</v>
      </c>
      <c r="CA5" s="108">
        <f t="shared" ref="CA5:CA17" si="12">$BK5/$BB5</f>
        <v>0</v>
      </c>
      <c r="CB5" s="36"/>
    </row>
    <row r="6" spans="1:80">
      <c r="A6" s="94">
        <f>'Measured Data'!$A10</f>
        <v>3</v>
      </c>
      <c r="B6" s="500">
        <f>'Measured Data'!B10</f>
        <v>2.9569444444423425</v>
      </c>
      <c r="C6" s="500">
        <f>'Measured Data'!C10</f>
        <v>70.96666666661622</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2035.7180708480835</v>
      </c>
      <c r="M6" s="102">
        <f>M5 + ('Measured Data'!P10*$E6-'Measured Data'!P9*$J5)/1000</f>
        <v>0</v>
      </c>
      <c r="N6" s="102">
        <f>N5+(-'Measured Data'!S9*'In Process Calc.'!$J5+'Measured Data'!S10*'In Process Calc.'!$E6)/1000</f>
        <v>0</v>
      </c>
      <c r="O6" s="102">
        <f>O5-(-'Measured Data'!U9*'In Process Calc.'!$J5+'Measured Data'!U10*'In Process Calc.'!$E6-$F5*'Measured Data'!AS10)/1000</f>
        <v>-7.5488000000000013E-2</v>
      </c>
      <c r="P6" s="102">
        <f>P5-(-'Measured Data'!V9*'In Process Calc.'!$J5+'Measured Data'!V10*'In Process Calc.'!$E6-$F5*'Measured Data'!AT10)/1000</f>
        <v>0.68688799999999983</v>
      </c>
      <c r="Q6" s="102">
        <f>Q5-(-'Measured Data'!W9*'In Process Calc.'!$J5+'Measured Data'!W10*'In Process Calc.'!$E6-$F5*'Measured Data'!AU10)/1000</f>
        <v>3.3640249999999994</v>
      </c>
      <c r="R6" s="102">
        <f>R5-(-'Measured Data'!X9*'In Process Calc.'!$J5+'Measured Data'!X10*'In Process Calc.'!$E6-$F5*'Measured Data'!AV10)/1000</f>
        <v>7.6089000000000406E-2</v>
      </c>
      <c r="S6" s="102">
        <f>S5-(-'Measured Data'!Y9*'In Process Calc.'!$J5+'Measured Data'!Y10*'In Process Calc.'!$E6-$F5*'Measured Data'!AW10)/1000</f>
        <v>0.15175</v>
      </c>
      <c r="T6" s="102">
        <v>4.1004094487096108</v>
      </c>
      <c r="U6" s="102">
        <f>U5-(-'Measured Data'!AA9*'In Process Calc.'!$J5+'Measured Data'!AA10*'In Process Calc.'!$E6-$G5*'Measured Data'!AY10)/1000</f>
        <v>-0.67160799999999998</v>
      </c>
      <c r="V6" s="102">
        <f>V5-(-'Measured Data'!AB9*'In Process Calc.'!$J5+'Measured Data'!AB10*'In Process Calc.'!$E6-$F5*'Measured Data'!AZ10)/1000</f>
        <v>0.16523199999999996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5.5706039076376559</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8.6017189999999975</v>
      </c>
      <c r="AN6" s="101">
        <f t="shared" si="2"/>
        <v>8.5262309999999975</v>
      </c>
      <c r="AO6" s="101">
        <f t="shared" si="7"/>
        <v>16.486868000000001</v>
      </c>
      <c r="AP6" s="107">
        <f>'Measured Data'!N10/('Measured Data'!H10)</f>
        <v>0</v>
      </c>
      <c r="AQ6" s="108">
        <f>IF('Measured Data'!O10&gt;0,'Measured Data'!O10,('Measured Data'!P10*$E6-'Measured Data'!P9*$J5)/1000/(('Measured Data'!$H9*$J5+'Measured Data'!$H10*$E6)*1000000*0.5*($C6-$C5))*1000000000)</f>
        <v>0</v>
      </c>
      <c r="AR6" s="108">
        <f>(L6-L5)/(('Measured Data'!$H9*$J5+'Measured Data'!$H10*$E6)*0.5*($C6-$C5))</f>
        <v>2.2408055646261745E-2</v>
      </c>
      <c r="AS6" s="108">
        <f t="shared" si="3"/>
        <v>2.2878178602500198E-2</v>
      </c>
      <c r="AT6" s="108">
        <f>('Measured Data'!$I10*$E6-'Measured Data'!$I9*$J5)/(('Measured Data'!$H9*$J5+'Measured Data'!$H10*$E6)*0.5*($C6-$C5))</f>
        <v>4.7012295623845415E-4</v>
      </c>
      <c r="AU6" s="108">
        <f>(N6-N5)*1000/(('Measured Data'!$H9*$J5+'Measured Data'!$H10*$E6)*0.5*($C6-$C5))</f>
        <v>0</v>
      </c>
      <c r="AV6" s="108">
        <f>(O6-O5)*1000/(('Measured Data'!$H9*$J5+'Measured Data'!$H10*$E6)*0.5*($C6-$C5))</f>
        <v>-1.4099043251857601E-3</v>
      </c>
      <c r="AW6" s="108">
        <f>(P6-P5)*1000/(('Measured Data'!$H9*$J5+'Measured Data'!$H10*$E6)*0.5*($C6-$C5))</f>
        <v>3.8900972767172402E-3</v>
      </c>
      <c r="AX6" s="108">
        <f>(Q6-Q5)*1000/(('Measured Data'!$H9*$J5+'Measured Data'!$H10*$E6)*0.5*($C6-$C5))</f>
        <v>3.2216113939620851E-2</v>
      </c>
      <c r="AY6" s="108">
        <f>(R6-R5)*1000/(('Measured Data'!$H9*$J5+'Measured Data'!$H10*$E6)*0.5*($C6-$C5))</f>
        <v>1.6040745650727831E-3</v>
      </c>
      <c r="AZ6" s="108">
        <f>(S6-S5)*1000/(('Measured Data'!$H9*$J5+'Measured Data'!$H10*$E6)*0.5*($C6-$C5))</f>
        <v>3.7738513465016385E-3</v>
      </c>
      <c r="BA6" s="507">
        <v>0.10113035026121092</v>
      </c>
      <c r="BB6" s="108">
        <f>(U6-U5)*1000/(('Measured Data'!$H9*$J5+'Measured Data'!$H10*$E6)*0.5*($C6-$C5))</f>
        <v>-3.6417245833342883E-3</v>
      </c>
      <c r="BC6" s="108">
        <f>(V6-V5)*1000/(('Measured Data'!$H9*$J5+'Measured Data'!$H10*$E6)*0.5*($C6-$C5))</f>
        <v>2.3624009040604981E-3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7.9039590309891231E-2</v>
      </c>
      <c r="BU6" s="109">
        <f t="shared" si="9"/>
        <v>8.0449494635076987E-2</v>
      </c>
      <c r="BV6" s="109">
        <f t="shared" si="10"/>
        <v>0.17063811438616155</v>
      </c>
      <c r="BW6" s="109">
        <f t="shared" si="11"/>
        <v>0.19307645027839027</v>
      </c>
      <c r="BX6" s="108">
        <f t="shared" si="4"/>
        <v>0.33900074264965052</v>
      </c>
      <c r="BY6" s="108">
        <f t="shared" si="5"/>
        <v>0</v>
      </c>
      <c r="BZ6" s="108">
        <f t="shared" si="6"/>
        <v>-3.601020439391369E-2</v>
      </c>
      <c r="CA6" s="108">
        <f t="shared" si="12"/>
        <v>0</v>
      </c>
      <c r="CB6" s="36"/>
    </row>
    <row r="7" spans="1:80">
      <c r="A7" s="94">
        <f>'Measured Data'!$A11</f>
        <v>4</v>
      </c>
      <c r="B7" s="500">
        <f>'Measured Data'!B11</f>
        <v>3.9770833333313931</v>
      </c>
      <c r="C7" s="500">
        <f>'Measured Data'!C11</f>
        <v>95.449999999953434</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4371.7850396572121</v>
      </c>
      <c r="M7" s="102">
        <f>M6 + ('Measured Data'!P11*$E7-'Measured Data'!P10*$J6)/1000</f>
        <v>0</v>
      </c>
      <c r="N7" s="102">
        <f>N6+(-'Measured Data'!S10*'In Process Calc.'!$J6+'Measured Data'!S11*'In Process Calc.'!$E7)/1000</f>
        <v>38.541310000000003</v>
      </c>
      <c r="O7" s="102">
        <f>O6-(-'Measured Data'!U10*'In Process Calc.'!$J6+'Measured Data'!U11*'In Process Calc.'!$E7-$F6*'Measured Data'!AS11)/1000</f>
        <v>-0.371778</v>
      </c>
      <c r="P7" s="102">
        <f>P6-(-'Measured Data'!V10*'In Process Calc.'!$J6+'Measured Data'!V11*'In Process Calc.'!$E7-$F6*'Measured Data'!AT11)/1000</f>
        <v>-0.15153600000000012</v>
      </c>
      <c r="Q7" s="102">
        <f>Q6-(-'Measured Data'!W10*'In Process Calc.'!$J6+'Measured Data'!W11*'In Process Calc.'!$E7-$F6*'Measured Data'!AU11)/1000</f>
        <v>1.2412779999999999</v>
      </c>
      <c r="R7" s="102">
        <f>R6-(-'Measured Data'!X10*'In Process Calc.'!$J6+'Measured Data'!X11*'In Process Calc.'!$E7-$F6*'Measured Data'!AV11)/1000</f>
        <v>0.33073200000000041</v>
      </c>
      <c r="S7" s="102">
        <f>S6-(-'Measured Data'!Y10*'In Process Calc.'!$J6+'Measured Data'!Y11*'In Process Calc.'!$E7-$F6*'Measured Data'!AW11)/1000</f>
        <v>0.38210099999999991</v>
      </c>
      <c r="T7" s="102">
        <v>7.9942980563749506</v>
      </c>
      <c r="U7" s="102">
        <f>U6-(-'Measured Data'!AA10*'In Process Calc.'!$J6+'Measured Data'!AA11*'In Process Calc.'!$E7-$G6*'Measured Data'!AY11)/1000</f>
        <v>-1.2059280000000001</v>
      </c>
      <c r="V7" s="102">
        <f>V6-(-'Measured Data'!AB10*'In Process Calc.'!$J6+'Measured Data'!AB11*'In Process Calc.'!$E7-$F6*'Measured Data'!AZ11)/1000</f>
        <v>-7.2246520000000016</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9.0244227353463593</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-7.0369400000000022</v>
      </c>
      <c r="AN7" s="101">
        <f t="shared" si="2"/>
        <v>-7.4087180000000021</v>
      </c>
      <c r="AO7" s="101">
        <f t="shared" si="7"/>
        <v>-33.366136000000012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2.5875129445834179E-2</v>
      </c>
      <c r="AS7" s="108">
        <f t="shared" si="3"/>
        <v>2.5945738750565411E-2</v>
      </c>
      <c r="AT7" s="108">
        <f>('Measured Data'!$I11*$E7-'Measured Data'!$I10*$J6)/(('Measured Data'!$H10*$J6+'Measured Data'!$H11*$E7)*0.5*($C7-$C6))</f>
        <v>7.0609304731234266E-5</v>
      </c>
      <c r="AU7" s="108">
        <f>(N7-N6)*1000/(('Measured Data'!$H10*$J6+'Measured Data'!$H11*$E7)*0.5*($C7-$C6))</f>
        <v>0.42689760121491876</v>
      </c>
      <c r="AV7" s="108">
        <f>(O7-O6)*1000/(('Measured Data'!$H10*$J6+'Measured Data'!$H11*$E7)*0.5*($C7-$C6))</f>
        <v>-3.2818160634386397E-3</v>
      </c>
      <c r="AW7" s="108">
        <f>(P7-P6)*1000/(('Measured Data'!$H10*$J6+'Measured Data'!$H11*$E7)*0.5*($C7-$C6))</f>
        <v>-9.2866899023675373E-3</v>
      </c>
      <c r="AX7" s="108">
        <f>(Q7-Q6)*1000/(('Measured Data'!$H10*$J6+'Measured Data'!$H11*$E7)*0.5*($C7-$C6))</f>
        <v>-2.3512319697648179E-2</v>
      </c>
      <c r="AY7" s="108">
        <f>(R7-R6)*1000/(('Measured Data'!$H10*$J6+'Measured Data'!$H11*$E7)*0.5*($C7-$C6))</f>
        <v>2.8205187074899774E-3</v>
      </c>
      <c r="AZ7" s="108">
        <f>(S7-S6)*1000/(('Measured Data'!$H10*$J6+'Measured Data'!$H11*$E7)*0.5*($C7-$C6))</f>
        <v>2.5514516589461465E-3</v>
      </c>
      <c r="BA7" s="507">
        <v>7.9511007546199414E-2</v>
      </c>
      <c r="BB7" s="108">
        <f>(U7-U6)*1000/(('Measured Data'!$H10*$J6+'Measured Data'!$H11*$E7)*0.5*($C7-$C6))</f>
        <v>-5.9183231260472322E-3</v>
      </c>
      <c r="BC7" s="108">
        <f>(V7-V6)*1000/(('Measured Data'!$H10*$J6+'Measured Data'!$H11*$E7)*0.5*($C7-$C6))</f>
        <v>-8.1853049438550707E-2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-0.1757709403924142</v>
      </c>
      <c r="BU7" s="109">
        <f t="shared" si="9"/>
        <v>-0.17248912432897556</v>
      </c>
      <c r="BV7" s="109">
        <f t="shared" si="10"/>
        <v>-0.5718809444344668</v>
      </c>
      <c r="BW7" s="109">
        <f t="shared" si="11"/>
        <v>2.6590784783636773E-2</v>
      </c>
      <c r="BX7" s="108">
        <f t="shared" si="4"/>
        <v>0.49867274933927114</v>
      </c>
      <c r="BY7" s="108">
        <f t="shared" si="5"/>
        <v>0</v>
      </c>
      <c r="BZ7" s="108">
        <f t="shared" si="6"/>
        <v>-7.4434009940176196E-2</v>
      </c>
      <c r="CA7" s="108">
        <f t="shared" si="12"/>
        <v>0</v>
      </c>
      <c r="CB7" s="36"/>
    </row>
    <row r="8" spans="1:80">
      <c r="A8" s="94">
        <f>'Measured Data'!$A12</f>
        <v>5</v>
      </c>
      <c r="B8" s="500">
        <f>'Measured Data'!B12</f>
        <v>4.828472222223354</v>
      </c>
      <c r="C8" s="500">
        <f>'Measured Data'!C12</f>
        <v>115.8833333333605</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6873.0426911666036</v>
      </c>
      <c r="M8" s="102">
        <f>M7 + ('Measured Data'!P12*$E8-'Measured Data'!P11*$J7)/1000</f>
        <v>0</v>
      </c>
      <c r="N8" s="102">
        <f>N7+(-'Measured Data'!S11*'In Process Calc.'!$J7+'Measured Data'!S12*'In Process Calc.'!$E8)/1000</f>
        <v>140.58590962962964</v>
      </c>
      <c r="O8" s="102">
        <f>O7-(-'Measured Data'!U11*'In Process Calc.'!$J7+'Measured Data'!U12*'In Process Calc.'!$E8-$F7*'Measured Data'!AS12)/1000</f>
        <v>-0.97580677777777769</v>
      </c>
      <c r="P8" s="102">
        <f>P7-(-'Measured Data'!V11*'In Process Calc.'!$J7+'Measured Data'!V12*'In Process Calc.'!$E8-$F7*'Measured Data'!AT12)/1000</f>
        <v>-0.69099285185185233</v>
      </c>
      <c r="Q8" s="102">
        <f>Q7-(-'Measured Data'!W11*'In Process Calc.'!$J7+'Measured Data'!W12*'In Process Calc.'!$E8-$F7*'Measured Data'!AU12)/1000</f>
        <v>-0.32574733333333317</v>
      </c>
      <c r="R8" s="102">
        <f>R7-(-'Measured Data'!X11*'In Process Calc.'!$J7+'Measured Data'!X12*'In Process Calc.'!$E8-$F7*'Measured Data'!AV12)/1000</f>
        <v>-7.3289185185185068E-2</v>
      </c>
      <c r="S8" s="102">
        <f>S7-(-'Measured Data'!Y11*'In Process Calc.'!$J7+'Measured Data'!Y12*'In Process Calc.'!$E8-$F7*'Measured Data'!AW12)/1000</f>
        <v>0.46410481481481453</v>
      </c>
      <c r="T8" s="102">
        <v>12.867750240484616</v>
      </c>
      <c r="U8" s="102">
        <f>U7-(-'Measured Data'!AA11*'In Process Calc.'!$J7+'Measured Data'!AA12*'In Process Calc.'!$E8-$G7*'Measured Data'!AY12)/1000</f>
        <v>-1.7975822222222222</v>
      </c>
      <c r="V8" s="102">
        <f>V7-(-'Measured Data'!AB11*'In Process Calc.'!$J7+'Measured Data'!AB12*'In Process Calc.'!$E8-$F7*'Measured Data'!AZ12)/1000</f>
        <v>-13.546547777777782</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12.624469607262681</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-20.678064629629638</v>
      </c>
      <c r="AN8" s="101">
        <f t="shared" si="2"/>
        <v>-21.653871407407415</v>
      </c>
      <c r="AO8" s="101">
        <f t="shared" si="7"/>
        <v>-76.750703962963001</v>
      </c>
      <c r="AP8" s="107">
        <f>'Measured Data'!N12/('Measured Data'!H12)</f>
        <v>0</v>
      </c>
      <c r="AQ8" s="108">
        <f>IF('Measured Data'!O12&gt;0,'Measured Data'!O12,('Measured Data'!P12*$E8-'Measured Data'!P11*$J7)/1000/(('Measured Data'!$H11*$J7+'Measured Data'!$H12*$E8)*1000000*0.5*($C8-$C7))*1000000000)</f>
        <v>0</v>
      </c>
      <c r="AR8" s="108">
        <f>(L8-L7)/(('Measured Data'!$H11*$J7+'Measured Data'!$H12*$E8)*0.5*($C8-$C7))</f>
        <v>2.004706301442457E-2</v>
      </c>
      <c r="AS8" s="108">
        <f t="shared" si="3"/>
        <v>2.0333320052524622E-2</v>
      </c>
      <c r="AT8" s="108">
        <f>('Measured Data'!$I12*$E8-'Measured Data'!$I11*$J7)/(('Measured Data'!$H11*$J7+'Measured Data'!$H12*$E8)*0.5*($C8-$C7))</f>
        <v>2.862570381000523E-4</v>
      </c>
      <c r="AU8" s="108">
        <f>(N8-N7)*1000/(('Measured Data'!$H11*$J7+'Measured Data'!$H12*$E8)*0.5*($C8-$C7))</f>
        <v>0.81786637127224016</v>
      </c>
      <c r="AV8" s="108">
        <f>(O8-O7)*1000/(('Measured Data'!$H11*$J7+'Measured Data'!$H12*$E8)*0.5*($C8-$C7))</f>
        <v>-4.8411657884703529E-3</v>
      </c>
      <c r="AW8" s="108">
        <f>(P8-P7)*1000/(('Measured Data'!$H11*$J7+'Measured Data'!$H12*$E8)*0.5*($C8-$C7))</f>
        <v>-4.3236351505456152E-3</v>
      </c>
      <c r="AX8" s="108">
        <f>(Q8-Q7)*1000/(('Measured Data'!$H11*$J7+'Measured Data'!$H12*$E8)*0.5*($C8-$C7))</f>
        <v>-1.255938410966018E-2</v>
      </c>
      <c r="AY8" s="108">
        <f>(R8-R7)*1000/(('Measured Data'!$H11*$J7+'Measured Data'!$H12*$E8)*0.5*($C8-$C7))</f>
        <v>-3.238146279605494E-3</v>
      </c>
      <c r="AZ8" s="108">
        <f>(S8-S7)*1000/(('Measured Data'!$H11*$J7+'Measured Data'!$H12*$E8)*0.5*($C8-$C7))</f>
        <v>6.572436238320965E-4</v>
      </c>
      <c r="BA8" s="507">
        <v>5.4698722786507108E-2</v>
      </c>
      <c r="BB8" s="108">
        <f>(U8-U7)*1000/(('Measured Data'!$H11*$J7+'Measured Data'!$H12*$E8)*0.5*($C8-$C7))</f>
        <v>-4.7419862837727771E-3</v>
      </c>
      <c r="BC8" s="108">
        <f>(V8-V7)*1000/(('Measured Data'!$H11*$J7+'Measured Data'!$H12*$E8)*0.5*($C8-$C7))</f>
        <v>-5.0668687790422912E-2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-0.10998803762371503</v>
      </c>
      <c r="BU8" s="109">
        <f t="shared" si="9"/>
        <v>-0.10514687183524468</v>
      </c>
      <c r="BV8" s="109">
        <f t="shared" si="10"/>
        <v>-0.37676533845373328</v>
      </c>
      <c r="BW8" s="109">
        <f t="shared" si="11"/>
        <v>3.9434617429925517E-3</v>
      </c>
      <c r="BX8" s="108">
        <f t="shared" si="4"/>
        <v>0.39469790489112777</v>
      </c>
      <c r="BY8" s="108">
        <f t="shared" si="5"/>
        <v>0</v>
      </c>
      <c r="BZ8" s="108">
        <f t="shared" si="6"/>
        <v>-8.6692815521142552E-2</v>
      </c>
      <c r="CA8" s="108">
        <f t="shared" si="12"/>
        <v>0</v>
      </c>
      <c r="CB8" s="36"/>
    </row>
    <row r="9" spans="1:80">
      <c r="A9" s="94">
        <f>'Measured Data'!$A13</f>
        <v>6</v>
      </c>
      <c r="B9" s="500">
        <f>'Measured Data'!B13</f>
        <v>5.8784722222189885</v>
      </c>
      <c r="C9" s="500">
        <f>'Measured Data'!C13</f>
        <v>141.08333333325572</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11714.652945386082</v>
      </c>
      <c r="M9" s="102">
        <f>M8 + ('Measured Data'!P13*$E9-'Measured Data'!P12*$J8)/1000</f>
        <v>0</v>
      </c>
      <c r="N9" s="102">
        <f>N8+(-'Measured Data'!S12*'In Process Calc.'!$J8+'Measured Data'!S13*'In Process Calc.'!$E9)/1000</f>
        <v>367.41201777777781</v>
      </c>
      <c r="O9" s="102">
        <f>O8-(-'Measured Data'!U12*'In Process Calc.'!$J8+'Measured Data'!U13*'In Process Calc.'!$E9-$F8*'Measured Data'!AS13)/1000</f>
        <v>-2.5364640000000001</v>
      </c>
      <c r="P9" s="102">
        <f>P8-(-'Measured Data'!V12*'In Process Calc.'!$J8+'Measured Data'!V13*'In Process Calc.'!$E9-$F8*'Measured Data'!AT13)/1000</f>
        <v>-1.7317006666666663</v>
      </c>
      <c r="Q9" s="102">
        <f>Q8-(-'Measured Data'!W12*'In Process Calc.'!$J8+'Measured Data'!W13*'In Process Calc.'!$E9-$F8*'Measured Data'!AU13)/1000</f>
        <v>-0.83796922222222425</v>
      </c>
      <c r="R9" s="102">
        <f>R8-(-'Measured Data'!X12*'In Process Calc.'!$J8+'Measured Data'!X13*'In Process Calc.'!$E9-$F8*'Measured Data'!AV13)/1000</f>
        <v>-0.82828455555555602</v>
      </c>
      <c r="S9" s="102">
        <f>S8-(-'Measured Data'!Y12*'In Process Calc.'!$J8+'Measured Data'!Y13*'In Process Calc.'!$E9-$F8*'Measured Data'!AW13)/1000</f>
        <v>0.64156177777777768</v>
      </c>
      <c r="T9" s="102">
        <v>20.620079823926854</v>
      </c>
      <c r="U9" s="102">
        <f>U8-(-'Measured Data'!AA12*'In Process Calc.'!$J8+'Measured Data'!AA13*'In Process Calc.'!$E9-$G8*'Measured Data'!AY13)/1000</f>
        <v>-2.9726013333333334</v>
      </c>
      <c r="V9" s="102">
        <f>V8-(-'Measured Data'!AB12*'In Process Calc.'!$J8+'Measured Data'!AB13*'In Process Calc.'!$E9-$F8*'Measured Data'!AZ13)/1000</f>
        <v>-19.842863333333334</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18.566434774028025</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-36.472432111111118</v>
      </c>
      <c r="AN9" s="101">
        <f t="shared" si="2"/>
        <v>-39.00889611111112</v>
      </c>
      <c r="AO9" s="101">
        <f t="shared" si="7"/>
        <v>-119.67377977777778</v>
      </c>
      <c r="AP9" s="107">
        <f>'Measured Data'!N13/('Measured Data'!H13)</f>
        <v>0</v>
      </c>
      <c r="AQ9" s="108">
        <f>IF('Measured Data'!O13&gt;0,'Measured Data'!O13,('Measured Data'!P13*$E9-'Measured Data'!P12*$J8)/1000/(('Measured Data'!$H12*$J8+'Measured Data'!$H13*$E9)*1000000*0.5*($C9-$C8))*1000000000)</f>
        <v>0</v>
      </c>
      <c r="AR9" s="108">
        <f>(L9-L8)/(('Measured Data'!$H12*$J8+'Measured Data'!$H13*$E9)*0.5*($C9-$C8))</f>
        <v>1.964975391830176E-2</v>
      </c>
      <c r="AS9" s="108">
        <f t="shared" si="3"/>
        <v>1.9694708021018414E-2</v>
      </c>
      <c r="AT9" s="108">
        <f>('Measured Data'!$I13*$E9-'Measured Data'!$I12*$J8)/(('Measured Data'!$H12*$J8+'Measured Data'!$H13*$E9)*0.5*($C9-$C8))</f>
        <v>4.4954102716654928E-5</v>
      </c>
      <c r="AU9" s="108">
        <f>(N9-N8)*1000/(('Measured Data'!$H12*$J8+'Measured Data'!$H13*$E9)*0.5*($C9-$C8))</f>
        <v>0.92057744703280409</v>
      </c>
      <c r="AV9" s="108">
        <f>(O9-O8)*1000/(('Measured Data'!$H12*$J8+'Measured Data'!$H13*$E9)*0.5*($C9-$C8))</f>
        <v>-6.3339527052515381E-3</v>
      </c>
      <c r="AW9" s="108">
        <f>(P9-P8)*1000/(('Measured Data'!$H12*$J8+'Measured Data'!$H13*$E9)*0.5*($C9-$C8))</f>
        <v>-4.2237295833845194E-3</v>
      </c>
      <c r="AX9" s="108">
        <f>(Q9-Q8)*1000/(('Measured Data'!$H12*$J8+'Measured Data'!$H13*$E9)*0.5*($C9-$C8))</f>
        <v>-2.078860862346924E-3</v>
      </c>
      <c r="AY9" s="108">
        <f>(R9-R8)*1000/(('Measured Data'!$H12*$J8+'Measured Data'!$H13*$E9)*0.5*($C9-$C8))</f>
        <v>-3.064160983281486E-3</v>
      </c>
      <c r="AZ9" s="108">
        <f>(S9-S8)*1000/(('Measured Data'!$H12*$J8+'Measured Data'!$H13*$E9)*0.5*($C9-$C8))</f>
        <v>7.2021196879127074E-4</v>
      </c>
      <c r="BA9" s="507">
        <v>5.1606859714009856E-2</v>
      </c>
      <c r="BB9" s="108">
        <f>(U9-U8)*1000/(('Measured Data'!$H12*$J8+'Measured Data'!$H13*$E9)*0.5*($C9-$C8))</f>
        <v>-4.7688341626658231E-3</v>
      </c>
      <c r="BC9" s="108">
        <f>(V9-V8)*1000/(('Measured Data'!$H12*$J8+'Measured Data'!$H13*$E9)*0.5*($C9-$C8))</f>
        <v>-2.5553699030362621E-2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-6.4821909133667949E-2</v>
      </c>
      <c r="BU9" s="109">
        <f t="shared" si="9"/>
        <v>-5.8487956428416407E-2</v>
      </c>
      <c r="BV9" s="109">
        <f t="shared" si="10"/>
        <v>-0.21220771715096998</v>
      </c>
      <c r="BW9" s="109">
        <f t="shared" si="11"/>
        <v>4.3212718127476207E-3</v>
      </c>
      <c r="BX9" s="108">
        <f t="shared" si="4"/>
        <v>0.37901424292562724</v>
      </c>
      <c r="BY9" s="108">
        <f t="shared" si="5"/>
        <v>0</v>
      </c>
      <c r="BZ9" s="108">
        <f t="shared" si="6"/>
        <v>-9.2406982116201394E-2</v>
      </c>
      <c r="CA9" s="108">
        <f t="shared" si="12"/>
        <v>0</v>
      </c>
      <c r="CB9" s="36"/>
    </row>
    <row r="10" spans="1:80">
      <c r="A10" s="94">
        <f>'Measured Data'!$A14</f>
        <v>7</v>
      </c>
      <c r="B10" s="500">
        <f>'Measured Data'!B14</f>
        <v>6.8638888888890506</v>
      </c>
      <c r="C10" s="500">
        <f>'Measured Data'!C14</f>
        <v>164.73333333333721</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18115.331097036687</v>
      </c>
      <c r="M10" s="102">
        <f>M9 + ('Measured Data'!P14*$E10-'Measured Data'!P13*$J9)/1000</f>
        <v>0</v>
      </c>
      <c r="N10" s="102">
        <f>N9+(-'Measured Data'!S13*'In Process Calc.'!$J9+'Measured Data'!S14*'In Process Calc.'!$E10)/1000</f>
        <v>732.5997188888889</v>
      </c>
      <c r="O10" s="102">
        <f>O9-(-'Measured Data'!U13*'In Process Calc.'!$J9+'Measured Data'!U14*'In Process Calc.'!$E10-$F9*'Measured Data'!AS14)/1000</f>
        <v>-5.6530212222222218</v>
      </c>
      <c r="P10" s="102">
        <f>P9-(-'Measured Data'!V13*'In Process Calc.'!$J9+'Measured Data'!V14*'In Process Calc.'!$E10-$F9*'Measured Data'!AT14)/1000</f>
        <v>-2.5387945185185186</v>
      </c>
      <c r="Q10" s="102">
        <f>Q9-(-'Measured Data'!W13*'In Process Calc.'!$J9+'Measured Data'!W14*'In Process Calc.'!$E10-$F9*'Measured Data'!AU14)/1000</f>
        <v>1.069827555555555</v>
      </c>
      <c r="R10" s="102">
        <f>R9-(-'Measured Data'!X13*'In Process Calc.'!$J9+'Measured Data'!X14*'In Process Calc.'!$E10-$F9*'Measured Data'!AV14)/1000</f>
        <v>-2.3466398888888893</v>
      </c>
      <c r="S10" s="102">
        <f>S9-(-'Measured Data'!Y13*'In Process Calc.'!$J9+'Measured Data'!Y14*'In Process Calc.'!$E10-$F9*'Measured Data'!AW14)/1000</f>
        <v>0.7885806296296296</v>
      </c>
      <c r="T10" s="102">
        <v>30.756762103315186</v>
      </c>
      <c r="U10" s="102">
        <f>U9-(-'Measured Data'!AA13*'In Process Calc.'!$J9+'Measured Data'!AA14*'In Process Calc.'!$E10-$G9*'Measured Data'!AY14)/1000</f>
        <v>-4.6580169999999992</v>
      </c>
      <c r="V10" s="102">
        <f>V9-(-'Measured Data'!AB13*'In Process Calc.'!$J9+'Measured Data'!AB14*'In Process Calc.'!$E10-$F9*'Measured Data'!AZ14)/1000</f>
        <v>-26.255684148148145</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24.799363528715215</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-50.009740962962965</v>
      </c>
      <c r="AN10" s="101">
        <f t="shared" si="2"/>
        <v>-55.662762185185187</v>
      </c>
      <c r="AO10" s="101">
        <f t="shared" si="7"/>
        <v>-153.21797474074074</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1.7575577403470554E-2</v>
      </c>
      <c r="AS10" s="108">
        <f t="shared" si="3"/>
        <v>1.780892146977683E-2</v>
      </c>
      <c r="AT10" s="108">
        <f>('Measured Data'!$I14*$E10-'Measured Data'!$I13*$J9)/(('Measured Data'!$H13*$J9+'Measured Data'!$H14*$E10)*0.5*($C10-$C9))</f>
        <v>2.3334406630627494E-4</v>
      </c>
      <c r="AU10" s="108">
        <f>(N10-N9)*1000/(('Measured Data'!$H13*$J9+'Measured Data'!$H14*$E10)*0.5*($C10-$C9))</f>
        <v>1.0027663562522091</v>
      </c>
      <c r="AV10" s="108">
        <f>(O10-O9)*1000/(('Measured Data'!$H13*$J9+'Measured Data'!$H14*$E10)*0.5*($C10-$C9))</f>
        <v>-8.5577326954623389E-3</v>
      </c>
      <c r="AW10" s="108">
        <f>(P10-P9)*1000/(('Measured Data'!$H13*$J9+'Measured Data'!$H14*$E10)*0.5*($C10-$C9))</f>
        <v>-2.2161933671714716E-3</v>
      </c>
      <c r="AX10" s="108">
        <f>(Q10-Q9)*1000/(('Measured Data'!$H13*$J9+'Measured Data'!$H14*$E10)*0.5*($C10-$C9))</f>
        <v>5.2386058388638398E-3</v>
      </c>
      <c r="AY10" s="108">
        <f>(R10-R9)*1000/(('Measured Data'!$H13*$J9+'Measured Data'!$H14*$E10)*0.5*($C10-$C9))</f>
        <v>-4.1692412982975184E-3</v>
      </c>
      <c r="AZ10" s="108">
        <f>(S10-S9)*1000/(('Measured Data'!$H13*$J9+'Measured Data'!$H14*$E10)*0.5*($C10-$C9))</f>
        <v>4.0369803781264139E-4</v>
      </c>
      <c r="BA10" s="507">
        <v>3.9303993792439866E-2</v>
      </c>
      <c r="BB10" s="108">
        <f>(U10-U9)*1000/(('Measured Data'!$H13*$J9+'Measured Data'!$H14*$E10)*0.5*($C10-$C9))</f>
        <v>-4.6279711000439781E-3</v>
      </c>
      <c r="BC10" s="108">
        <f>(V10-V9)*1000/(('Measured Data'!$H13*$J9+'Measured Data'!$H14*$E10)*0.5*($C10-$C9))</f>
        <v>-1.7608919857390336E-2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-3.7575699804383716E-2</v>
      </c>
      <c r="BU10" s="109">
        <f t="shared" si="9"/>
        <v>-2.9017967108921378E-2</v>
      </c>
      <c r="BV10" s="109">
        <f t="shared" si="10"/>
        <v>-0.14345516668744629</v>
      </c>
      <c r="BW10" s="109">
        <f t="shared" si="11"/>
        <v>2.337661158233121E-2</v>
      </c>
      <c r="BX10" s="108">
        <f t="shared" si="4"/>
        <v>0.17191979373422511</v>
      </c>
      <c r="BY10" s="108">
        <f t="shared" si="5"/>
        <v>0</v>
      </c>
      <c r="BZ10" s="108">
        <f t="shared" si="6"/>
        <v>-0.11774811293945832</v>
      </c>
      <c r="CA10" s="108">
        <f t="shared" si="12"/>
        <v>0</v>
      </c>
      <c r="CB10" s="36"/>
    </row>
    <row r="11" spans="1:80">
      <c r="A11" s="94">
        <f>'Measured Data'!$A15</f>
        <v>8</v>
      </c>
      <c r="B11" s="500">
        <f>'Measured Data'!B15</f>
        <v>7.8798611111051287</v>
      </c>
      <c r="C11" s="500">
        <f>'Measured Data'!C15</f>
        <v>189.11666666652309</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23686.574742786324</v>
      </c>
      <c r="M11" s="102">
        <f>M10 + ('Measured Data'!P15*$E11-'Measured Data'!P14*$J10)/1000</f>
        <v>0</v>
      </c>
      <c r="N11" s="102">
        <f>N10+(-'Measured Data'!S14*'In Process Calc.'!$J10+'Measured Data'!S15*'In Process Calc.'!$E11)/1000</f>
        <v>1364.7481370370374</v>
      </c>
      <c r="O11" s="102">
        <f>O10-(-'Measured Data'!U14*'In Process Calc.'!$J10+'Measured Data'!U15*'In Process Calc.'!$E11-$F10*'Measured Data'!AS15)/1000</f>
        <v>-10.351283333333333</v>
      </c>
      <c r="P11" s="102">
        <f>P10-(-'Measured Data'!V14*'In Process Calc.'!$J10+'Measured Data'!V15*'In Process Calc.'!$E11-$F10*'Measured Data'!AT15)/1000</f>
        <v>-2.3388891851851863</v>
      </c>
      <c r="Q11" s="102">
        <f>Q10-(-'Measured Data'!W14*'In Process Calc.'!$J10+'Measured Data'!W15*'In Process Calc.'!$E11-$F10*'Measured Data'!AU15)/1000</f>
        <v>9.6444920370370362</v>
      </c>
      <c r="R11" s="102">
        <f>R10-(-'Measured Data'!X14*'In Process Calc.'!$J10+'Measured Data'!X15*'In Process Calc.'!$E11-$F10*'Measured Data'!AV15)/1000</f>
        <v>-3.9236738148148156</v>
      </c>
      <c r="S11" s="102">
        <f>S10-(-'Measured Data'!Y14*'In Process Calc.'!$J10+'Measured Data'!Y15*'In Process Calc.'!$E11-$F10*'Measured Data'!AW15)/1000</f>
        <v>1.1072614814814814</v>
      </c>
      <c r="T11" s="102">
        <v>44.226152156654031</v>
      </c>
      <c r="U11" s="102">
        <f>U10-(-'Measured Data'!AA14*'In Process Calc.'!$J10+'Measured Data'!AA15*'In Process Calc.'!$E11-$G10*'Measured Data'!AY15)/1000</f>
        <v>-6.6042706666666664</v>
      </c>
      <c r="V11" s="102">
        <f>V10-(-'Measured Data'!AB14*'In Process Calc.'!$J10+'Measured Data'!AB15*'In Process Calc.'!$E11-$F10*'Measured Data'!AZ15)/1000</f>
        <v>-25.159784592592597</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27.923384974672718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-40.49533277777779</v>
      </c>
      <c r="AN11" s="101">
        <f t="shared" si="2"/>
        <v>-50.846616111111125</v>
      </c>
      <c r="AO11" s="101">
        <f t="shared" si="7"/>
        <v>-112.27291962962967</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1.0684540624927246E-2</v>
      </c>
      <c r="AS11" s="108">
        <f t="shared" si="3"/>
        <v>1.0666384684841788E-2</v>
      </c>
      <c r="AT11" s="108">
        <f>('Measured Data'!$I15*$E11-'Measured Data'!$I14*$J10)/(('Measured Data'!$H14*$J10+'Measured Data'!$H15*$E11)*0.5*($C11-$C10))</f>
        <v>-1.8155940085457154E-5</v>
      </c>
      <c r="AU11" s="108">
        <f>(N11-N10)*1000/(('Measured Data'!$H14*$J10+'Measured Data'!$H15*$E11)*0.5*($C11-$C10))</f>
        <v>1.2123353211881611</v>
      </c>
      <c r="AV11" s="108">
        <f>(O11-O10)*1000/(('Measured Data'!$H14*$J10+'Measured Data'!$H15*$E11)*0.5*($C11-$C10))</f>
        <v>-9.0103351396272728E-3</v>
      </c>
      <c r="AW11" s="108">
        <f>(P11-P10)*1000/(('Measured Data'!$H14*$J10+'Measured Data'!$H15*$E11)*0.5*($C11-$C10))</f>
        <v>3.8337879133487732E-4</v>
      </c>
      <c r="AX11" s="108">
        <f>(Q11-Q10)*1000/(('Measured Data'!$H14*$J10+'Measured Data'!$H15*$E11)*0.5*($C11-$C10))</f>
        <v>1.6444506258024582E-2</v>
      </c>
      <c r="AY11" s="108">
        <f>(R11-R10)*1000/(('Measured Data'!$H14*$J10+'Measured Data'!$H15*$E11)*0.5*($C11-$C10))</f>
        <v>-3.0244383695728376E-3</v>
      </c>
      <c r="AZ11" s="108">
        <f>(S11-S10)*1000/(('Measured Data'!$H14*$J10+'Measured Data'!$H15*$E11)*0.5*($C11-$C10))</f>
        <v>6.1116668458670125E-4</v>
      </c>
      <c r="BA11" s="507">
        <v>3.3393142088633906E-2</v>
      </c>
      <c r="BB11" s="108">
        <f>(U11-U10)*1000/(('Measured Data'!$H14*$J10+'Measured Data'!$H15*$E11)*0.5*($C11-$C10))</f>
        <v>-3.7325286220031353E-3</v>
      </c>
      <c r="BC11" s="108">
        <f>(V11-V10)*1000/(('Measured Data'!$H14*$J10+'Measured Data'!$H15*$E11)*0.5*($C11-$C10))</f>
        <v>2.1017180483761514E-3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1.7635581661145143E-2</v>
      </c>
      <c r="BU11" s="109">
        <f t="shared" si="9"/>
        <v>2.6645916800772416E-2</v>
      </c>
      <c r="BV11" s="109">
        <f t="shared" si="10"/>
        <v>2.4462486122319708E-2</v>
      </c>
      <c r="BW11" s="109">
        <f t="shared" si="11"/>
        <v>8.2253888129508554E-2</v>
      </c>
      <c r="BX11" s="108">
        <f t="shared" si="4"/>
        <v>9.8855764291448153E-3</v>
      </c>
      <c r="BY11" s="108">
        <f t="shared" si="5"/>
        <v>0</v>
      </c>
      <c r="BZ11" s="108">
        <f t="shared" si="6"/>
        <v>-0.11177530440519953</v>
      </c>
      <c r="CA11" s="108">
        <f t="shared" si="12"/>
        <v>0</v>
      </c>
      <c r="CB11" s="36"/>
    </row>
    <row r="12" spans="1:80">
      <c r="A12" s="94">
        <f>'Measured Data'!$A16</f>
        <v>9</v>
      </c>
      <c r="B12" s="500">
        <f>'Measured Data'!B16</f>
        <v>8.8777777777722804</v>
      </c>
      <c r="C12" s="500">
        <f>'Measured Data'!C16</f>
        <v>213.06666666653473</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30156.120093410151</v>
      </c>
      <c r="M12" s="102">
        <f>M11 + ('Measured Data'!P16*$E12-'Measured Data'!P15*$J11)/1000</f>
        <v>0</v>
      </c>
      <c r="N12" s="102">
        <f>N11+(-'Measured Data'!S15*'In Process Calc.'!$J11+'Measured Data'!S16*'In Process Calc.'!$E12)/1000</f>
        <v>2236.0992422222225</v>
      </c>
      <c r="O12" s="102">
        <f>O11-(-'Measured Data'!U15*'In Process Calc.'!$J11+'Measured Data'!U16*'In Process Calc.'!$E12-$F11*'Measured Data'!AS16)/1000</f>
        <v>-13.914271000000001</v>
      </c>
      <c r="P12" s="102">
        <f>P11-(-'Measured Data'!V15*'In Process Calc.'!$J11+'Measured Data'!V16*'In Process Calc.'!$E12-$F11*'Measured Data'!AT16)/1000</f>
        <v>-1.2555183055555559</v>
      </c>
      <c r="Q12" s="102">
        <f>Q11-(-'Measured Data'!W15*'In Process Calc.'!$J11+'Measured Data'!W16*'In Process Calc.'!$E12-$F11*'Measured Data'!AU16)/1000</f>
        <v>11.713494277777777</v>
      </c>
      <c r="R12" s="102">
        <f>R11-(-'Measured Data'!X15*'In Process Calc.'!$J11+'Measured Data'!X16*'In Process Calc.'!$E12-$F11*'Measured Data'!AV16)/1000</f>
        <v>-3.2401467222222231</v>
      </c>
      <c r="S12" s="102">
        <f>S11-(-'Measured Data'!Y15*'In Process Calc.'!$J11+'Measured Data'!Y16*'In Process Calc.'!$E12-$F11*'Measured Data'!AW16)/1000</f>
        <v>1.4612817499999999</v>
      </c>
      <c r="T12" s="102">
        <v>58.261340562456823</v>
      </c>
      <c r="U12" s="102">
        <f>U11-(-'Measured Data'!AA15*'In Process Calc.'!$J11+'Measured Data'!AA16*'In Process Calc.'!$E12-$G11*'Measured Data'!AY16)/1000</f>
        <v>-6.1420965833333332</v>
      </c>
      <c r="V12" s="102">
        <f>V11-(-'Measured Data'!AB15*'In Process Calc.'!$J11+'Measured Data'!AB16*'In Process Calc.'!$E12-$F11*'Measured Data'!AZ16)/1000</f>
        <v>-19.101567166666669</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20.008677471876855</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-27.212699222222231</v>
      </c>
      <c r="AN12" s="101">
        <f t="shared" si="2"/>
        <v>-41.126970222222234</v>
      </c>
      <c r="AO12" s="101">
        <f t="shared" si="7"/>
        <v>-49.347534861111129</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9.8568215391944703E-3</v>
      </c>
      <c r="AS12" s="108">
        <f t="shared" si="3"/>
        <v>9.9523010435653321E-3</v>
      </c>
      <c r="AT12" s="108">
        <f>('Measured Data'!$I16*$E12-'Measured Data'!$I15*$J11)/(('Measured Data'!$H15*$J11+'Measured Data'!$H16*$E12)*0.5*($C12-$C11))</f>
        <v>9.547950437086144E-5</v>
      </c>
      <c r="AU12" s="108">
        <f>(N12-N11)*1000/(('Measured Data'!$H15*$J11+'Measured Data'!$H16*$E12)*0.5*($C12-$C11))</f>
        <v>1.3275666026457436</v>
      </c>
      <c r="AV12" s="108">
        <f>(O12-O11)*1000/(('Measured Data'!$H15*$J11+'Measured Data'!$H16*$E12)*0.5*($C12-$C11))</f>
        <v>-5.428470112400996E-3</v>
      </c>
      <c r="AW12" s="108">
        <f>(P12-P11)*1000/(('Measured Data'!$H15*$J11+'Measured Data'!$H16*$E12)*0.5*($C12-$C11))</f>
        <v>1.6505941055409278E-3</v>
      </c>
      <c r="AX12" s="108">
        <f>(Q12-Q11)*1000/(('Measured Data'!$H15*$J11+'Measured Data'!$H16*$E12)*0.5*($C12-$C11))</f>
        <v>3.1522749661548445E-3</v>
      </c>
      <c r="AY12" s="108">
        <f>(R12-R11)*1000/(('Measured Data'!$H15*$J11+'Measured Data'!$H16*$E12)*0.5*($C12-$C11))</f>
        <v>1.0414030977060828E-3</v>
      </c>
      <c r="AZ12" s="108">
        <f>(S12-S11)*1000/(('Measured Data'!$H15*$J11+'Measured Data'!$H16*$E12)*0.5*($C12-$C11))</f>
        <v>5.3937555406552136E-4</v>
      </c>
      <c r="BA12" s="507">
        <v>2.9533231743167482E-2</v>
      </c>
      <c r="BB12" s="108">
        <f>(U12-U11)*1000/(('Measured Data'!$H15*$J11+'Measured Data'!$H16*$E12)*0.5*($C12-$C11))</f>
        <v>7.0415573468670225E-4</v>
      </c>
      <c r="BC12" s="108">
        <f>(V12-V11)*1000/(('Measured Data'!$H15*$J11+'Measured Data'!$H16*$E12)*0.5*($C12-$C11))</f>
        <v>9.2301336147573299E-3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1.9697679977974742E-2</v>
      </c>
      <c r="BU12" s="109">
        <f t="shared" si="9"/>
        <v>2.5126150090375738E-2</v>
      </c>
      <c r="BV12" s="109">
        <f t="shared" si="10"/>
        <v>6.3300566623099574E-2</v>
      </c>
      <c r="BW12" s="109">
        <f t="shared" si="11"/>
        <v>7.9585976960302562E-2</v>
      </c>
      <c r="BX12" s="108">
        <f t="shared" si="4"/>
        <v>-0.32321020427967379</v>
      </c>
      <c r="BY12" s="108">
        <f t="shared" si="5"/>
        <v>0</v>
      </c>
      <c r="BZ12" s="108">
        <f t="shared" si="6"/>
        <v>2.3842826982509585E-2</v>
      </c>
      <c r="CA12" s="108">
        <f t="shared" si="12"/>
        <v>0</v>
      </c>
      <c r="CB12" s="36"/>
    </row>
    <row r="13" spans="1:80" ht="12.75" customHeight="1">
      <c r="A13" s="94">
        <f>'Measured Data'!$A17</f>
        <v>10</v>
      </c>
      <c r="B13" s="500">
        <f>'Measured Data'!B17</f>
        <v>9.9243055555562023</v>
      </c>
      <c r="C13" s="500">
        <f>'Measured Data'!C17</f>
        <v>238.18333333334886</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30724.39130304955</v>
      </c>
      <c r="M13" s="102">
        <f>M12 + ('Measured Data'!P17*$E13-'Measured Data'!P16*$J12)/1000</f>
        <v>0</v>
      </c>
      <c r="N13" s="102">
        <f>N12+(-'Measured Data'!S16*'In Process Calc.'!$J12+'Measured Data'!S17*'In Process Calc.'!$E13)/1000</f>
        <v>3032.3680236111113</v>
      </c>
      <c r="O13" s="102">
        <f>O12-(-'Measured Data'!U16*'In Process Calc.'!$J12+'Measured Data'!U17*'In Process Calc.'!$E13-$F12*'Measured Data'!AS17)/1000</f>
        <v>-13.808660305555556</v>
      </c>
      <c r="P13" s="102">
        <f>P12-(-'Measured Data'!V16*'In Process Calc.'!$J12+'Measured Data'!V17*'In Process Calc.'!$E13-$F12*'Measured Data'!AT17)/1000</f>
        <v>-0.3603012777777781</v>
      </c>
      <c r="Q13" s="102">
        <f>Q12-(-'Measured Data'!W16*'In Process Calc.'!$J12+'Measured Data'!W17*'In Process Calc.'!$E13-$F12*'Measured Data'!AU17)/1000</f>
        <v>11.71487947222222</v>
      </c>
      <c r="R13" s="102">
        <f>R12-(-'Measured Data'!X16*'In Process Calc.'!$J12+'Measured Data'!X17*'In Process Calc.'!$E13-$F12*'Measured Data'!AV17)/1000</f>
        <v>-1.4101418333333335</v>
      </c>
      <c r="S13" s="102">
        <f>S12-(-'Measured Data'!Y16*'In Process Calc.'!$J12+'Measured Data'!Y17*'In Process Calc.'!$E13-$F12*'Measured Data'!AW17)/1000</f>
        <v>1.697571611111111</v>
      </c>
      <c r="T13" s="102">
        <v>71.298677089160918</v>
      </c>
      <c r="U13" s="102">
        <f>U12-(-'Measured Data'!AA16*'In Process Calc.'!$J12+'Measured Data'!AA17*'In Process Calc.'!$E13-$G12*'Measured Data'!AY17)/1000</f>
        <v>-6.2068681111111106</v>
      </c>
      <c r="V13" s="102">
        <f>V12-(-'Measured Data'!AB16*'In Process Calc.'!$J12+'Measured Data'!AB17*'In Process Calc.'!$E13-$F12*'Measured Data'!AZ17)/1000</f>
        <v>-11.40858866666667</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14.411504588513914</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-13.65742997222223</v>
      </c>
      <c r="AN13" s="101">
        <f t="shared" si="2"/>
        <v>-27.466090277777788</v>
      </c>
      <c r="AO13" s="101">
        <f t="shared" si="7"/>
        <v>2.5912695833333075</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7.3164078553509876E-4</v>
      </c>
      <c r="AS13" s="108">
        <f t="shared" si="3"/>
        <v>1.1820970615234066E-3</v>
      </c>
      <c r="AT13" s="108">
        <f>('Measured Data'!$I17*$E13-'Measured Data'!$I16*$J12)/(('Measured Data'!$H16*$J12+'Measured Data'!$H17*$E13)*0.5*($C13-$C12))</f>
        <v>4.5045627598830785E-4</v>
      </c>
      <c r="AU13" s="108">
        <f>(N13-N12)*1000/(('Measured Data'!$H16*$J12+'Measured Data'!$H17*$E13)*0.5*($C13-$C12))</f>
        <v>1.0251842902302319</v>
      </c>
      <c r="AV13" s="108">
        <f>(O13-O12)*1000/(('Measured Data'!$H16*$J12+'Measured Data'!$H17*$E13)*0.5*($C13-$C12))</f>
        <v>1.3597220857497448E-4</v>
      </c>
      <c r="AW13" s="108">
        <f>(P13-P12)*1000/(('Measured Data'!$H16*$J12+'Measured Data'!$H17*$E13)*0.5*($C13-$C12))</f>
        <v>1.1525786953791848E-3</v>
      </c>
      <c r="AX13" s="108">
        <f>(Q13-Q12)*1000/(('Measured Data'!$H16*$J12+'Measured Data'!$H17*$E13)*0.5*($C13-$C12))</f>
        <v>1.7834173793437334E-6</v>
      </c>
      <c r="AY13" s="108">
        <f>(R13-R12)*1000/(('Measured Data'!$H16*$J12+'Measured Data'!$H17*$E13)*0.5*($C13-$C12))</f>
        <v>2.3561042539694244E-3</v>
      </c>
      <c r="AZ13" s="108">
        <f>(S13-S12)*1000/(('Measured Data'!$H16*$J12+'Measured Data'!$H17*$E13)*0.5*($C13-$C12))</f>
        <v>3.0421970471989008E-4</v>
      </c>
      <c r="BA13" s="507">
        <v>2.4144522984423475E-2</v>
      </c>
      <c r="BB13" s="108">
        <f>(U13-U12)*1000/(('Measured Data'!$H16*$J12+'Measured Data'!$H17*$E13)*0.5*($C13-$C12))</f>
        <v>-8.3392384938369324E-5</v>
      </c>
      <c r="BC13" s="108">
        <f>(V13-V12)*1000/(('Measured Data'!$H16*$J12+'Measured Data'!$H17*$E13)*0.5*($C13-$C12))</f>
        <v>9.9045961459427682E-3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1.7147989159605748E-2</v>
      </c>
      <c r="BU13" s="109">
        <f t="shared" si="9"/>
        <v>1.7012016951030773E-2</v>
      </c>
      <c r="BV13" s="109">
        <f t="shared" si="10"/>
        <v>6.7686276516736435E-2</v>
      </c>
      <c r="BW13" s="109">
        <f t="shared" si="11"/>
        <v>6.8103238441428279E-2</v>
      </c>
      <c r="BX13" s="108">
        <f t="shared" si="4"/>
        <v>-0.43541411841224298</v>
      </c>
      <c r="BY13" s="108">
        <f t="shared" si="5"/>
        <v>0</v>
      </c>
      <c r="BZ13" s="108">
        <f t="shared" si="6"/>
        <v>-3.4538841372914611E-3</v>
      </c>
      <c r="CA13" s="108">
        <f t="shared" si="12"/>
        <v>0</v>
      </c>
      <c r="CB13" s="36"/>
    </row>
    <row r="14" spans="1:80">
      <c r="A14" s="94">
        <f>'Measured Data'!$A18</f>
        <v>11</v>
      </c>
      <c r="B14" s="500">
        <f>'Measured Data'!B18</f>
        <v>10.909722222218988</v>
      </c>
      <c r="C14" s="500">
        <f>'Measured Data'!C18</f>
        <v>261.83333333325572</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29519.628891693115</v>
      </c>
      <c r="M14" s="102">
        <f>M13 + ('Measured Data'!P18*$E14-'Measured Data'!P17*$J13)/1000</f>
        <v>0</v>
      </c>
      <c r="N14" s="102">
        <f>N13+(-'Measured Data'!S17*'In Process Calc.'!$J13+'Measured Data'!S18*'In Process Calc.'!$E14)/1000</f>
        <v>3859.0252555555558</v>
      </c>
      <c r="O14" s="102">
        <f>O13-(-'Measured Data'!U17*'In Process Calc.'!$J13+'Measured Data'!U18*'In Process Calc.'!$E14-$F13*'Measured Data'!AS18)/1000</f>
        <v>-11.882762500000002</v>
      </c>
      <c r="P14" s="102">
        <f>P13-(-'Measured Data'!V17*'In Process Calc.'!$J13+'Measured Data'!V18*'In Process Calc.'!$E14-$F13*'Measured Data'!AT18)/1000</f>
        <v>0.32313805555555519</v>
      </c>
      <c r="Q14" s="102">
        <f>Q13-(-'Measured Data'!W17*'In Process Calc.'!$J13+'Measured Data'!W18*'In Process Calc.'!$E14-$F13*'Measured Data'!AU18)/1000</f>
        <v>11.698777222222221</v>
      </c>
      <c r="R14" s="102">
        <f>R13-(-'Measured Data'!X17*'In Process Calc.'!$J13+'Measured Data'!X18*'In Process Calc.'!$E14-$F13*'Measured Data'!AV18)/1000</f>
        <v>-0.79624166666666718</v>
      </c>
      <c r="S14" s="102">
        <f>S13-(-'Measured Data'!Y17*'In Process Calc.'!$J13+'Measured Data'!Y18*'In Process Calc.'!$E14-$F13*'Measured Data'!AW18)/1000</f>
        <v>1.8027272222222221</v>
      </c>
      <c r="T14" s="102">
        <v>86.449325988235898</v>
      </c>
      <c r="U14" s="102">
        <f>U13-(-'Measured Data'!AA17*'In Process Calc.'!$J13+'Measured Data'!AA18*'In Process Calc.'!$E14-$G13*'Measured Data'!AY18)/1000</f>
        <v>-5.0236336111111113</v>
      </c>
      <c r="V14" s="102">
        <f>V13-(-'Measured Data'!AB17*'In Process Calc.'!$J13+'Measured Data'!AB18*'In Process Calc.'!$E14-$F13*'Measured Data'!AZ18)/1000</f>
        <v>-6.6414622222222262</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8.15571343990527</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-1.0721725000000122</v>
      </c>
      <c r="AN14" s="101">
        <f t="shared" si="2"/>
        <v>-12.954935000000013</v>
      </c>
      <c r="AO14" s="101">
        <f t="shared" si="7"/>
        <v>33.68814222222219</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-1.6644359759038821E-3</v>
      </c>
      <c r="AS14" s="108">
        <f t="shared" si="3"/>
        <v>-1.4694570152564994E-3</v>
      </c>
      <c r="AT14" s="108">
        <f>('Measured Data'!$I18*$E14-'Measured Data'!$I17*$J13)/(('Measured Data'!$H17*$J13+'Measured Data'!$H18*$E14)*0.5*($C14-$C13))</f>
        <v>1.9497896064738282E-4</v>
      </c>
      <c r="AU14" s="108">
        <f>(N14-N13)*1000/(('Measured Data'!$H17*$J13+'Measured Data'!$H18*$E14)*0.5*($C14-$C13))</f>
        <v>1.1420658742501071</v>
      </c>
      <c r="AV14" s="108">
        <f>(O14-O13)*1000/(('Measured Data'!$H17*$J13+'Measured Data'!$H18*$E14)*0.5*($C14-$C13))</f>
        <v>2.6607184647070067E-3</v>
      </c>
      <c r="AW14" s="108">
        <f>(P14-P13)*1000/(('Measured Data'!$H17*$J13+'Measured Data'!$H18*$E14)*0.5*($C14-$C13))</f>
        <v>9.4420360647458693E-4</v>
      </c>
      <c r="AX14" s="108">
        <f>(Q14-Q13)*1000/(('Measured Data'!$H17*$J13+'Measured Data'!$H18*$E14)*0.5*($C14-$C13))</f>
        <v>-2.2246016260436011E-5</v>
      </c>
      <c r="AY14" s="108">
        <f>(R14-R13)*1000/(('Measured Data'!$H17*$J13+'Measured Data'!$H18*$E14)*0.5*($C14-$C13))</f>
        <v>8.4813197472101854E-4</v>
      </c>
      <c r="AZ14" s="108">
        <f>(S14-S13)*1000/(('Measured Data'!$H17*$J13+'Measured Data'!$H18*$E14)*0.5*($C14-$C13))</f>
        <v>1.4527742611460806E-4</v>
      </c>
      <c r="BA14" s="507">
        <v>3.1093867846328657E-2</v>
      </c>
      <c r="BB14" s="108">
        <f>(U14-U13)*1000/(('Measured Data'!$H17*$J13+'Measured Data'!$H18*$E14)*0.5*($C14-$C13))</f>
        <v>1.6346941531096457E-3</v>
      </c>
      <c r="BC14" s="108">
        <f>(V14-V13)*1000/(('Measured Data'!$H17*$J13+'Measured Data'!$H18*$E14)*0.5*($C14-$C13))</f>
        <v>6.5860095575878755E-3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1.7241848122727277E-2</v>
      </c>
      <c r="BU14" s="109">
        <f t="shared" si="9"/>
        <v>1.458112965802027E-2</v>
      </c>
      <c r="BV14" s="109">
        <f t="shared" si="10"/>
        <v>5.8926103976986124E-2</v>
      </c>
      <c r="BW14" s="109">
        <f t="shared" si="11"/>
        <v>5.9015088042027875E-2</v>
      </c>
      <c r="BX14" s="108">
        <f t="shared" si="4"/>
        <v>-1.6613194600599179E-2</v>
      </c>
      <c r="BY14" s="108">
        <f t="shared" si="5"/>
        <v>0</v>
      </c>
      <c r="BZ14" s="108">
        <f t="shared" si="6"/>
        <v>5.2572879038033822E-2</v>
      </c>
      <c r="CA14" s="108">
        <f t="shared" si="12"/>
        <v>0</v>
      </c>
      <c r="CB14" s="36"/>
    </row>
    <row r="15" spans="1:80">
      <c r="A15" s="94">
        <f>'Measured Data'!$A19</f>
        <v>12</v>
      </c>
      <c r="B15" s="500">
        <f>'Measured Data'!B19</f>
        <v>11.868055555554747</v>
      </c>
      <c r="C15" s="500">
        <f>'Measured Data'!C19</f>
        <v>284.83333333331393</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28682.695062487117</v>
      </c>
      <c r="M15" s="102">
        <f>M14 + ('Measured Data'!P19*$E15-'Measured Data'!P18*$J14)/1000</f>
        <v>0</v>
      </c>
      <c r="N15" s="102">
        <f>N14+(-'Measured Data'!S18*'In Process Calc.'!$J14+'Measured Data'!S19*'In Process Calc.'!$E15)/1000</f>
        <v>4593.6981444444446</v>
      </c>
      <c r="O15" s="102">
        <f>O14-(-'Measured Data'!U18*'In Process Calc.'!$J14+'Measured Data'!U19*'In Process Calc.'!$E15-$F14*'Measured Data'!AS19)/1000</f>
        <v>-8.4987777777777787</v>
      </c>
      <c r="P15" s="102">
        <f>P14-(-'Measured Data'!V18*'In Process Calc.'!$J14+'Measured Data'!V19*'In Process Calc.'!$E15-$F14*'Measured Data'!AT19)/1000</f>
        <v>0.97741822222222163</v>
      </c>
      <c r="Q15" s="102">
        <f>Q14-(-'Measured Data'!W18*'In Process Calc.'!$J14+'Measured Data'!W19*'In Process Calc.'!$E15-$F14*'Measured Data'!AU19)/1000</f>
        <v>11.703634111111109</v>
      </c>
      <c r="R15" s="102">
        <f>R14-(-'Measured Data'!X18*'In Process Calc.'!$J14+'Measured Data'!X19*'In Process Calc.'!$E15-$F14*'Measured Data'!AV19)/1000</f>
        <v>0.19239566666666641</v>
      </c>
      <c r="S15" s="102">
        <f>S14-(-'Measured Data'!Y18*'In Process Calc.'!$J14+'Measured Data'!Y19*'In Process Calc.'!$E15-$F14*'Measured Data'!AW19)/1000</f>
        <v>1.7830759999999999</v>
      </c>
      <c r="T15" s="102">
        <v>103.05467116437173</v>
      </c>
      <c r="U15" s="102">
        <f>U14-(-'Measured Data'!AA18*'In Process Calc.'!$J14+'Measured Data'!AA19*'In Process Calc.'!$E15-$G14*'Measured Data'!AY19)/1000</f>
        <v>-4.6163913333333335</v>
      </c>
      <c r="V15" s="102">
        <f>V14-(-'Measured Data'!AB18*'In Process Calc.'!$J14+'Measured Data'!AB19*'In Process Calc.'!$E15-$F14*'Measured Data'!AZ19)/1000</f>
        <v>-2.0623628888888934</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4.3035820011841333</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11.281565444444428</v>
      </c>
      <c r="AN15" s="101">
        <f t="shared" si="2"/>
        <v>2.7827876666666498</v>
      </c>
      <c r="AO15" s="101">
        <f t="shared" si="7"/>
        <v>56.249646666666621</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-1.2299657130928365E-3</v>
      </c>
      <c r="AS15" s="108">
        <f t="shared" si="3"/>
        <v>-5.4292197513925301E-4</v>
      </c>
      <c r="AT15" s="108">
        <f>('Measured Data'!$I19*$E15-'Measured Data'!$I18*$J14)/(('Measured Data'!$H18*$J14+'Measured Data'!$H19*$E15)*0.5*($C15-$C14))</f>
        <v>6.8704373795358347E-4</v>
      </c>
      <c r="AU15" s="108">
        <f>(N15-N14)*1000/(('Measured Data'!$H18*$J14+'Measured Data'!$H19*$E15)*0.5*($C15-$C14))</f>
        <v>1.0796820873275796</v>
      </c>
      <c r="AV15" s="108">
        <f>(O15-O14)*1000/(('Measured Data'!$H18*$J14+'Measured Data'!$H19*$E15)*0.5*($C15-$C14))</f>
        <v>4.9731353145469085E-3</v>
      </c>
      <c r="AW15" s="108">
        <f>(P15-P14)*1000/(('Measured Data'!$H18*$J14+'Measured Data'!$H19*$E15)*0.5*($C15-$C14))</f>
        <v>9.615361975750552E-4</v>
      </c>
      <c r="AX15" s="108">
        <f>(Q15-Q14)*1000/(('Measured Data'!$H18*$J14+'Measured Data'!$H19*$E15)*0.5*($C15-$C14))</f>
        <v>7.1377289304952576E-6</v>
      </c>
      <c r="AY15" s="108">
        <f>(R15-R14)*1000/(('Measured Data'!$H18*$J14+'Measured Data'!$H19*$E15)*0.5*($C15-$C14))</f>
        <v>1.4529105889257068E-3</v>
      </c>
      <c r="AZ15" s="108">
        <f>(S15-S14)*1000/(('Measured Data'!$H18*$J14+'Measured Data'!$H19*$E15)*0.5*($C15-$C14))</f>
        <v>-2.8879618328526485E-5</v>
      </c>
      <c r="BA15" s="507">
        <v>3.4066597514338048E-2</v>
      </c>
      <c r="BB15" s="108">
        <f>(U15-U14)*1000/(('Measured Data'!$H18*$J14+'Measured Data'!$H19*$E15)*0.5*($C15-$C14))</f>
        <v>5.9848702622487511E-4</v>
      </c>
      <c r="BC15" s="108">
        <f>(V15-V14)*1000/(('Measured Data'!$H18*$J14+'Measured Data'!$H19*$E15)*0.5*($C15-$C14))</f>
        <v>6.7294868247702311E-3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1.8184047410525282E-2</v>
      </c>
      <c r="BU15" s="109">
        <f t="shared" si="9"/>
        <v>1.3210912095978373E-2</v>
      </c>
      <c r="BV15" s="109">
        <f t="shared" si="10"/>
        <v>6.2995407945520235E-2</v>
      </c>
      <c r="BW15" s="109">
        <f t="shared" si="11"/>
        <v>6.3168685655491399E-2</v>
      </c>
      <c r="BX15" s="108">
        <f t="shared" si="4"/>
        <v>1.3567811579680563E-2</v>
      </c>
      <c r="BY15" s="108">
        <f t="shared" si="5"/>
        <v>0</v>
      </c>
      <c r="BZ15" s="108">
        <f t="shared" si="6"/>
        <v>1.7568147977589547E-2</v>
      </c>
      <c r="CA15" s="108">
        <f t="shared" si="12"/>
        <v>0</v>
      </c>
      <c r="CB15" s="36"/>
    </row>
    <row r="16" spans="1:80">
      <c r="A16" s="94">
        <f>'Measured Data'!$A20</f>
        <v>13</v>
      </c>
      <c r="B16" s="500">
        <f>'Measured Data'!B20</f>
        <v>12.861111111109494</v>
      </c>
      <c r="C16" s="500">
        <f>'Measured Data'!C20</f>
        <v>308.66666666662786</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27428.22468223131</v>
      </c>
      <c r="M16" s="102">
        <f>M15 + ('Measured Data'!P20*$E16-'Measured Data'!P19*$J15)/1000</f>
        <v>0</v>
      </c>
      <c r="N16" s="102">
        <f>N15+(-'Measured Data'!S19*'In Process Calc.'!$J15+'Measured Data'!S20*'In Process Calc.'!$E16)/1000</f>
        <v>5216.8884716666671</v>
      </c>
      <c r="O16" s="102">
        <f>O15-(-'Measured Data'!U19*'In Process Calc.'!$J15+'Measured Data'!U20*'In Process Calc.'!$E16-$F15*'Measured Data'!AS20)/1000</f>
        <v>-5.0843223888888902</v>
      </c>
      <c r="P16" s="102">
        <f>P15-(-'Measured Data'!V19*'In Process Calc.'!$J15+'Measured Data'!V20*'In Process Calc.'!$E16-$F15*'Measured Data'!AT20)/1000</f>
        <v>1.4317899444444442</v>
      </c>
      <c r="Q16" s="102">
        <f>Q15-(-'Measured Data'!W19*'In Process Calc.'!$J15+'Measured Data'!W20*'In Process Calc.'!$E16-$F15*'Measured Data'!AU20)/1000</f>
        <v>11.689605833333331</v>
      </c>
      <c r="R16" s="102">
        <f>R15-(-'Measured Data'!X19*'In Process Calc.'!$J15+'Measured Data'!X20*'In Process Calc.'!$E16-$F15*'Measured Data'!AV20)/1000</f>
        <v>0.68544588888888858</v>
      </c>
      <c r="S16" s="102">
        <f>S15-(-'Measured Data'!Y19*'In Process Calc.'!$J15+'Measured Data'!Y20*'In Process Calc.'!$E16-$F15*'Measured Data'!AW20)/1000</f>
        <v>1.6178337222222221</v>
      </c>
      <c r="T16" s="102">
        <v>118.69643760746584</v>
      </c>
      <c r="U16" s="102">
        <f>U15-(-'Measured Data'!AA19*'In Process Calc.'!$J15+'Measured Data'!AA20*'In Process Calc.'!$E16-$G15*'Measured Data'!AY20)/1000</f>
        <v>-4.2608473333333334</v>
      </c>
      <c r="V16" s="102">
        <f>V15-(-'Measured Data'!AB19*'In Process Calc.'!$J15+'Measured Data'!AB20*'In Process Calc.'!$E16-$F15*'Measured Data'!AZ20)/1000</f>
        <v>0.34836561111110731</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2.0831914841128882</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19.769833333333324</v>
      </c>
      <c r="AN16" s="101">
        <f t="shared" si="2"/>
        <v>14.685510944444435</v>
      </c>
      <c r="AO16" s="101">
        <f t="shared" ref="AO16:AO17" si="16">(-$O16*3+$P16*6+$Q16*4+$R16*4+S16*6+$U16*5+$V16*5+$W16*2+$X16*6+$Y16*6+$AA16*6+$AB16*6+$AC16*5+$AE16*9+AF16*5+$AG16*3+$AH16*4+AI16*11+$AJ16*9+$AK16*5)</f>
        <v>63.488507444444416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-1.8443089730005103E-3</v>
      </c>
      <c r="AS16" s="108">
        <f t="shared" si="3"/>
        <v>-5.6704530371216953E-4</v>
      </c>
      <c r="AT16" s="108">
        <f>('Measured Data'!$I20*$E16-'Measured Data'!$I19*$J15)/(('Measured Data'!$H19*$J15+'Measured Data'!$H20*$E16)*0.5*($C16-$C15))</f>
        <v>1.2772636692883407E-3</v>
      </c>
      <c r="AU16" s="108">
        <f>(N16-N15)*1000/(('Measured Data'!$H19*$J15+'Measured Data'!$H20*$E16)*0.5*($C16-$C15))</f>
        <v>0.91620777219841332</v>
      </c>
      <c r="AV16" s="108">
        <f>(O16-O15)*1000/(('Measured Data'!$H19*$J15+'Measured Data'!$H20*$E16)*0.5*($C16-$C15))</f>
        <v>5.01989589451574E-3</v>
      </c>
      <c r="AW16" s="108">
        <f>(P16-P15)*1000/(('Measured Data'!$H19*$J15+'Measured Data'!$H20*$E16)*0.5*($C16-$C15))</f>
        <v>6.6801245972922707E-4</v>
      </c>
      <c r="AX16" s="108">
        <f>(Q16-Q15)*1000/(('Measured Data'!$H19*$J15+'Measured Data'!$H20*$E16)*0.5*($C16-$C15))</f>
        <v>-2.0624224364725659E-5</v>
      </c>
      <c r="AY16" s="108">
        <f>(R16-R15)*1000/(('Measured Data'!$H19*$J15+'Measured Data'!$H20*$E16)*0.5*($C16-$C15))</f>
        <v>7.2487717788833825E-4</v>
      </c>
      <c r="AZ16" s="108">
        <f>(S16-S15)*1000/(('Measured Data'!$H19*$J15+'Measured Data'!$H20*$E16)*0.5*($C16-$C15))</f>
        <v>-2.4293743433181206E-4</v>
      </c>
      <c r="BA16" s="507">
        <v>3.6613476096878504E-2</v>
      </c>
      <c r="BB16" s="108">
        <f>(U16-U15)*1000/(('Measured Data'!$H19*$J15+'Measured Data'!$H20*$E16)*0.5*($C16-$C15))</f>
        <v>5.2271699660439894E-4</v>
      </c>
      <c r="BC16" s="108">
        <f>(V16-V15)*1000/(('Measured Data'!$H19*$J15+'Measured Data'!$H20*$E16)*0.5*($C16-$C15))</f>
        <v>3.544227328118679E-3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1.2722298349587199E-2</v>
      </c>
      <c r="BU16" s="109">
        <f t="shared" si="9"/>
        <v>7.7024024550714594E-3</v>
      </c>
      <c r="BV16" s="109">
        <f t="shared" si="10"/>
        <v>4.0761871273641552E-2</v>
      </c>
      <c r="BW16" s="109">
        <f t="shared" si="11"/>
        <v>4.2301992777091332E-2</v>
      </c>
      <c r="BX16" s="108">
        <f t="shared" si="4"/>
        <v>-6.2450093323851992E-2</v>
      </c>
      <c r="BY16" s="108">
        <f t="shared" si="5"/>
        <v>0</v>
      </c>
      <c r="BZ16" s="108">
        <f t="shared" si="6"/>
        <v>1.4276628507528226E-2</v>
      </c>
      <c r="CA16" s="108">
        <f t="shared" si="12"/>
        <v>0</v>
      </c>
      <c r="CB16" s="36"/>
    </row>
    <row r="17" spans="1:80">
      <c r="A17" s="94">
        <f>'Measured Data'!$A21</f>
        <v>14</v>
      </c>
      <c r="B17" s="500">
        <f>'Measured Data'!B21</f>
        <v>13.875694444439432</v>
      </c>
      <c r="C17" s="500">
        <f>'Measured Data'!C21</f>
        <v>333.01666666654637</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22710.853350833804</v>
      </c>
      <c r="M17" s="102">
        <f>M16 + ('Measured Data'!P21*$E17-'Measured Data'!P20*$J16)/1000</f>
        <v>0</v>
      </c>
      <c r="N17" s="102">
        <f>N16+(-'Measured Data'!S20*'In Process Calc.'!$J16+'Measured Data'!S21*'In Process Calc.'!$E17)/1000</f>
        <v>5492.0639488888901</v>
      </c>
      <c r="O17" s="102">
        <f>O16-(-'Measured Data'!U20*'In Process Calc.'!$J16+'Measured Data'!U21*'In Process Calc.'!$E17-$F16*'Measured Data'!AS21)/1000</f>
        <v>-3.9673431111111119</v>
      </c>
      <c r="P17" s="102">
        <f>P16-(-'Measured Data'!V20*'In Process Calc.'!$J16+'Measured Data'!V21*'In Process Calc.'!$E17-$F16*'Measured Data'!AT21)/1000</f>
        <v>1.5480791111111107</v>
      </c>
      <c r="Q17" s="102">
        <f>Q16-(-'Measured Data'!W20*'In Process Calc.'!$J16+'Measured Data'!W21*'In Process Calc.'!$E17-$F16*'Measured Data'!AU21)/1000</f>
        <v>11.678966999999998</v>
      </c>
      <c r="R17" s="102">
        <f>R16-(-'Measured Data'!X20*'In Process Calc.'!$J16+'Measured Data'!X21*'In Process Calc.'!$E17-$F16*'Measured Data'!AV21)/1000</f>
        <v>-0.70658900000000036</v>
      </c>
      <c r="S17" s="102">
        <f>S16-(-'Measured Data'!Y20*'In Process Calc.'!$J16+'Measured Data'!Y21*'In Process Calc.'!$E17-$F16*'Measured Data'!AW21)/1000</f>
        <v>1.3176104444444443</v>
      </c>
      <c r="T17" s="102">
        <v>131.72909914153692</v>
      </c>
      <c r="U17" s="102">
        <f>U16-(-'Measured Data'!AA20*'In Process Calc.'!$J16+'Measured Data'!AA21*'In Process Calc.'!$E17-$G16*'Measured Data'!AY21)/1000</f>
        <v>-3.054977111111111</v>
      </c>
      <c r="V17" s="102">
        <f>V16-(-'Measured Data'!AB20*'In Process Calc.'!$J16+'Measured Data'!AB21*'In Process Calc.'!$E17-$F16*'Measured Data'!AZ21)/1000</f>
        <v>-0.11845444444444814</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4.8764801657785686</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21.283130555555545</v>
      </c>
      <c r="AN17" s="101">
        <f t="shared" si="2"/>
        <v>17.315787444444432</v>
      </c>
      <c r="AO17" s="101">
        <f t="shared" si="16"/>
        <v>57.11852088888886</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-7.5814851883928931E-3</v>
      </c>
      <c r="AS17" s="108">
        <f t="shared" si="3"/>
        <v>-2.7051876261762276E-3</v>
      </c>
      <c r="AT17" s="108">
        <f>('Measured Data'!$I21*$E17-'Measured Data'!$I20*$J16)/(('Measured Data'!$H20*$J16+'Measured Data'!$H21*$E17)*0.5*($C17-$C16))</f>
        <v>4.8762975622166655E-3</v>
      </c>
      <c r="AU17" s="108">
        <f>(N17-N16)*1000/(('Measured Data'!$H20*$J16+'Measured Data'!$H21*$E17)*0.5*($C17-$C16))</f>
        <v>0.44224604302057091</v>
      </c>
      <c r="AV17" s="108">
        <f>(O17-O16)*1000/(('Measured Data'!$H20*$J16+'Measured Data'!$H21*$E17)*0.5*($C17-$C16))</f>
        <v>1.7951442138656681E-3</v>
      </c>
      <c r="AW17" s="108">
        <f>(P17-P16)*1000/(('Measured Data'!$H20*$J16+'Measured Data'!$H21*$E17)*0.5*($C17-$C16))</f>
        <v>1.8689319383994744E-4</v>
      </c>
      <c r="AX17" s="108">
        <f>(Q17-Q16)*1000/(('Measured Data'!$H20*$J16+'Measured Data'!$H21*$E17)*0.5*($C17-$C16))</f>
        <v>-1.7098114961102962E-5</v>
      </c>
      <c r="AY17" s="108">
        <f>(R17-R16)*1000/(('Measured Data'!$H20*$J16+'Measured Data'!$H21*$E17)*0.5*($C17-$C16))</f>
        <v>-2.2371976150350583E-3</v>
      </c>
      <c r="AZ17" s="108">
        <f>(S17-S16)*1000/(('Measured Data'!$H20*$J16+'Measured Data'!$H21*$E17)*0.5*($C17-$C16))</f>
        <v>-4.8250141313524474E-4</v>
      </c>
      <c r="BA17" s="507">
        <v>3.9810151286534236E-2</v>
      </c>
      <c r="BB17" s="108">
        <f>(U17-U16)*1000/(('Measured Data'!$H20*$J16+'Measured Data'!$H21*$E17)*0.5*($C17-$C16))</f>
        <v>1.9380045764159617E-3</v>
      </c>
      <c r="BC17" s="108">
        <f>(V17-V16)*1000/(('Measured Data'!$H20*$J16+'Measured Data'!$H21*$E17)*0.5*($C17-$C16))</f>
        <v>-7.5024607736163043E-4</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2.9145848066032421E-3</v>
      </c>
      <c r="BU17" s="109">
        <f t="shared" si="9"/>
        <v>1.1194405927375741E-3</v>
      </c>
      <c r="BV17" s="109">
        <f t="shared" si="10"/>
        <v>5.3339290111223099E-4</v>
      </c>
      <c r="BW17" s="109">
        <f t="shared" si="11"/>
        <v>1.6196814686716497E-2</v>
      </c>
      <c r="BX17" s="108">
        <f t="shared" si="4"/>
        <v>0.13952379489100789</v>
      </c>
      <c r="BY17" s="108">
        <f t="shared" si="5"/>
        <v>0</v>
      </c>
      <c r="BZ17" s="108">
        <f t="shared" si="6"/>
        <v>4.8681165827960338E-2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2.2222222221898846E-2</v>
      </c>
      <c r="B2" s="95">
        <f>'In Process Calc.'!C3</f>
        <v>0.53333333332557231</v>
      </c>
      <c r="C2" s="290">
        <f>'Measured Data'!H7</f>
        <v>0.25</v>
      </c>
      <c r="D2" s="252">
        <f>E2-C2</f>
        <v>4.582484725050906E-3</v>
      </c>
      <c r="E2" s="252">
        <f>C2/F2*100</f>
        <v>0.25458248472505091</v>
      </c>
      <c r="F2" s="290">
        <f>'Measured Data'!K7</f>
        <v>98.2</v>
      </c>
      <c r="G2">
        <f>$H$24/(1+$I$24*EXP(-$J$24*B2))</f>
        <v>0.33554206266173126</v>
      </c>
      <c r="H2" s="296">
        <f>G2-C2</f>
        <v>8.5542062661731255E-2</v>
      </c>
      <c r="I2" s="296">
        <f>H2^2</f>
        <v>7.3174444844235562E-3</v>
      </c>
      <c r="J2">
        <v>0</v>
      </c>
      <c r="K2">
        <f>$H$24*$I$24*$J$24*(1+$I$24*EXP(-$J$24*B2))^-2*EXP(-$J$24*B2)</f>
        <v>9.54929843571088E-3</v>
      </c>
      <c r="L2">
        <f>'In Process Calc.'!AS3</f>
        <v>0</v>
      </c>
      <c r="M2">
        <f>$N$24*$M$24/($M$24+($N$24-$M$24)*EXP(-$O$24*B2))</f>
        <v>0.2535504746259114</v>
      </c>
      <c r="N2" s="296">
        <f>M2-E2</f>
        <v>-1.032010099139502E-3</v>
      </c>
      <c r="O2" s="292">
        <f>N2^2</f>
        <v>1.0650448447259248E-6</v>
      </c>
      <c r="P2">
        <f>($N$24-$M$24)*$O$24*EXP(-$O$24*B2)/($M$24+($N$24-$M$24)*EXP(-$O$24*B2))</f>
        <v>2.6438696334164732E-2</v>
      </c>
      <c r="Q2">
        <f>P2*'Post Process Calc.'!A4*1000</f>
        <v>10.800207429813776</v>
      </c>
      <c r="R2" s="477">
        <f>AVERAGE(A2:A3)</f>
        <v>0.45277777777664596</v>
      </c>
      <c r="S2" s="477">
        <f>AVERAGE(B2:B3)</f>
        <v>10.866666666639503</v>
      </c>
      <c r="T2">
        <f>($N$24-$M$24)*$O$24*EXP(-$O$24*S2)/($M$24+($N$24-$M$24)*EXP(-$O$24*S2))</f>
        <v>2.6324954855426057E-2</v>
      </c>
    </row>
    <row r="3" spans="1:20">
      <c r="A3" s="95">
        <f>'In Process Calc.'!B4</f>
        <v>0.88333333333139308</v>
      </c>
      <c r="B3" s="95">
        <f>'In Process Calc.'!C4</f>
        <v>21.199999999953434</v>
      </c>
      <c r="C3" s="290">
        <f>'Measured Data'!H8</f>
        <v>0.40849999914169305</v>
      </c>
      <c r="D3" s="252">
        <f t="shared" ref="D3:D13" si="0">E3-C3</f>
        <v>3.0715574719535899E-3</v>
      </c>
      <c r="E3" s="252">
        <f t="shared" ref="E3:E13" si="1">C3/F3*100</f>
        <v>0.41157155661364664</v>
      </c>
      <c r="F3" s="290">
        <f>'Measured Data'!K8</f>
        <v>99.253700256347656</v>
      </c>
      <c r="G3">
        <f t="shared" ref="G3:G13" si="2">$H$24/(1+$I$24*EXP(-$J$24*B3))</f>
        <v>0.59219366704251486</v>
      </c>
      <c r="H3" s="296">
        <f t="shared" ref="H3:H13" si="3">G3-C3</f>
        <v>0.18369366790082181</v>
      </c>
      <c r="I3" s="296">
        <f t="shared" ref="I3:I13" si="4">H3^2</f>
        <v>3.3743363626857412E-2</v>
      </c>
      <c r="J3">
        <v>1</v>
      </c>
      <c r="K3">
        <f t="shared" ref="K3:K13" si="5">$H$24*$I$24*$J$24*(1+$I$24*EXP(-$J$24*B3))^-2*EXP(-$J$24*B3)</f>
        <v>1.560117846333226E-2</v>
      </c>
      <c r="L3">
        <f>'In Process Calc.'!AS4</f>
        <v>2.2711701410286961E-2</v>
      </c>
      <c r="M3">
        <f t="shared" ref="M3:M13" si="6">$N$24*$M$24/($M$24+($N$24-$M$24)*EXP(-$O$24*B3))</f>
        <v>0.43680738588242757</v>
      </c>
      <c r="N3" s="296">
        <f>M3-E3</f>
        <v>2.5235829268780929E-2</v>
      </c>
      <c r="O3" s="292">
        <f t="shared" ref="O3:O13" si="7">N3^2</f>
        <v>6.368470788830602E-4</v>
      </c>
      <c r="P3">
        <f t="shared" ref="P3:P13" si="8">($N$24-$M$24)*$O$24*EXP(-$O$24*B3)/($M$24+($N$24-$M$24)*EXP(-$O$24*B3))</f>
        <v>2.617640691287184E-2</v>
      </c>
      <c r="Q3">
        <f>P3*'Post Process Calc.'!A5*1000</f>
        <v>20.679361461168753</v>
      </c>
      <c r="R3" s="477">
        <f t="shared" ref="R3:R15" si="9">AVERAGE(A3:A4)</f>
        <v>1.4513888888868678</v>
      </c>
      <c r="S3" s="477">
        <f t="shared" ref="S3:S15" si="10">AVERAGE(B3:B4)</f>
        <v>34.833333333284827</v>
      </c>
      <c r="T3">
        <f t="shared" ref="T3:T16" si="11">($N$24-$M$24)*$O$24*EXP(-$O$24*S3)/($M$24+($N$24-$M$24)*EXP(-$O$24*S3))</f>
        <v>2.5909822511018126E-2</v>
      </c>
    </row>
    <row r="4" spans="1:20">
      <c r="A4" s="95">
        <f>'In Process Calc.'!B5</f>
        <v>2.0194444444423425</v>
      </c>
      <c r="B4" s="95">
        <f>'In Process Calc.'!C5</f>
        <v>48.46666666661622</v>
      </c>
      <c r="C4" s="290">
        <f>'Measured Data'!H9</f>
        <v>0.79</v>
      </c>
      <c r="D4" s="252">
        <f t="shared" si="0"/>
        <v>7.9797979797980867E-3</v>
      </c>
      <c r="E4" s="252">
        <f t="shared" si="1"/>
        <v>0.79797979797979812</v>
      </c>
      <c r="F4" s="290">
        <f>'Measured Data'!K9</f>
        <v>99</v>
      </c>
      <c r="G4">
        <f t="shared" si="2"/>
        <v>1.1467839174668941</v>
      </c>
      <c r="H4" s="296">
        <f t="shared" si="3"/>
        <v>0.35678391746689408</v>
      </c>
      <c r="I4" s="296">
        <f t="shared" si="4"/>
        <v>0.12729476376302348</v>
      </c>
      <c r="J4">
        <v>2</v>
      </c>
      <c r="K4">
        <f t="shared" si="5"/>
        <v>2.4971636038753249E-2</v>
      </c>
      <c r="L4">
        <f>'In Process Calc.'!AS5</f>
        <v>2.3387542977410837E-2</v>
      </c>
      <c r="M4">
        <f t="shared" si="6"/>
        <v>0.88490170002532331</v>
      </c>
      <c r="N4" s="296">
        <f t="shared" ref="N4:N13" si="12">M4-E4</f>
        <v>8.692190204552519E-2</v>
      </c>
      <c r="O4" s="292">
        <f t="shared" si="7"/>
        <v>7.5554170552118759E-3</v>
      </c>
      <c r="P4">
        <f t="shared" si="8"/>
        <v>2.5535064670795828E-2</v>
      </c>
      <c r="Q4">
        <f>P4*'Post Process Calc.'!A6*1000</f>
        <v>34.293592817223356</v>
      </c>
      <c r="R4" s="477">
        <f t="shared" si="9"/>
        <v>2.4881944444423425</v>
      </c>
      <c r="S4" s="477">
        <f t="shared" si="10"/>
        <v>59.71666666661622</v>
      </c>
      <c r="T4">
        <f t="shared" si="11"/>
        <v>2.5117369182610434E-2</v>
      </c>
    </row>
    <row r="5" spans="1:20">
      <c r="A5" s="95">
        <f>'In Process Calc.'!B6</f>
        <v>2.9569444444423425</v>
      </c>
      <c r="B5" s="95">
        <f>'In Process Calc.'!C6</f>
        <v>70.96666666661622</v>
      </c>
      <c r="C5" s="290">
        <f>'Measured Data'!H10</f>
        <v>1.3430000377655029</v>
      </c>
      <c r="D5" s="252">
        <f t="shared" si="0"/>
        <v>1.9448929908496337E-2</v>
      </c>
      <c r="E5" s="252">
        <f t="shared" si="1"/>
        <v>1.3624489676739993</v>
      </c>
      <c r="F5" s="290">
        <f>'Measured Data'!K10</f>
        <v>98.572502136230469</v>
      </c>
      <c r="G5">
        <f t="shared" si="2"/>
        <v>1.7696085433218518</v>
      </c>
      <c r="H5" s="296">
        <f t="shared" si="3"/>
        <v>0.42660850555634888</v>
      </c>
      <c r="I5" s="296">
        <f t="shared" si="4"/>
        <v>0.18199481701302136</v>
      </c>
      <c r="J5">
        <v>3</v>
      </c>
      <c r="K5">
        <f t="shared" si="5"/>
        <v>2.9453024931524761E-2</v>
      </c>
      <c r="L5">
        <f>'In Process Calc.'!AS6</f>
        <v>2.2878178602500198E-2</v>
      </c>
      <c r="M5">
        <f t="shared" si="6"/>
        <v>1.5564241703654311</v>
      </c>
      <c r="N5" s="296">
        <f t="shared" si="12"/>
        <v>0.19397520269143187</v>
      </c>
      <c r="O5" s="292">
        <f t="shared" si="7"/>
        <v>3.762637925918208E-2</v>
      </c>
      <c r="P5">
        <f t="shared" si="8"/>
        <v>2.4573937262705133E-2</v>
      </c>
      <c r="Q5">
        <f>P5*'Post Process Calc.'!A7*1000</f>
        <v>64.115858915315854</v>
      </c>
      <c r="R5" s="477">
        <f t="shared" si="9"/>
        <v>3.4670138888868678</v>
      </c>
      <c r="S5" s="477">
        <f t="shared" si="10"/>
        <v>83.208333333284827</v>
      </c>
      <c r="T5">
        <f t="shared" si="11"/>
        <v>2.3805587075178086E-2</v>
      </c>
    </row>
    <row r="6" spans="1:20">
      <c r="A6" s="95">
        <f>'In Process Calc.'!B7</f>
        <v>3.9770833333313931</v>
      </c>
      <c r="B6" s="95">
        <f>'In Process Calc.'!C7</f>
        <v>95.449999999953434</v>
      </c>
      <c r="C6" s="290">
        <f>'Measured Data'!H11</f>
        <v>2.6090999675750735</v>
      </c>
      <c r="D6" s="252">
        <f t="shared" si="0"/>
        <v>2.3031147254761297E-2</v>
      </c>
      <c r="E6" s="252">
        <f t="shared" si="1"/>
        <v>2.6321311148298348</v>
      </c>
      <c r="F6" s="290">
        <f>'Measured Data'!K11</f>
        <v>99.125</v>
      </c>
      <c r="G6">
        <f t="shared" si="2"/>
        <v>2.4745251960150694</v>
      </c>
      <c r="H6" s="296">
        <f t="shared" si="3"/>
        <v>-0.13457477156000408</v>
      </c>
      <c r="I6" s="296">
        <f t="shared" si="4"/>
        <v>1.8110369140427282E-2</v>
      </c>
      <c r="J6">
        <v>4</v>
      </c>
      <c r="K6">
        <f t="shared" si="5"/>
        <v>2.6813666482346846E-2</v>
      </c>
      <c r="L6">
        <f>'In Process Calc.'!AS7</f>
        <v>2.5945738750565411E-2</v>
      </c>
      <c r="M6">
        <f t="shared" si="6"/>
        <v>2.7852133766843834</v>
      </c>
      <c r="N6" s="296">
        <f t="shared" si="12"/>
        <v>0.15308226185454865</v>
      </c>
      <c r="O6" s="292">
        <f t="shared" si="7"/>
        <v>2.3434178894504602E-2</v>
      </c>
      <c r="P6">
        <f t="shared" si="8"/>
        <v>2.2815212816208186E-2</v>
      </c>
      <c r="Q6">
        <f>P6*'Post Process Calc.'!A8*1000</f>
        <v>89.638692053121375</v>
      </c>
      <c r="R6" s="477">
        <f t="shared" si="9"/>
        <v>4.4027777777773736</v>
      </c>
      <c r="S6" s="477">
        <f t="shared" si="10"/>
        <v>105.66666666665697</v>
      </c>
      <c r="T6">
        <f t="shared" si="11"/>
        <v>2.1794169253134699E-2</v>
      </c>
    </row>
    <row r="7" spans="1:20">
      <c r="A7" s="95">
        <f>'In Process Calc.'!B8</f>
        <v>4.828472222223354</v>
      </c>
      <c r="B7" s="95">
        <f>'In Process Calc.'!C8</f>
        <v>115.8833333333605</v>
      </c>
      <c r="C7" s="290">
        <f>'Measured Data'!H12</f>
        <v>3.9289001060485846</v>
      </c>
      <c r="D7" s="252">
        <f t="shared" si="0"/>
        <v>4.1964126657235035E-2</v>
      </c>
      <c r="E7" s="252">
        <f t="shared" si="1"/>
        <v>3.9708642327058197</v>
      </c>
      <c r="F7" s="290">
        <f>'Measured Data'!K12</f>
        <v>98.943199157714844</v>
      </c>
      <c r="G7">
        <f t="shared" si="2"/>
        <v>2.9588354391463136</v>
      </c>
      <c r="H7" s="296">
        <f t="shared" si="3"/>
        <v>-0.970064666902271</v>
      </c>
      <c r="I7" s="296">
        <f t="shared" si="4"/>
        <v>0.94102545797221404</v>
      </c>
      <c r="J7">
        <v>5</v>
      </c>
      <c r="K7">
        <f t="shared" si="5"/>
        <v>2.0254919131989912E-2</v>
      </c>
      <c r="L7">
        <f>'In Process Calc.'!AS8</f>
        <v>2.0333320052524622E-2</v>
      </c>
      <c r="M7">
        <f t="shared" si="6"/>
        <v>4.3449002484024959</v>
      </c>
      <c r="N7" s="296">
        <f t="shared" si="12"/>
        <v>0.37403601569667622</v>
      </c>
      <c r="O7" s="292">
        <f t="shared" si="7"/>
        <v>0.13990294103824422</v>
      </c>
      <c r="P7">
        <f t="shared" si="8"/>
        <v>2.058288572864507E-2</v>
      </c>
      <c r="Q7">
        <f>P7*'Post Process Calc.'!A9*1000</f>
        <v>133.28447593910832</v>
      </c>
      <c r="R7" s="477">
        <f t="shared" si="9"/>
        <v>5.3534722222211713</v>
      </c>
      <c r="S7" s="477">
        <f t="shared" si="10"/>
        <v>128.48333333330811</v>
      </c>
      <c r="T7">
        <f t="shared" si="11"/>
        <v>1.8827931810560507E-2</v>
      </c>
    </row>
    <row r="8" spans="1:20">
      <c r="A8" s="95">
        <f>'In Process Calc.'!B9</f>
        <v>5.8784722222189885</v>
      </c>
      <c r="B8" s="95">
        <f>'In Process Calc.'!C9</f>
        <v>141.08333333325572</v>
      </c>
      <c r="C8" s="290">
        <f>'Measured Data'!H13</f>
        <v>6.4754999710083014</v>
      </c>
      <c r="D8" s="252">
        <f t="shared" si="0"/>
        <v>4.7592416766580214E-2</v>
      </c>
      <c r="E8" s="252">
        <f t="shared" si="1"/>
        <v>6.5230923877748817</v>
      </c>
      <c r="F8" s="290">
        <f>'Measured Data'!K13</f>
        <v>99.270401000976562</v>
      </c>
      <c r="G8">
        <f t="shared" si="2"/>
        <v>3.3601179529580509</v>
      </c>
      <c r="H8" s="296">
        <f t="shared" si="3"/>
        <v>-3.1153820180502505</v>
      </c>
      <c r="I8" s="296">
        <f t="shared" si="4"/>
        <v>9.7056051183908512</v>
      </c>
      <c r="J8">
        <v>6</v>
      </c>
      <c r="K8">
        <f t="shared" si="5"/>
        <v>1.189259478808522E-2</v>
      </c>
      <c r="L8">
        <f>'In Process Calc.'!AS9</f>
        <v>1.9694708021018414E-2</v>
      </c>
      <c r="M8">
        <f t="shared" si="6"/>
        <v>6.9753980954900223</v>
      </c>
      <c r="N8" s="296">
        <f t="shared" si="12"/>
        <v>0.45230570771514067</v>
      </c>
      <c r="O8" s="292">
        <f t="shared" si="7"/>
        <v>0.20458045323169427</v>
      </c>
      <c r="P8">
        <f t="shared" si="8"/>
        <v>1.6817943095409092E-2</v>
      </c>
      <c r="Q8">
        <f>P8*'Post Process Calc.'!A10*1000</f>
        <v>164.99411496972419</v>
      </c>
      <c r="R8" s="477">
        <f t="shared" si="9"/>
        <v>6.3711805555540195</v>
      </c>
      <c r="S8" s="477">
        <f t="shared" si="10"/>
        <v>152.90833333329647</v>
      </c>
      <c r="T8">
        <f t="shared" si="11"/>
        <v>1.4766728280538178E-2</v>
      </c>
    </row>
    <row r="9" spans="1:20">
      <c r="A9" s="95">
        <f>'In Process Calc.'!B10</f>
        <v>6.8638888888890506</v>
      </c>
      <c r="B9" s="95">
        <f>'In Process Calc.'!C10</f>
        <v>164.73333333333721</v>
      </c>
      <c r="C9" s="290">
        <f>'Measured Data'!H14</f>
        <v>9.8106001449584959</v>
      </c>
      <c r="D9" s="252">
        <f t="shared" si="0"/>
        <v>9.2114923807461224E-2</v>
      </c>
      <c r="E9" s="252">
        <f t="shared" si="1"/>
        <v>9.9027150687659571</v>
      </c>
      <c r="F9" s="290">
        <f>'Measured Data'!K14</f>
        <v>99.069801330566406</v>
      </c>
      <c r="G9">
        <f t="shared" si="2"/>
        <v>3.5715038969451336</v>
      </c>
      <c r="H9" s="296">
        <f t="shared" si="3"/>
        <v>-6.2390962480133627</v>
      </c>
      <c r="I9" s="296">
        <f t="shared" si="4"/>
        <v>38.926321991974419</v>
      </c>
      <c r="J9">
        <v>7</v>
      </c>
      <c r="K9">
        <f t="shared" si="5"/>
        <v>6.4204739834398741E-3</v>
      </c>
      <c r="L9">
        <f>'In Process Calc.'!AS10</f>
        <v>1.780892146977683E-2</v>
      </c>
      <c r="M9">
        <f t="shared" si="6"/>
        <v>9.8883525699035584</v>
      </c>
      <c r="N9" s="296">
        <f t="shared" si="12"/>
        <v>-1.4362498862398709E-2</v>
      </c>
      <c r="O9" s="292">
        <f t="shared" si="7"/>
        <v>2.0628137357240421E-4</v>
      </c>
      <c r="P9">
        <f t="shared" si="8"/>
        <v>1.2648729841143288E-2</v>
      </c>
      <c r="Q9">
        <f>P9*'Post Process Calc.'!A11*1000</f>
        <v>159.15138070785375</v>
      </c>
      <c r="R9" s="477">
        <f t="shared" si="9"/>
        <v>7.3718749999970896</v>
      </c>
      <c r="S9" s="477">
        <f t="shared" si="10"/>
        <v>176.92499999993015</v>
      </c>
      <c r="T9">
        <f t="shared" si="11"/>
        <v>1.0504926333800511E-2</v>
      </c>
    </row>
    <row r="10" spans="1:20">
      <c r="A10" s="95">
        <f>'In Process Calc.'!B11</f>
        <v>7.8798611111051287</v>
      </c>
      <c r="B10" s="95">
        <f>'In Process Calc.'!C11</f>
        <v>189.11666666652309</v>
      </c>
      <c r="C10" s="290">
        <f>'Measured Data'!H15</f>
        <v>12.582400186157226</v>
      </c>
      <c r="D10" s="252">
        <f t="shared" si="0"/>
        <v>8.5980720295495416E-2</v>
      </c>
      <c r="E10" s="252">
        <f t="shared" si="1"/>
        <v>12.668380906452722</v>
      </c>
      <c r="F10" s="290">
        <f>'Measured Data'!K15</f>
        <v>99.321296691894531</v>
      </c>
      <c r="G10">
        <f t="shared" si="2"/>
        <v>3.684564280452169</v>
      </c>
      <c r="H10" s="296">
        <f t="shared" si="3"/>
        <v>-8.8978359057050582</v>
      </c>
      <c r="I10" s="296">
        <f t="shared" si="4"/>
        <v>79.171483804854148</v>
      </c>
      <c r="J10">
        <v>8</v>
      </c>
      <c r="K10">
        <f t="shared" si="5"/>
        <v>3.1914650756559972E-3</v>
      </c>
      <c r="L10">
        <f>'In Process Calc.'!AS11</f>
        <v>1.0666384684841788E-2</v>
      </c>
      <c r="M10">
        <f t="shared" si="6"/>
        <v>12.782738523697281</v>
      </c>
      <c r="N10" s="296">
        <f t="shared" si="12"/>
        <v>0.11435761724455951</v>
      </c>
      <c r="O10" s="292">
        <f t="shared" si="7"/>
        <v>1.3077664621853174E-2</v>
      </c>
      <c r="P10">
        <f t="shared" si="8"/>
        <v>8.5060930826518655E-3</v>
      </c>
      <c r="Q10">
        <f>P10*'Post Process Calc.'!A12*1000</f>
        <v>135.82699210991623</v>
      </c>
      <c r="R10" s="477">
        <f t="shared" si="9"/>
        <v>8.3788194444387045</v>
      </c>
      <c r="S10" s="477">
        <f t="shared" si="10"/>
        <v>201.09166666652891</v>
      </c>
      <c r="T10">
        <f t="shared" si="11"/>
        <v>6.7598250404742504E-3</v>
      </c>
    </row>
    <row r="11" spans="1:20">
      <c r="A11" s="95">
        <f>'In Process Calc.'!B12</f>
        <v>8.8777777777722804</v>
      </c>
      <c r="B11" s="95">
        <f>'In Process Calc.'!C12</f>
        <v>213.06666666653473</v>
      </c>
      <c r="C11" s="290">
        <f>'Measured Data'!H16</f>
        <v>15.968199594116211</v>
      </c>
      <c r="D11" s="252">
        <f t="shared" si="0"/>
        <v>0.11873738334253403</v>
      </c>
      <c r="E11" s="252">
        <f t="shared" si="1"/>
        <v>16.086936977458745</v>
      </c>
      <c r="F11" s="290">
        <f>'Measured Data'!K16</f>
        <v>99.26190185546875</v>
      </c>
      <c r="G11">
        <f t="shared" si="2"/>
        <v>3.7391870842197026</v>
      </c>
      <c r="H11" s="296">
        <f t="shared" si="3"/>
        <v>-12.229012509896508</v>
      </c>
      <c r="I11" s="296">
        <f t="shared" si="4"/>
        <v>149.54874696720529</v>
      </c>
      <c r="J11">
        <v>9</v>
      </c>
      <c r="K11">
        <f t="shared" si="5"/>
        <v>1.5559704986390427E-3</v>
      </c>
      <c r="L11">
        <f>'In Process Calc.'!AS12</f>
        <v>9.9523010435653321E-3</v>
      </c>
      <c r="M11">
        <f t="shared" si="6"/>
        <v>15.044565830344126</v>
      </c>
      <c r="N11" s="296">
        <f t="shared" si="12"/>
        <v>-1.0423711471146184</v>
      </c>
      <c r="O11" s="292">
        <f t="shared" si="7"/>
        <v>1.0865376083370455</v>
      </c>
      <c r="P11">
        <f t="shared" si="8"/>
        <v>5.2688161294544029E-3</v>
      </c>
      <c r="Q11">
        <f>P11*'Post Process Calc.'!A13*1000</f>
        <v>88.270060059360674</v>
      </c>
      <c r="R11" s="477">
        <f t="shared" si="9"/>
        <v>9.4010416666642413</v>
      </c>
      <c r="S11" s="477">
        <f t="shared" si="10"/>
        <v>225.62499999994179</v>
      </c>
      <c r="T11">
        <f t="shared" si="11"/>
        <v>3.9870249737177831E-3</v>
      </c>
    </row>
    <row r="12" spans="1:20">
      <c r="A12" s="95">
        <f>'In Process Calc.'!B13</f>
        <v>9.9243055555562023</v>
      </c>
      <c r="B12" s="95">
        <f>'In Process Calc.'!C13</f>
        <v>238.18333333334886</v>
      </c>
      <c r="C12" s="290">
        <f>'Measured Data'!H17</f>
        <v>16.753300531005859</v>
      </c>
      <c r="D12" s="252">
        <f t="shared" si="0"/>
        <v>0.31012733276295279</v>
      </c>
      <c r="E12" s="252">
        <f t="shared" si="1"/>
        <v>17.063427863768812</v>
      </c>
      <c r="F12" s="290">
        <f>'Measured Data'!K17</f>
        <v>98.182502746582031</v>
      </c>
      <c r="G12">
        <f t="shared" si="2"/>
        <v>3.7664704528856952</v>
      </c>
      <c r="H12" s="296">
        <f t="shared" si="3"/>
        <v>-12.986830078120164</v>
      </c>
      <c r="I12" s="296">
        <f t="shared" si="4"/>
        <v>168.65775547796659</v>
      </c>
      <c r="J12">
        <v>9</v>
      </c>
      <c r="K12">
        <f t="shared" si="5"/>
        <v>7.2065070284599503E-4</v>
      </c>
      <c r="L12">
        <f>'In Process Calc.'!AS13</f>
        <v>1.1820970615234066E-3</v>
      </c>
      <c r="M12">
        <f t="shared" si="6"/>
        <v>16.647914297239602</v>
      </c>
      <c r="N12" s="296">
        <f t="shared" si="12"/>
        <v>-0.41551356652921001</v>
      </c>
      <c r="O12" s="292">
        <f t="shared" si="7"/>
        <v>0.17265152396982422</v>
      </c>
      <c r="P12">
        <f t="shared" si="8"/>
        <v>2.9739976768820516E-3</v>
      </c>
      <c r="Q12">
        <f>P12*'Post Process Calc.'!A14*1000</f>
        <v>48.152889348077693</v>
      </c>
      <c r="R12" s="477">
        <f t="shared" si="9"/>
        <v>10.417013888887595</v>
      </c>
      <c r="S12" s="477">
        <f t="shared" si="10"/>
        <v>250.00833333330229</v>
      </c>
      <c r="T12">
        <f t="shared" si="11"/>
        <v>2.2335256734908179E-3</v>
      </c>
    </row>
    <row r="13" spans="1:20">
      <c r="A13" s="95">
        <f>'In Process Calc.'!B14</f>
        <v>10.909722222218988</v>
      </c>
      <c r="B13" s="95">
        <f>'In Process Calc.'!C14</f>
        <v>261.83333333325572</v>
      </c>
      <c r="C13" s="290">
        <f>'Measured Data'!H18</f>
        <v>16.191300256347656</v>
      </c>
      <c r="D13" s="252">
        <f t="shared" si="0"/>
        <v>0.38792026582183681</v>
      </c>
      <c r="E13" s="252">
        <f t="shared" si="1"/>
        <v>16.579220522169493</v>
      </c>
      <c r="F13" s="290">
        <f>'Measured Data'!K18</f>
        <v>97.660202026367188</v>
      </c>
      <c r="G13">
        <f t="shared" si="2"/>
        <v>3.7785602630503003</v>
      </c>
      <c r="H13" s="296">
        <f t="shared" si="3"/>
        <v>-12.412739993297356</v>
      </c>
      <c r="I13" s="296">
        <f t="shared" si="4"/>
        <v>154.07611414120365</v>
      </c>
      <c r="J13">
        <v>9</v>
      </c>
      <c r="K13">
        <f t="shared" si="5"/>
        <v>3.4658171728191962E-4</v>
      </c>
      <c r="L13">
        <f>'In Process Calc.'!AS14</f>
        <v>-1.4694570152564994E-3</v>
      </c>
      <c r="M13">
        <f t="shared" si="6"/>
        <v>17.56280981323258</v>
      </c>
      <c r="N13" s="296">
        <f t="shared" si="12"/>
        <v>0.98358929106308679</v>
      </c>
      <c r="O13" s="292">
        <f t="shared" si="7"/>
        <v>0.96744789349398563</v>
      </c>
      <c r="P13">
        <f t="shared" si="8"/>
        <v>1.6645386568215918E-3</v>
      </c>
      <c r="Q13">
        <f>P13*'Post Process Calc.'!A15*1000</f>
        <v>26.848843406486264</v>
      </c>
      <c r="R13" s="477">
        <f t="shared" si="9"/>
        <v>11.388888888886868</v>
      </c>
      <c r="S13" s="477">
        <f t="shared" si="10"/>
        <v>273.33333333328483</v>
      </c>
      <c r="T13">
        <f t="shared" si="11"/>
        <v>1.2435126539812377E-3</v>
      </c>
    </row>
    <row r="14" spans="1:20">
      <c r="A14" s="95">
        <f>'In Process Calc.'!B15</f>
        <v>11.868055555554747</v>
      </c>
      <c r="B14" s="95">
        <f>'In Process Calc.'!C15</f>
        <v>284.83333333331393</v>
      </c>
      <c r="C14" s="290">
        <f>'Measured Data'!H19</f>
        <v>16.129900796508789</v>
      </c>
      <c r="D14" s="252">
        <f t="shared" ref="D14" si="13">E14-C14</f>
        <v>0.65608017913175942</v>
      </c>
      <c r="E14" s="252">
        <f t="shared" ref="E14" si="14">C14/F14*100</f>
        <v>16.785980975640548</v>
      </c>
      <c r="F14" s="290">
        <f>'Measured Data'!K19</f>
        <v>96.091499328613281</v>
      </c>
      <c r="G14">
        <f t="shared" ref="G14" si="15">$H$24/(1+$I$24*EXP(-$J$24*B14))</f>
        <v>3.784255819958902</v>
      </c>
      <c r="H14" s="296">
        <f t="shared" ref="H14" si="16">G14-C14</f>
        <v>-12.345644976549886</v>
      </c>
      <c r="I14" s="296">
        <f t="shared" ref="I14" si="17">H14^2</f>
        <v>152.41494988701143</v>
      </c>
      <c r="J14">
        <v>10</v>
      </c>
      <c r="K14">
        <f t="shared" ref="K14" si="18">$H$24*$I$24*$J$24*(1+$I$24*EXP(-$J$24*B14))^-2*EXP(-$J$24*B14)</f>
        <v>1.6952174603826001E-4</v>
      </c>
      <c r="L14">
        <f>'In Process Calc.'!AS15</f>
        <v>-5.4292197513925301E-4</v>
      </c>
      <c r="M14">
        <f t="shared" ref="M14" si="19">$N$24*$M$24/($M$24+($N$24-$M$24)*EXP(-$O$24*B14))</f>
        <v>18.079469359130336</v>
      </c>
      <c r="N14" s="296">
        <f t="shared" ref="N14" si="20">M14-E14</f>
        <v>1.2934883834897875</v>
      </c>
      <c r="O14" s="292">
        <f t="shared" ref="O14" si="21">N14^2</f>
        <v>1.6731121982230235</v>
      </c>
      <c r="P14">
        <f t="shared" ref="P14" si="22">($N$24-$M$24)*$O$24*EXP(-$O$24*B14)/($M$24+($N$24-$M$24)*EXP(-$O$24*B14))</f>
        <v>9.2506131667759368E-4</v>
      </c>
      <c r="Q14">
        <f>P14*'Post Process Calc.'!A16*1000</f>
        <v>0</v>
      </c>
      <c r="R14" s="477">
        <f t="shared" si="9"/>
        <v>12.364583333332121</v>
      </c>
      <c r="S14" s="477">
        <f t="shared" si="10"/>
        <v>296.7499999999709</v>
      </c>
      <c r="T14">
        <f t="shared" si="11"/>
        <v>6.7854837245061729E-4</v>
      </c>
    </row>
    <row r="15" spans="1:20">
      <c r="A15" s="95">
        <f>'In Process Calc.'!B16</f>
        <v>12.861111111109494</v>
      </c>
      <c r="B15" s="95">
        <f>'In Process Calc.'!C16</f>
        <v>308.66666666662786</v>
      </c>
      <c r="C15" s="290">
        <f>'Measured Data'!H20</f>
        <v>15.486100061035156</v>
      </c>
      <c r="D15" s="252">
        <f t="shared" ref="D15:D16" si="23">E15-C15</f>
        <v>1.1402165897147682</v>
      </c>
      <c r="E15" s="252">
        <f t="shared" ref="E15:E16" si="24">C15/F15*100</f>
        <v>16.626316650749924</v>
      </c>
      <c r="F15" s="290">
        <f>'Measured Data'!K20</f>
        <v>93.142097473144531</v>
      </c>
      <c r="G15">
        <f t="shared" ref="G15:G16" si="25">$H$24/(1+$I$24*EXP(-$J$24*B15))</f>
        <v>3.7871076146255525</v>
      </c>
      <c r="H15" s="296">
        <f t="shared" ref="H15:H16" si="26">G15-C15</f>
        <v>-11.698992446409603</v>
      </c>
      <c r="I15" s="296">
        <f t="shared" ref="I15:I16" si="27">H15^2</f>
        <v>136.86642426114895</v>
      </c>
      <c r="J15">
        <v>11</v>
      </c>
      <c r="K15">
        <f t="shared" ref="K15:K16" si="28">$H$24*$I$24*$J$24*(1+$I$24*EXP(-$J$24*B15))^-2*EXP(-$J$24*B15)</f>
        <v>8.0666074824851383E-5</v>
      </c>
      <c r="L15">
        <f>'In Process Calc.'!AS16</f>
        <v>-5.6704530371216953E-4</v>
      </c>
      <c r="M15">
        <f t="shared" ref="M15:M16" si="29">$N$24*$M$24/($M$24+($N$24-$M$24)*EXP(-$O$24*B15))</f>
        <v>18.378920839652167</v>
      </c>
      <c r="N15" s="296">
        <f t="shared" ref="N15:N16" si="30">M15-E15</f>
        <v>1.752604188902243</v>
      </c>
      <c r="O15" s="292">
        <f t="shared" ref="O15:O16" si="31">N15^2</f>
        <v>3.0716214429576891</v>
      </c>
      <c r="P15">
        <f t="shared" ref="P15:P16" si="32">($N$24-$M$24)*$O$24*EXP(-$O$24*B15)/($M$24+($N$24-$M$24)*EXP(-$O$24*B15))</f>
        <v>4.9646653685272426E-4</v>
      </c>
      <c r="Q15">
        <f>P15*'Post Process Calc.'!A17*1000</f>
        <v>0</v>
      </c>
      <c r="R15" s="477">
        <f t="shared" si="9"/>
        <v>13.368402777774463</v>
      </c>
      <c r="S15" s="477">
        <f t="shared" si="10"/>
        <v>320.84166666658712</v>
      </c>
      <c r="T15">
        <f t="shared" si="11"/>
        <v>3.6009841431873936E-4</v>
      </c>
    </row>
    <row r="16" spans="1:20">
      <c r="A16" s="95">
        <f>'In Process Calc.'!B17</f>
        <v>13.875694444439432</v>
      </c>
      <c r="B16" s="95">
        <f>'In Process Calc.'!C17</f>
        <v>333.01666666654637</v>
      </c>
      <c r="C16" s="290">
        <f>'Measured Data'!H21</f>
        <v>12.884300096130371</v>
      </c>
      <c r="D16" s="252">
        <f t="shared" si="23"/>
        <v>2.8270155407675173</v>
      </c>
      <c r="E16" s="252">
        <f t="shared" si="24"/>
        <v>15.711315636897888</v>
      </c>
      <c r="F16" s="290">
        <f>'Measured Data'!K21</f>
        <v>82.006500244140625</v>
      </c>
      <c r="G16">
        <f t="shared" si="25"/>
        <v>3.7884837481406057</v>
      </c>
      <c r="H16" s="296">
        <f t="shared" si="26"/>
        <v>-9.0958163479897642</v>
      </c>
      <c r="I16" s="296">
        <f t="shared" si="27"/>
        <v>82.733875036357858</v>
      </c>
      <c r="J16">
        <v>12</v>
      </c>
      <c r="K16">
        <f t="shared" si="28"/>
        <v>3.7740833664493464E-5</v>
      </c>
      <c r="L16">
        <f>'In Process Calc.'!AS17</f>
        <v>-2.7051876261762276E-3</v>
      </c>
      <c r="M16">
        <f t="shared" si="29"/>
        <v>18.5435655430745</v>
      </c>
      <c r="N16" s="296">
        <f t="shared" si="30"/>
        <v>2.832249906176612</v>
      </c>
      <c r="O16" s="292">
        <f t="shared" si="31"/>
        <v>8.0216395310374278</v>
      </c>
      <c r="P16">
        <f t="shared" si="32"/>
        <v>2.6081613936711147E-4</v>
      </c>
      <c r="Q16">
        <f>P16*'Post Process Calc.'!A18*1000</f>
        <v>0</v>
      </c>
      <c r="T16">
        <f t="shared" si="11"/>
        <v>2.6443778008457725E-2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973.40344545762866</v>
      </c>
      <c r="H24">
        <v>3.7896928499098297</v>
      </c>
      <c r="I24">
        <v>10.467103523431467</v>
      </c>
      <c r="J24">
        <v>3.1223904954928154E-2</v>
      </c>
      <c r="L24" s="292">
        <f>SUM(O2:O13)</f>
        <v>2.653658253398846</v>
      </c>
      <c r="M24">
        <f>C2</f>
        <v>0.25</v>
      </c>
      <c r="N24">
        <v>18.725793098690978</v>
      </c>
      <c r="O24">
        <v>2.6801594556131819E-2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0.53333333332557231</v>
      </c>
      <c r="B3" s="111">
        <f>IF(ISBLANK('Measured Data'!H7),"",'Measured Data'!H7)</f>
        <v>0.25</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0.53333333332557231</v>
      </c>
      <c r="AI3" s="111">
        <f>IF(ISBLANK('Measured Data'!H7),"",'Measured Data'!H7)</f>
        <v>0.25</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0.53333333332557231</v>
      </c>
      <c r="CH3" s="76">
        <f>$BY$4+$BZ$4*$CG3+$CA$4*$CG3^2+$CB$4*$CG3^3+$CC$4*$CG3^4+$CD$4*$CG3^5+$CE$4*$CG3^6</f>
        <v>0.77746405106227101</v>
      </c>
      <c r="CI3" s="76">
        <f>$BY$5+$BZ$5*$CG3+$CA$5*$CG3^2+$CB$5*$CG3^3+$CC$5*$CG3^4+$CD$5*$CG3^5+$CE$5*$CG3^6</f>
        <v>1106.1784221758769</v>
      </c>
      <c r="CJ3" s="76">
        <f>$BY$6+$BZ$6*$CG3+$CA$6*$CG3^2+$CB$6*$CG3^3+$CC$6*$CG3^4+$CD$6*$CG3^5+$CE$6*$CG3^6</f>
        <v>0</v>
      </c>
      <c r="CK3" s="76">
        <f>$BY$7+$BZ$7*$CG3+$CA$7*$CG3^2+$CB$7*$CG3^3+$CC$7*$CG3^4+$CD$7*$CG3^5+$CE$7*$CG3^6</f>
        <v>252.00140468322894</v>
      </c>
      <c r="CL3" s="76">
        <f>$BY$8+$BZ$8*$CG3+$CA$8*$CG3^2+$CB$8*$CG3^3+$CC$8*$CG3^4+$CD$8*$CG3^5+$CE$8*$CG3^6</f>
        <v>-1.1781876580924495</v>
      </c>
      <c r="CM3" s="76">
        <f>$BY$9+$BZ$9*$CG3+$CA$9*$CG3^2+$CB$9*$CG3^3+$CC$9*$CG3^4+$CD$9*$CG3^5+$CE$9*$CG3^6</f>
        <v>0.48683688628417399</v>
      </c>
      <c r="CN3" s="76">
        <f>$BY$10+$BZ$10*$CG3+$CA$10*$CG3^2+$CB$10*$CG3^3+$CC$10*$CG3^4+$CD$10*$CG3^5+$CE$10*$CG3^6</f>
        <v>0.43846963786623494</v>
      </c>
      <c r="CO3" s="76">
        <f>$BY$11+$BZ$11*$CG3+$CA$11*$CG3^2+$CB$11*$CG3^3+$CC$11*$CG3^4+$CD$11*$CG3^5+$CE$11*$CG3^6</f>
        <v>-0.73464272963729338</v>
      </c>
      <c r="CP3" s="76">
        <f>$BY$12+$BZ$12*$CG3+$CA$12*$CG3^2+$CB$12*$CG3^3+$CC$12*$CG3^4+$CD$12*$CG3^5+$CE$12*$CG3^6</f>
        <v>2.0153964379117904E-2</v>
      </c>
      <c r="CQ3" s="76">
        <f>$BY$13+$BZ$13*$CG3+$CA$13*$CG3^2+$CB$13*$CG3^3+$CC$13*$CG3^4+$CD$13*$CG3^5+$CE$13*$CG3^6</f>
        <v>0.10342680944719113</v>
      </c>
      <c r="CR3" s="76">
        <f>$BY$14+$BZ$14*$CG3+$CA$14*$CG3^2+$CB$14*$CG3^3+$CC$14*$CG3^4+$CD$14*$CG3^5+$CE$14*$CG3^6</f>
        <v>0.17896537923830427</v>
      </c>
      <c r="CS3" s="76">
        <f>$BY$15+$BZ$15*$CG3+$CA$15*$CG3^2+$CB$15*$CG3^3+$CC$15*$CG3^4+$CD$15*$CG3^5+$CE$15*$CG3^6</f>
        <v>4.5812937272949101</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0.43402660913275265</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9.3207824681946665</v>
      </c>
      <c r="DK3" s="76">
        <f>$BY$33+$BZ$33*$CG3+$CA$33*$CG3^2+$CB$33*$CG3^3+$CC$33*$CG3^4+$CD$33*$CG3^5+$CE$33*$CG3^6</f>
        <v>8.1425948101022225</v>
      </c>
      <c r="DL3" s="76">
        <f>$BY$34+$BZ$34*$CG3+$CA$34*$CG3^2+$CB$34*$CG3^3+$CC$34*$CG3^4+$CD$34*$CG3^5+$CE$34*$CG3^6</f>
        <v>37.762174468575815</v>
      </c>
    </row>
    <row r="4" spans="1:116" s="48" customFormat="1" ht="14">
      <c r="A4" s="111">
        <f>IF(ISBLANK('In Process Calc.'!C4),"",'In Process Calc.'!C4)</f>
        <v>21.199999999953434</v>
      </c>
      <c r="B4" s="111">
        <f>IF(ISBLANK('Measured Data'!H8),"",'Measured Data'!H8)</f>
        <v>0.40849999914169305</v>
      </c>
      <c r="C4" s="111">
        <f>IF(ISBLANK('In Process Calc.'!L4),"",'In Process Calc.'!L4)</f>
        <v>300.56999835205067</v>
      </c>
      <c r="D4" s="111">
        <f>IF(ISBLANK('In Process Calc.'!M4),"",'In Process Calc.'!M4)</f>
        <v>0</v>
      </c>
      <c r="E4" s="111">
        <f>IF(ISBLANK('In Process Calc.'!N4),"",'In Process Calc.'!N4)</f>
        <v>0</v>
      </c>
      <c r="F4" s="111">
        <f>IF(ISBLANK('In Process Calc.'!O4),"",'In Process Calc.'!O4)</f>
        <v>-1.2600000000000009E-2</v>
      </c>
      <c r="G4" s="111">
        <f>IF(ISBLANK('In Process Calc.'!P4),"",'In Process Calc.'!P4)</f>
        <v>-4.5240000000000238E-2</v>
      </c>
      <c r="H4" s="111">
        <f>IF(ISBLANK('In Process Calc.'!Q4),"",'In Process Calc.'!Q4)</f>
        <v>0.36622500000000036</v>
      </c>
      <c r="I4" s="111">
        <f>IF(ISBLANK('In Process Calc.'!R4),"",'In Process Calc.'!R4)</f>
        <v>-7.4294999999999611E-2</v>
      </c>
      <c r="J4" s="111">
        <f>IF(ISBLANK('In Process Calc.'!S4),"",'In Process Calc.'!S4)</f>
        <v>-0.11727000000000021</v>
      </c>
      <c r="K4" s="111">
        <f>IF(ISBLANK('In Process Calc.'!T4),"",'In Process Calc.'!T4)</f>
        <v>0.23790920273805341</v>
      </c>
      <c r="L4" s="111">
        <f>IF(ISBLANK('In Process Calc.'!U4),"",'In Process Calc.'!U4)</f>
        <v>0</v>
      </c>
      <c r="M4" s="111">
        <f>IF(ISBLANK('In Process Calc.'!V4),"",'In Process Calc.'!V4)</f>
        <v>-6.2100000000000363E-2</v>
      </c>
      <c r="N4" s="111">
        <f>IF(ISBLANK('In Process Calc.'!W4),"",'In Process Calc.'!W4)</f>
        <v>0</v>
      </c>
      <c r="O4" s="111">
        <f>IF(ISBLANK('In Process Calc.'!X4),"",'In Process Calc.'!X4)</f>
        <v>0</v>
      </c>
      <c r="P4" s="111">
        <f>IF(ISBLANK('In Process Calc.'!Y4),"",'In Process Calc.'!Y4)</f>
        <v>0</v>
      </c>
      <c r="Q4" s="111">
        <f>IF(ISBLANK('In Process Calc.'!Z4),"",'In Process Calc.'!Z4)</f>
        <v>0.83925399644760224</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0.16795499999999935</v>
      </c>
      <c r="AE4" s="111">
        <f>IF(ISBLANK('In Process Calc.'!AN4),"",'In Process Calc.'!AN4)</f>
        <v>0.15535499999999935</v>
      </c>
      <c r="AF4" s="111">
        <f>IF(ISBLANK('In Process Calc.'!AO4),"",'In Process Calc.'!AO4)</f>
        <v>-8.0040000000001499E-2</v>
      </c>
      <c r="AH4" s="111">
        <f>IF(ISBLANK('In Process Calc.'!C4),"",'In Process Calc.'!C4)</f>
        <v>21.199999999953434</v>
      </c>
      <c r="AI4" s="111">
        <f>IF(ISBLANK('Measured Data'!H8),"",'Measured Data'!H8)</f>
        <v>0.40849999914169305</v>
      </c>
      <c r="AJ4" s="111">
        <f>IF(ISBLANK('In Process Calc.'!L4),"",'In Process Calc.'!L4)</f>
        <v>300.56999835205067</v>
      </c>
      <c r="AK4" s="111">
        <f>IF(ISBLANK('In Process Calc.'!M4),"",'In Process Calc.'!M4)</f>
        <v>0</v>
      </c>
      <c r="AL4" s="111">
        <f>IF(ISBLANK('In Process Calc.'!N4),"",'In Process Calc.'!N4)</f>
        <v>0</v>
      </c>
      <c r="AM4" s="111">
        <f>IF(ISBLANK('In Process Calc.'!O4),"",'In Process Calc.'!O4)</f>
        <v>-1.2600000000000009E-2</v>
      </c>
      <c r="AN4" s="111">
        <f>IF(ISBLANK('In Process Calc.'!P4),"",'In Process Calc.'!P4)</f>
        <v>-4.5240000000000238E-2</v>
      </c>
      <c r="AO4" s="111">
        <f>IF(ISBLANK('In Process Calc.'!Q4),"",'In Process Calc.'!Q4)</f>
        <v>0.36622500000000036</v>
      </c>
      <c r="AP4" s="111">
        <f>IF(ISBLANK('In Process Calc.'!R4),"",'In Process Calc.'!R4)</f>
        <v>-7.4294999999999611E-2</v>
      </c>
      <c r="AQ4" s="111">
        <f>IF(ISBLANK('In Process Calc.'!S4),"",'In Process Calc.'!S4)</f>
        <v>-0.11727000000000021</v>
      </c>
      <c r="AR4" s="111">
        <f>IF(ISBLANK('In Process Calc.'!T4),"",'In Process Calc.'!T4)</f>
        <v>0.23790920273805341</v>
      </c>
      <c r="AS4" s="111">
        <f>IF(ISBLANK('In Process Calc.'!U4),"",'In Process Calc.'!U4)</f>
        <v>0</v>
      </c>
      <c r="AT4" s="111">
        <f>IF(ISBLANK('In Process Calc.'!V4),"",'In Process Calc.'!V4)</f>
        <v>-6.2100000000000363E-2</v>
      </c>
      <c r="AU4" s="111">
        <f>IF(ISBLANK('In Process Calc.'!W4),"",'In Process Calc.'!W4)</f>
        <v>0</v>
      </c>
      <c r="AV4" s="111">
        <f>IF(ISBLANK('In Process Calc.'!X4),"",'In Process Calc.'!X4)</f>
        <v>0</v>
      </c>
      <c r="AW4" s="111">
        <f>IF(ISBLANK('In Process Calc.'!Y4),"",'In Process Calc.'!Y4)</f>
        <v>0</v>
      </c>
      <c r="AX4" s="111">
        <f>IF(ISBLANK('In Process Calc.'!Z4),"",'In Process Calc.'!Z4)</f>
        <v>0.83925399644760224</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0.16795499999999935</v>
      </c>
      <c r="BL4" s="111">
        <f>IF(ISBLANK('In Process Calc.'!AN4),"",'In Process Calc.'!AN4)</f>
        <v>0.15535499999999935</v>
      </c>
      <c r="BM4" s="111">
        <f>IF(ISBLANK('In Process Calc.'!AO4),"",'In Process Calc.'!AO4)</f>
        <v>-8.0040000000001499E-2</v>
      </c>
      <c r="BO4" s="55" t="s">
        <v>333</v>
      </c>
      <c r="BP4" s="56">
        <f t="array" ref="BP4:BS4">LINEST($B3:INDEX($B:$B,COUNT($B:$B)+2), $A$3:INDEX($A:$A,COUNT($A:$A)+2)^{1,2,3},TRUE,TRUE)</f>
        <v>-2.5914708974833448E-6</v>
      </c>
      <c r="BQ4" s="56">
        <v>1.1747815899501935E-3</v>
      </c>
      <c r="BR4" s="56">
        <v>-6.8613303905846648E-2</v>
      </c>
      <c r="BS4" s="56">
        <v>0.90529779957586243</v>
      </c>
      <c r="BT4" s="56">
        <f t="array" ref="BT4:BX4">LINEST($B3:INDEX($B:$B,COUNT($B:$B)+2), $A$3:INDEX($A:$A,COUNT($A:$A)+2)^{1,2,3,4},TRUE,TRUE)</f>
        <v>-8.6895836639810307E-10</v>
      </c>
      <c r="BU4" s="56">
        <v>-2.0116372853325028E-6</v>
      </c>
      <c r="BV4" s="56">
        <v>1.0529656875657328E-3</v>
      </c>
      <c r="BW4" s="56">
        <v>-6.025351488338989E-2</v>
      </c>
      <c r="BX4" s="56">
        <v>0.80930005400273419</v>
      </c>
      <c r="BY4" s="57">
        <f>IF('Kinetic Curves'!$B$4=6,#REF!,IF('Kinetic Curves'!$B$4=5,#REF!, IF( 'Kinetic Curves'!$B$4=4, BX4,IF('Kinetic Curves'!$B$4=3, BS4, 0))))</f>
        <v>0.80930005400273419</v>
      </c>
      <c r="BZ4" s="57">
        <f>IF('Kinetic Curves'!$B$4=6,#REF!,IF('Kinetic Curves'!$B$4=5,#REF!, IF( 'Kinetic Curves'!$B$4=4, BW4,IF('Kinetic Curves'!$B$4=3, BR4, 0))))</f>
        <v>-6.025351488338989E-2</v>
      </c>
      <c r="CA4" s="57">
        <f>IF('Kinetic Curves'!$B$4=6,#REF!,IF('Kinetic Curves'!$B$4=5,#REF!, IF( 'Kinetic Curves'!$B$4=4, BV4,IF('Kinetic Curves'!$B$4=3, BQ4, 0))))</f>
        <v>1.0529656875657328E-3</v>
      </c>
      <c r="CB4" s="57">
        <f>IF('Kinetic Curves'!$B$4=6,#REF!,IF('Kinetic Curves'!$B$4=5,#REF!, IF( 'Kinetic Curves'!$B$4=4, BU4,IF('Kinetic Curves'!$B$4=3, BP4, 0))))</f>
        <v>-2.0116372853325028E-6</v>
      </c>
      <c r="CC4" s="57">
        <f>IF('Kinetic Curves'!$B$4=6,#REF!,IF('Kinetic Curves'!$B$4=5,#REF!, IF( 'Kinetic Curves'!$B$4=4,BT4, 0)))</f>
        <v>-8.6895836639810307E-10</v>
      </c>
      <c r="CD4" s="57">
        <f>IF('Kinetic Curves'!$B$4=6,#REF!,IF('Kinetic Curves'!$B$4=5,#REF!, 0))</f>
        <v>0</v>
      </c>
      <c r="CE4" s="57">
        <f>IF('Kinetic Curves'!$B$4=6,#REF!,0)</f>
        <v>0</v>
      </c>
      <c r="CF4" s="49"/>
      <c r="CG4" s="76">
        <f>IF(ISBLANK('In Process Calc.'!C4),"",'In Process Calc.'!C4)</f>
        <v>21.199999999953434</v>
      </c>
      <c r="CH4" s="76">
        <f t="shared" ref="CH4:CH17" si="0">$BY$4+$BZ$4*$CG4+$CA$4*$CG4^2+$CB$4*$CG4^3+$CC$4*$CG4^4+$CD$4*$CG4^5+$CE$4*$CG4^6</f>
        <v>-1.4172226835638914E-2</v>
      </c>
      <c r="CI4" s="76">
        <f t="shared" ref="CI4:CI17" si="1">$BY$5+$BZ$5*$CG4+$CA$5*$CG4^2+$CB$5*$CG4^3+$CC$5*$CG4^4+$CD$5*$CG4^5+$CE$5*$CG4^6</f>
        <v>-599.96459545135053</v>
      </c>
      <c r="CJ4" s="76">
        <f t="shared" ref="CJ4:CJ17" si="2">$BY$6+$BZ$6*$CG4+$CA$6*$CG4^2+$CB$6*$CG4^3+$CC$6*$CG4^4+$CD$6*$CG4^5+$CE$6*$CG4^6</f>
        <v>0</v>
      </c>
      <c r="CK4" s="76">
        <f t="shared" ref="CK4:CK17" si="3">$BY$7+$BZ$7*$CG4+$CA$7*$CG4^2+$CB$7*$CG4^3+$CC$7*$CG4^4+$CD$7*$CG4^5+$CE$7*$CG4^6</f>
        <v>-48.028132127670446</v>
      </c>
      <c r="CL4" s="76">
        <f t="shared" ref="CL4:CL17" si="4">$BY$8+$BZ$8*$CG4+$CA$8*$CG4^2+$CB$8*$CG4^3+$CC$8*$CG4^4+$CD$8*$CG4^5+$CE$8*$CG4^6</f>
        <v>0.67494480278808533</v>
      </c>
      <c r="CM4" s="76">
        <f t="shared" ref="CM4:CM17" si="5">$BY$9+$BZ$9*$CG4+$CA$9*$CG4^2+$CB$9*$CG4^3+$CC$9*$CG4^4+$CD$9*$CG4^5+$CE$9*$CG4^6</f>
        <v>0.28247453994255822</v>
      </c>
      <c r="CN4" s="76">
        <f t="shared" ref="CN4:CN17" si="6">$BY$10+$BZ$10*$CG4+$CA$10*$CG4^2+$CB$10*$CG4^3+$CC$10*$CG4^4+$CD$10*$CG4^5+$CE$10*$CG4^6</f>
        <v>0.93554155012980533</v>
      </c>
      <c r="CO4" s="76">
        <f t="shared" ref="CO4:CO17" si="7">$BY$11+$BZ$11*$CG4+$CA$11*$CG4^2+$CB$11*$CG4^3+$CC$11*$CG4^4+$CD$11*$CG4^5+$CE$11*$CG4^6</f>
        <v>0.54226735951548233</v>
      </c>
      <c r="CP4" s="76">
        <f t="shared" ref="CP4:CP17" si="8">$BY$12+$BZ$12*$CG4+$CA$12*$CG4^2+$CB$12*$CG4^3+$CC$12*$CG4^4+$CD$12*$CG4^5+$CE$12*$CG4^6</f>
        <v>-5.8339700809573458E-2</v>
      </c>
      <c r="CQ4" s="76">
        <f t="shared" ref="CQ4:CQ17" si="9">$BY$13+$BZ$13*$CG4+$CA$13*$CG4^2+$CB$13*$CG4^3+$CC$13*$CG4^4+$CD$13*$CG4^5+$CE$13*$CG4^6</f>
        <v>0.33832500390145293</v>
      </c>
      <c r="CR4" s="76">
        <f t="shared" ref="CR4:CR17" si="10">$BY$14+$BZ$14*$CG4+$CA$14*$CG4^2+$CB$14*$CG4^3+$CC$14*$CG4^4+$CD$14*$CG4^5+$CE$14*$CG4^6</f>
        <v>-0.44974356319480463</v>
      </c>
      <c r="CS4" s="76">
        <f t="shared" ref="CS4:CS17" si="11">$BY$15+$BZ$15*$CG4+$CA$15*$CG4^2+$CB$15*$CG4^3+$CC$15*$CG4^4+$CD$15*$CG4^5+$CE$15*$CG4^6</f>
        <v>0.86119672039976469</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0.53486802251060228</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3.866908969617759</v>
      </c>
      <c r="DK4" s="76">
        <f t="shared" ref="DK4:DK17" si="29">$BY$33+$BZ$33*$CG4+$CA$33*$CG4^2+$CB$33*$CG4^3+$CC$33*$CG4^4+$CD$33*$CG4^5+$CE$33*$CG4^6</f>
        <v>4.541853772405851</v>
      </c>
      <c r="DL4" s="76">
        <f t="shared" ref="DL4:DL17" si="30">$BY$34+$BZ$34*$CG4+$CA$34*$CG4^2+$CB$34*$CG4^3+$CC$34*$CG4^4+$CD$34*$CG4^5+$CE$34*$CG4^6</f>
        <v>6.7995736588887681</v>
      </c>
    </row>
    <row r="5" spans="1:116" s="48" customFormat="1" ht="14">
      <c r="A5" s="111">
        <f>IF(ISBLANK('In Process Calc.'!C5),"",'In Process Calc.'!C5)</f>
        <v>48.46666666661622</v>
      </c>
      <c r="B5" s="111">
        <f>IF(ISBLANK('Measured Data'!H9),"",'Measured Data'!H9)</f>
        <v>0.79</v>
      </c>
      <c r="C5" s="111">
        <f>IF(ISBLANK('In Process Calc.'!L5),"",'In Process Calc.'!L5)</f>
        <v>1021.1999999999999</v>
      </c>
      <c r="D5" s="111">
        <f>IF(ISBLANK('In Process Calc.'!M5),"",'In Process Calc.'!M5)</f>
        <v>0</v>
      </c>
      <c r="E5" s="111">
        <f>IF(ISBLANK('In Process Calc.'!N5),"",'In Process Calc.'!N5)</f>
        <v>0</v>
      </c>
      <c r="F5" s="111">
        <f>IF(ISBLANK('In Process Calc.'!O5),"",'In Process Calc.'!O5)</f>
        <v>-1.1655000000000002E-2</v>
      </c>
      <c r="G5" s="111">
        <f>IF(ISBLANK('In Process Calc.'!P5),"",'In Process Calc.'!P5)</f>
        <v>0.5107649999999998</v>
      </c>
      <c r="H5" s="111">
        <f>IF(ISBLANK('In Process Calc.'!Q5),"",'In Process Calc.'!Q5)</f>
        <v>1.9054500000000005</v>
      </c>
      <c r="I5" s="111">
        <f>IF(ISBLANK('In Process Calc.'!R5),"",'In Process Calc.'!R5)</f>
        <v>3.4650000000001485E-3</v>
      </c>
      <c r="J5" s="111">
        <f>IF(ISBLANK('In Process Calc.'!S5),"",'In Process Calc.'!S5)</f>
        <v>-1.9110000000000127E-2</v>
      </c>
      <c r="K5" s="111">
        <f>IF(ISBLANK('In Process Calc.'!T5),"",'In Process Calc.'!T5)</f>
        <v>2.0361132618648101</v>
      </c>
      <c r="L5" s="111">
        <f>IF(ISBLANK('In Process Calc.'!U5),"",'In Process Calc.'!U5)</f>
        <v>-0.50673000000000001</v>
      </c>
      <c r="M5" s="111">
        <f>IF(ISBLANK('In Process Calc.'!V5),"",'In Process Calc.'!V5)</f>
        <v>5.8274999999999633E-2</v>
      </c>
      <c r="N5" s="111">
        <f>IF(ISBLANK('In Process Calc.'!W5),"",'In Process Calc.'!W5)</f>
        <v>0</v>
      </c>
      <c r="O5" s="111">
        <f>IF(ISBLANK('In Process Calc.'!X5),"",'In Process Calc.'!X5)</f>
        <v>0</v>
      </c>
      <c r="P5" s="111">
        <f>IF(ISBLANK('In Process Calc.'!Y5),"",'In Process Calc.'!Y5)</f>
        <v>0</v>
      </c>
      <c r="Q5" s="111">
        <f>IF(ISBLANK('In Process Calc.'!Z5),"",'In Process Calc.'!Z5)</f>
        <v>3.1455373001776206</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4.8523649999999989</v>
      </c>
      <c r="AE5" s="111">
        <f>IF(ISBLANK('In Process Calc.'!AN5),"",'In Process Calc.'!AN5)</f>
        <v>4.8407099999999987</v>
      </c>
      <c r="AF5" s="111">
        <f>IF(ISBLANK('In Process Calc.'!AO5),"",'In Process Calc.'!AO5)</f>
        <v>8.3782800000000002</v>
      </c>
      <c r="AH5" s="111">
        <f>IF(ISBLANK('In Process Calc.'!C5),"",'In Process Calc.'!C5)</f>
        <v>48.46666666661622</v>
      </c>
      <c r="AI5" s="111">
        <f>IF(ISBLANK('Measured Data'!H9),"",'Measured Data'!H9)</f>
        <v>0.79</v>
      </c>
      <c r="AJ5" s="111">
        <f>IF(ISBLANK('In Process Calc.'!L5),"",'In Process Calc.'!L5)</f>
        <v>1021.1999999999999</v>
      </c>
      <c r="AK5" s="111">
        <f>IF(ISBLANK('In Process Calc.'!M5),"",'In Process Calc.'!M5)</f>
        <v>0</v>
      </c>
      <c r="AL5" s="111">
        <f>IF(ISBLANK('In Process Calc.'!N5),"",'In Process Calc.'!N5)</f>
        <v>0</v>
      </c>
      <c r="AM5" s="111">
        <f>IF(ISBLANK('In Process Calc.'!O5),"",'In Process Calc.'!O5)</f>
        <v>-1.1655000000000002E-2</v>
      </c>
      <c r="AN5" s="111">
        <f>IF(ISBLANK('In Process Calc.'!P5),"",'In Process Calc.'!P5)</f>
        <v>0.5107649999999998</v>
      </c>
      <c r="AO5" s="111">
        <f>IF(ISBLANK('In Process Calc.'!Q5),"",'In Process Calc.'!Q5)</f>
        <v>1.9054500000000005</v>
      </c>
      <c r="AP5" s="111">
        <f>IF(ISBLANK('In Process Calc.'!R5),"",'In Process Calc.'!R5)</f>
        <v>3.4650000000001485E-3</v>
      </c>
      <c r="AQ5" s="111">
        <f>IF(ISBLANK('In Process Calc.'!S5),"",'In Process Calc.'!S5)</f>
        <v>-1.9110000000000127E-2</v>
      </c>
      <c r="AR5" s="111">
        <f>IF(ISBLANK('In Process Calc.'!T5),"",'In Process Calc.'!T5)</f>
        <v>2.0361132618648101</v>
      </c>
      <c r="AS5" s="111">
        <f>IF(ISBLANK('In Process Calc.'!U5),"",'In Process Calc.'!U5)</f>
        <v>-0.50673000000000001</v>
      </c>
      <c r="AT5" s="111">
        <f>IF(ISBLANK('In Process Calc.'!V5),"",'In Process Calc.'!V5)</f>
        <v>5.8274999999999633E-2</v>
      </c>
      <c r="AU5" s="111">
        <f>IF(ISBLANK('In Process Calc.'!W5),"",'In Process Calc.'!W5)</f>
        <v>0</v>
      </c>
      <c r="AV5" s="111">
        <f>IF(ISBLANK('In Process Calc.'!X5),"",'In Process Calc.'!X5)</f>
        <v>0</v>
      </c>
      <c r="AW5" s="111">
        <f>IF(ISBLANK('In Process Calc.'!Y5),"",'In Process Calc.'!Y5)</f>
        <v>0</v>
      </c>
      <c r="AX5" s="111">
        <f>IF(ISBLANK('In Process Calc.'!Z5),"",'In Process Calc.'!Z5)</f>
        <v>3.1455373001776206</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4.8523649999999989</v>
      </c>
      <c r="BL5" s="111">
        <f>IF(ISBLANK('In Process Calc.'!AN5),"",'In Process Calc.'!AN5)</f>
        <v>4.8407099999999987</v>
      </c>
      <c r="BM5" s="111">
        <f>IF(ISBLANK('In Process Calc.'!AO5),"",'In Process Calc.'!AO5)</f>
        <v>8.3782800000000002</v>
      </c>
      <c r="BO5" s="54" t="s">
        <v>109</v>
      </c>
      <c r="BP5" s="56">
        <f t="array" ref="BP5:BS5">LINEST($C3:INDEX($C:$C,COUNT($C:$C)+2), $A$3:INDEX($A:$A,COUNT($A:$A)+2)^{1,2,3},TRUE,TRUE)</f>
        <v>-4.9864055860769883E-3</v>
      </c>
      <c r="BQ5" s="56">
        <v>2.233495721424227</v>
      </c>
      <c r="BR5" s="56">
        <v>-128.79772620907457</v>
      </c>
      <c r="BS5" s="56">
        <v>1174.2359938262816</v>
      </c>
      <c r="BT5" s="56">
        <f t="array" ref="BT5:BX5">LINEST($C3:INDEX($C:$C,COUNT($C:$C)+2),$A$3:INDEX($A:$A,COUNT($A:$A)+2)^{1,2,3,4},TRUE,TRUE)</f>
        <v>5.6211393000545342E-7</v>
      </c>
      <c r="BU5" s="56">
        <v>-5.3614897823732778E-3</v>
      </c>
      <c r="BV5" s="56">
        <v>2.3122962926303274</v>
      </c>
      <c r="BW5" s="56">
        <v>-134.20552713848855</v>
      </c>
      <c r="BX5" s="56">
        <v>1236.3352521134852</v>
      </c>
      <c r="BY5" s="57">
        <f>IF('Cumulative Curves'!$B$9=6,#REF!,IF('Cumulative Curves'!$B$9=5,#REF!, IF( 'Cumulative Curves'!$B$9=4, BX5,IF('Cumulative Curves'!$B$9=3, BS5, 0))))</f>
        <v>1174.2359938262816</v>
      </c>
      <c r="BZ5" s="57">
        <f>IF('Cumulative Curves'!$B$9=6,#REF!,IF('Cumulative Curves'!$B$9=5,#REF!, IF( 'Cumulative Curves'!$B$9=4, BW5,IF('Cumulative Curves'!$B$9=3, BR5, 0))))</f>
        <v>-128.79772620907457</v>
      </c>
      <c r="CA5" s="57">
        <f>IF('Cumulative Curves'!$B$9=6,#REF!,IF('Cumulative Curves'!$B$9=5,#REF!, IF( 'Cumulative Curves'!$B$9=4, BV5,IF('Cumulative Curves'!$B$9=3, BQ5, 0))))</f>
        <v>2.233495721424227</v>
      </c>
      <c r="CB5" s="57">
        <f>IF('Cumulative Curves'!$B$9=6,#REF!,IF('Cumulative Curves'!$B$9=5,#REF!, IF( 'Cumulative Curves'!$B$9=4, BU5,IF('Cumulative Curves'!$B$9=3, BP5, 0))))</f>
        <v>-4.9864055860769883E-3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48.46666666661622</v>
      </c>
      <c r="CH5" s="76">
        <f t="shared" si="0"/>
        <v>0.12863032294194252</v>
      </c>
      <c r="CI5" s="76">
        <f t="shared" si="1"/>
        <v>-389.33691043968031</v>
      </c>
      <c r="CJ5" s="76">
        <f t="shared" si="2"/>
        <v>0</v>
      </c>
      <c r="CK5" s="76">
        <f t="shared" si="3"/>
        <v>-237.42126068210419</v>
      </c>
      <c r="CL5" s="76">
        <f t="shared" si="4"/>
        <v>1.4481785466862531</v>
      </c>
      <c r="CM5" s="76">
        <f t="shared" si="5"/>
        <v>-4.6300832860457858E-2</v>
      </c>
      <c r="CN5" s="76">
        <f t="shared" si="6"/>
        <v>0.95948409604782325</v>
      </c>
      <c r="CO5" s="76">
        <f t="shared" si="7"/>
        <v>0.91402708872440341</v>
      </c>
      <c r="CP5" s="76">
        <f t="shared" si="8"/>
        <v>-3.7755504105188929E-2</v>
      </c>
      <c r="CQ5" s="76">
        <f t="shared" si="9"/>
        <v>1.5915420944172951</v>
      </c>
      <c r="CR5" s="76">
        <f t="shared" si="10"/>
        <v>-0.32585812386501301</v>
      </c>
      <c r="CS5" s="76">
        <f t="shared" si="11"/>
        <v>-3.8877248649252238</v>
      </c>
      <c r="CT5" s="76">
        <f t="shared" si="12"/>
        <v>0</v>
      </c>
      <c r="CU5" s="76">
        <f t="shared" si="13"/>
        <v>0</v>
      </c>
      <c r="CV5" s="76">
        <f t="shared" si="14"/>
        <v>0</v>
      </c>
      <c r="CW5" s="76">
        <f t="shared" si="15"/>
        <v>2.1704909080726078</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-3.760608983655541</v>
      </c>
      <c r="DK5" s="76">
        <f t="shared" si="29"/>
        <v>-2.312430436969283</v>
      </c>
      <c r="DL5" s="76">
        <f t="shared" si="30"/>
        <v>-26.521825311198661</v>
      </c>
    </row>
    <row r="6" spans="1:116" s="48" customFormat="1" ht="12">
      <c r="A6" s="111">
        <f>IF(ISBLANK('In Process Calc.'!C6),"",'In Process Calc.'!C6)</f>
        <v>70.96666666661622</v>
      </c>
      <c r="B6" s="111">
        <f>IF(ISBLANK('Measured Data'!H10),"",'Measured Data'!H10)</f>
        <v>1.3430000377655029</v>
      </c>
      <c r="C6" s="111">
        <f>IF(ISBLANK('In Process Calc.'!L6),"",'In Process Calc.'!L6)</f>
        <v>2035.7180708480835</v>
      </c>
      <c r="D6" s="111">
        <f>IF(ISBLANK('In Process Calc.'!M6),"",'In Process Calc.'!M6)</f>
        <v>0</v>
      </c>
      <c r="E6" s="111">
        <f>IF(ISBLANK('In Process Calc.'!N6),"",'In Process Calc.'!N6)</f>
        <v>0</v>
      </c>
      <c r="F6" s="111">
        <f>IF(ISBLANK('In Process Calc.'!O6),"",'In Process Calc.'!O6)</f>
        <v>-7.5488000000000013E-2</v>
      </c>
      <c r="G6" s="111">
        <f>IF(ISBLANK('In Process Calc.'!P6),"",'In Process Calc.'!P6)</f>
        <v>0.68688799999999983</v>
      </c>
      <c r="H6" s="111">
        <f>IF(ISBLANK('In Process Calc.'!Q6),"",'In Process Calc.'!Q6)</f>
        <v>3.3640249999999994</v>
      </c>
      <c r="I6" s="111">
        <f>IF(ISBLANK('In Process Calc.'!R6),"",'In Process Calc.'!R6)</f>
        <v>7.6089000000000406E-2</v>
      </c>
      <c r="J6" s="111">
        <f>IF(ISBLANK('In Process Calc.'!S6),"",'In Process Calc.'!S6)</f>
        <v>0.15175</v>
      </c>
      <c r="K6" s="111">
        <f>IF(ISBLANK('In Process Calc.'!T6),"",'In Process Calc.'!T6)</f>
        <v>4.1004094487096108</v>
      </c>
      <c r="L6" s="111">
        <f>IF(ISBLANK('In Process Calc.'!U6),"",'In Process Calc.'!U6)</f>
        <v>-0.67160799999999998</v>
      </c>
      <c r="M6" s="111">
        <f>IF(ISBLANK('In Process Calc.'!V6),"",'In Process Calc.'!V6)</f>
        <v>0.16523199999999996</v>
      </c>
      <c r="N6" s="111">
        <f>IF(ISBLANK('In Process Calc.'!W6),"",'In Process Calc.'!W6)</f>
        <v>0</v>
      </c>
      <c r="O6" s="111">
        <f>IF(ISBLANK('In Process Calc.'!X6),"",'In Process Calc.'!X6)</f>
        <v>0</v>
      </c>
      <c r="P6" s="111">
        <f>IF(ISBLANK('In Process Calc.'!Y6),"",'In Process Calc.'!Y6)</f>
        <v>0</v>
      </c>
      <c r="Q6" s="111">
        <f>IF(ISBLANK('In Process Calc.'!Z6),"",'In Process Calc.'!Z6)</f>
        <v>5.5706039076376559</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8.6017189999999975</v>
      </c>
      <c r="AE6" s="111">
        <f>IF(ISBLANK('In Process Calc.'!AN6),"",'In Process Calc.'!AN6)</f>
        <v>8.5262309999999975</v>
      </c>
      <c r="AF6" s="111">
        <f>IF(ISBLANK('In Process Calc.'!AO6),"",'In Process Calc.'!AO6)</f>
        <v>16.486868000000001</v>
      </c>
      <c r="AH6" s="111">
        <f>IF(ISBLANK('In Process Calc.'!C6),"",'In Process Calc.'!C6)</f>
        <v>70.96666666661622</v>
      </c>
      <c r="AI6" s="111">
        <f>IF(ISBLANK('Measured Data'!H10),"",'Measured Data'!H10)</f>
        <v>1.3430000377655029</v>
      </c>
      <c r="AJ6" s="111">
        <f>IF(ISBLANK('In Process Calc.'!L6),"",'In Process Calc.'!L6)</f>
        <v>2035.7180708480835</v>
      </c>
      <c r="AK6" s="111">
        <f>IF(ISBLANK('In Process Calc.'!M6),"",'In Process Calc.'!M6)</f>
        <v>0</v>
      </c>
      <c r="AL6" s="111">
        <f>IF(ISBLANK('In Process Calc.'!N6),"",'In Process Calc.'!N6)</f>
        <v>0</v>
      </c>
      <c r="AM6" s="111">
        <f>IF(ISBLANK('In Process Calc.'!O6),"",'In Process Calc.'!O6)</f>
        <v>-7.5488000000000013E-2</v>
      </c>
      <c r="AN6" s="111">
        <f>IF(ISBLANK('In Process Calc.'!P6),"",'In Process Calc.'!P6)</f>
        <v>0.68688799999999983</v>
      </c>
      <c r="AO6" s="111">
        <f>IF(ISBLANK('In Process Calc.'!Q6),"",'In Process Calc.'!Q6)</f>
        <v>3.3640249999999994</v>
      </c>
      <c r="AP6" s="111">
        <f>IF(ISBLANK('In Process Calc.'!R6),"",'In Process Calc.'!R6)</f>
        <v>7.6089000000000406E-2</v>
      </c>
      <c r="AQ6" s="111">
        <f>IF(ISBLANK('In Process Calc.'!S6),"",'In Process Calc.'!S6)</f>
        <v>0.15175</v>
      </c>
      <c r="AR6" s="111">
        <f>IF(ISBLANK('In Process Calc.'!T6),"",'In Process Calc.'!T6)</f>
        <v>4.1004094487096108</v>
      </c>
      <c r="AS6" s="111">
        <f>IF(ISBLANK('In Process Calc.'!U6),"",'In Process Calc.'!U6)</f>
        <v>-0.67160799999999998</v>
      </c>
      <c r="AT6" s="111">
        <f>IF(ISBLANK('In Process Calc.'!V6),"",'In Process Calc.'!V6)</f>
        <v>0.16523199999999996</v>
      </c>
      <c r="AU6" s="111">
        <f>IF(ISBLANK('In Process Calc.'!W6),"",'In Process Calc.'!W6)</f>
        <v>0</v>
      </c>
      <c r="AV6" s="111">
        <f>IF(ISBLANK('In Process Calc.'!X6),"",'In Process Calc.'!X6)</f>
        <v>0</v>
      </c>
      <c r="AW6" s="111">
        <f>IF(ISBLANK('In Process Calc.'!Y6),"",'In Process Calc.'!Y6)</f>
        <v>0</v>
      </c>
      <c r="AX6" s="111">
        <f>IF(ISBLANK('In Process Calc.'!Z6),"",'In Process Calc.'!Z6)</f>
        <v>5.5706039076376559</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8.6017189999999975</v>
      </c>
      <c r="BL6" s="111">
        <f>IF(ISBLANK('In Process Calc.'!AN6),"",'In Process Calc.'!AN6)</f>
        <v>8.5262309999999975</v>
      </c>
      <c r="BM6" s="111">
        <f>IF(ISBLANK('In Process Calc.'!AO6),"",'In Process Calc.'!AO6)</f>
        <v>16.486868000000001</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70.96666666661622</v>
      </c>
      <c r="CH6" s="76">
        <f t="shared" si="0"/>
        <v>1.0953123350449647</v>
      </c>
      <c r="CI6" s="76">
        <f t="shared" si="1"/>
        <v>1500.1962815361965</v>
      </c>
      <c r="CJ6" s="76">
        <f t="shared" si="2"/>
        <v>0</v>
      </c>
      <c r="CK6" s="76">
        <f t="shared" si="3"/>
        <v>-232.8978289753355</v>
      </c>
      <c r="CL6" s="76">
        <f t="shared" si="4"/>
        <v>0.9261932774892021</v>
      </c>
      <c r="CM6" s="76">
        <f t="shared" si="5"/>
        <v>-0.34177576167490958</v>
      </c>
      <c r="CN6" s="76">
        <f t="shared" si="6"/>
        <v>0.85270009590076068</v>
      </c>
      <c r="CO6" s="76">
        <f t="shared" si="7"/>
        <v>0.50449976544246344</v>
      </c>
      <c r="CP6" s="76">
        <f t="shared" si="8"/>
        <v>6.6286724709000031E-2</v>
      </c>
      <c r="CQ6" s="76">
        <f t="shared" si="9"/>
        <v>3.9006189224982202</v>
      </c>
      <c r="CR6" s="76">
        <f t="shared" si="10"/>
        <v>-0.3944631433872246</v>
      </c>
      <c r="CS6" s="76">
        <f t="shared" si="11"/>
        <v>-7.5384719464276086</v>
      </c>
      <c r="CT6" s="76">
        <f t="shared" si="12"/>
        <v>0</v>
      </c>
      <c r="CU6" s="76">
        <f t="shared" si="13"/>
        <v>0</v>
      </c>
      <c r="CV6" s="76">
        <f t="shared" si="14"/>
        <v>0</v>
      </c>
      <c r="CW6" s="76">
        <f t="shared" si="15"/>
        <v>5.2139692296998152</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-10.027346073400906</v>
      </c>
      <c r="DK6" s="76">
        <f t="shared" si="29"/>
        <v>-9.1011527959117018</v>
      </c>
      <c r="DL6" s="76">
        <f t="shared" si="30"/>
        <v>-47.667086130192608</v>
      </c>
    </row>
    <row r="7" spans="1:116" s="48" customFormat="1" ht="12">
      <c r="A7" s="111">
        <f>IF(ISBLANK('In Process Calc.'!C7),"",'In Process Calc.'!C7)</f>
        <v>95.449999999953434</v>
      </c>
      <c r="B7" s="111">
        <f>IF(ISBLANK('Measured Data'!H11),"",'Measured Data'!H11)</f>
        <v>2.6090999675750735</v>
      </c>
      <c r="C7" s="111">
        <f>IF(ISBLANK('In Process Calc.'!L7),"",'In Process Calc.'!L7)</f>
        <v>4371.7850396572121</v>
      </c>
      <c r="D7" s="111">
        <f>IF(ISBLANK('In Process Calc.'!M7),"",'In Process Calc.'!M7)</f>
        <v>0</v>
      </c>
      <c r="E7" s="111">
        <f>IF(ISBLANK('In Process Calc.'!N7),"",'In Process Calc.'!N7)</f>
        <v>38.541310000000003</v>
      </c>
      <c r="F7" s="111">
        <f>IF(ISBLANK('In Process Calc.'!O7),"",'In Process Calc.'!O7)</f>
        <v>-0.371778</v>
      </c>
      <c r="G7" s="111">
        <f>IF(ISBLANK('In Process Calc.'!P7),"",'In Process Calc.'!P7)</f>
        <v>-0.15153600000000012</v>
      </c>
      <c r="H7" s="111">
        <f>IF(ISBLANK('In Process Calc.'!Q7),"",'In Process Calc.'!Q7)</f>
        <v>1.2412779999999999</v>
      </c>
      <c r="I7" s="111">
        <f>IF(ISBLANK('In Process Calc.'!R7),"",'In Process Calc.'!R7)</f>
        <v>0.33073200000000041</v>
      </c>
      <c r="J7" s="111">
        <f>IF(ISBLANK('In Process Calc.'!S7),"",'In Process Calc.'!S7)</f>
        <v>0.38210099999999991</v>
      </c>
      <c r="K7" s="111">
        <f>IF(ISBLANK('In Process Calc.'!T7),"",'In Process Calc.'!T7)</f>
        <v>7.9942980563749506</v>
      </c>
      <c r="L7" s="111">
        <f>IF(ISBLANK('In Process Calc.'!U7),"",'In Process Calc.'!U7)</f>
        <v>-1.2059280000000001</v>
      </c>
      <c r="M7" s="111">
        <f>IF(ISBLANK('In Process Calc.'!V7),"",'In Process Calc.'!V7)</f>
        <v>-7.2246520000000016</v>
      </c>
      <c r="N7" s="111">
        <f>IF(ISBLANK('In Process Calc.'!W7),"",'In Process Calc.'!W7)</f>
        <v>0</v>
      </c>
      <c r="O7" s="111">
        <f>IF(ISBLANK('In Process Calc.'!X7),"",'In Process Calc.'!X7)</f>
        <v>0</v>
      </c>
      <c r="P7" s="111">
        <f>IF(ISBLANK('In Process Calc.'!Y7),"",'In Process Calc.'!Y7)</f>
        <v>0</v>
      </c>
      <c r="Q7" s="111">
        <f>IF(ISBLANK('In Process Calc.'!Z7),"",'In Process Calc.'!Z7)</f>
        <v>9.0244227353463593</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-7.0369400000000022</v>
      </c>
      <c r="AE7" s="111">
        <f>IF(ISBLANK('In Process Calc.'!AN7),"",'In Process Calc.'!AN7)</f>
        <v>-7.4087180000000021</v>
      </c>
      <c r="AF7" s="111">
        <f>IF(ISBLANK('In Process Calc.'!AO7),"",'In Process Calc.'!AO7)</f>
        <v>-33.366136000000012</v>
      </c>
      <c r="AH7" s="111">
        <f>IF(ISBLANK('In Process Calc.'!C7),"",'In Process Calc.'!C7)</f>
        <v>95.449999999953434</v>
      </c>
      <c r="AI7" s="111">
        <f>IF(ISBLANK('Measured Data'!H11),"",'Measured Data'!H11)</f>
        <v>2.6090999675750735</v>
      </c>
      <c r="AJ7" s="111">
        <f>IF(ISBLANK('In Process Calc.'!L7),"",'In Process Calc.'!L7)</f>
        <v>4371.7850396572121</v>
      </c>
      <c r="AK7" s="111">
        <f>IF(ISBLANK('In Process Calc.'!M7),"",'In Process Calc.'!M7)</f>
        <v>0</v>
      </c>
      <c r="AL7" s="111">
        <f>IF(ISBLANK('In Process Calc.'!N7),"",'In Process Calc.'!N7)</f>
        <v>38.541310000000003</v>
      </c>
      <c r="AM7" s="111">
        <f>IF(ISBLANK('In Process Calc.'!O7),"",'In Process Calc.'!O7)</f>
        <v>-0.371778</v>
      </c>
      <c r="AN7" s="111">
        <f>IF(ISBLANK('In Process Calc.'!P7),"",'In Process Calc.'!P7)</f>
        <v>-0.15153600000000012</v>
      </c>
      <c r="AO7" s="111">
        <f>IF(ISBLANK('In Process Calc.'!Q7),"",'In Process Calc.'!Q7)</f>
        <v>1.2412779999999999</v>
      </c>
      <c r="AP7" s="111">
        <f>IF(ISBLANK('In Process Calc.'!R7),"",'In Process Calc.'!R7)</f>
        <v>0.33073200000000041</v>
      </c>
      <c r="AQ7" s="111">
        <f>IF(ISBLANK('In Process Calc.'!S7),"",'In Process Calc.'!S7)</f>
        <v>0.38210099999999991</v>
      </c>
      <c r="AR7" s="111">
        <f>IF(ISBLANK('In Process Calc.'!T7),"",'In Process Calc.'!T7)</f>
        <v>7.9942980563749506</v>
      </c>
      <c r="AS7" s="111">
        <f>IF(ISBLANK('In Process Calc.'!U7),"",'In Process Calc.'!U7)</f>
        <v>-1.2059280000000001</v>
      </c>
      <c r="AT7" s="111">
        <f>IF(ISBLANK('In Process Calc.'!V7),"",'In Process Calc.'!V7)</f>
        <v>-7.2246520000000016</v>
      </c>
      <c r="AU7" s="111">
        <f>IF(ISBLANK('In Process Calc.'!W7),"",'In Process Calc.'!W7)</f>
        <v>0</v>
      </c>
      <c r="AV7" s="111">
        <f>IF(ISBLANK('In Process Calc.'!X7),"",'In Process Calc.'!X7)</f>
        <v>0</v>
      </c>
      <c r="AW7" s="111">
        <f>IF(ISBLANK('In Process Calc.'!Y7),"",'In Process Calc.'!Y7)</f>
        <v>0</v>
      </c>
      <c r="AX7" s="111">
        <f>IF(ISBLANK('In Process Calc.'!Z7),"",'In Process Calc.'!Z7)</f>
        <v>9.0244227353463593</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-7.0369400000000022</v>
      </c>
      <c r="BL7" s="111">
        <f>IF(ISBLANK('In Process Calc.'!AN7),"",'In Process Calc.'!AN7)</f>
        <v>-7.4087180000000021</v>
      </c>
      <c r="BM7" s="111">
        <f>IF(ISBLANK('In Process Calc.'!AO7),"",'In Process Calc.'!AO7)</f>
        <v>-33.366136000000012</v>
      </c>
      <c r="BO7" s="54" t="s">
        <v>104</v>
      </c>
      <c r="BP7" s="56">
        <f t="array" ref="BP7:BS7">LINEST($E3:INDEX($E:$E,COUNT($E:$E)+2),$A$3:INDEX($A:$A,COUNT($A:$A)+2)^{1,2,3},TRUE,TRUE)</f>
        <v>-2.0375128625924136E-4</v>
      </c>
      <c r="BQ7" s="56">
        <v>0.17226439675315028</v>
      </c>
      <c r="BR7" s="56">
        <v>-18.167502107011181</v>
      </c>
      <c r="BS7" s="56">
        <v>261.64177039935475</v>
      </c>
      <c r="BT7" s="56">
        <f t="array" ref="BT7:BX7">LINEST($E3:INDEX($E:$E,COUNT($E:$E)+2),$A$3:INDEX($A:$A,COUNT($A:$A)+2)^{1,2,3,4},TRUE,TRUE)</f>
        <v>-2.727146834727027E-6</v>
      </c>
      <c r="BU7" s="56">
        <v>1.616003791996203E-3</v>
      </c>
      <c r="BV7" s="56">
        <v>-0.2100437384274001</v>
      </c>
      <c r="BW7" s="56">
        <v>8.0689357399244379</v>
      </c>
      <c r="BX7" s="56">
        <v>-39.638426793386316</v>
      </c>
      <c r="BY7" s="57">
        <f>IF('Cumulative Curves'!$B$5=6,#REF!,IF('Cumulative Curves'!$B$5=5,#REF!, IF( 'Cumulative Curves'!$B$5=4, BX7,IF('Cumulative Curves'!$B$5=3, BS7, 0))))</f>
        <v>261.64177039935475</v>
      </c>
      <c r="BZ7" s="57">
        <f>IF('Cumulative Curves'!$B$5=6,#REF!,IF('Cumulative Curves'!$B$5=5,#REF!, IF( 'Cumulative Curves'!$B$5=4, BW7,IF('Cumulative Curves'!$B$5=3, BR7, 0))))</f>
        <v>-18.167502107011181</v>
      </c>
      <c r="CA7" s="57">
        <f>IF('Cumulative Curves'!$B$5=6,#REF!,IF('Cumulative Curves'!$B$5=5,#REF!, IF( 'Cumulative Curves'!$B$5=4, BV7,IF('Cumulative Curves'!$B$5=3, BQ7, 0))))</f>
        <v>0.17226439675315028</v>
      </c>
      <c r="CB7" s="57">
        <f>IF('Cumulative Curves'!$B$5=6,#REF!,IF('Cumulative Curves'!$B$5=5,#REF!, IF( 'Cumulative Curves'!$B$5=4, BU7,IF('Cumulative Curves'!$B$5=3, BP7, 0))))</f>
        <v>-2.0375128625924136E-4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95.449999999953434</v>
      </c>
      <c r="CH7" s="76">
        <f t="shared" si="0"/>
        <v>2.8298782949394119</v>
      </c>
      <c r="CI7" s="76">
        <f t="shared" si="1"/>
        <v>4892.9472393408905</v>
      </c>
      <c r="CJ7" s="76">
        <f t="shared" si="2"/>
        <v>0</v>
      </c>
      <c r="CK7" s="76">
        <f t="shared" si="3"/>
        <v>-80.182126908792782</v>
      </c>
      <c r="CL7" s="76">
        <f t="shared" si="4"/>
        <v>-0.53874793803885712</v>
      </c>
      <c r="CM7" s="76">
        <f t="shared" si="5"/>
        <v>-0.65943197245599816</v>
      </c>
      <c r="CN7" s="76">
        <f t="shared" si="6"/>
        <v>0.94740115973479977</v>
      </c>
      <c r="CO7" s="76">
        <f t="shared" si="7"/>
        <v>-0.30646698050663057</v>
      </c>
      <c r="CP7" s="76">
        <f t="shared" si="8"/>
        <v>0.24802672403231826</v>
      </c>
      <c r="CQ7" s="76">
        <f t="shared" si="9"/>
        <v>8.1012475136994109</v>
      </c>
      <c r="CR7" s="76">
        <f t="shared" si="10"/>
        <v>-1.0411398340708966</v>
      </c>
      <c r="CS7" s="76">
        <f t="shared" si="11"/>
        <v>-11.09322732245764</v>
      </c>
      <c r="CT7" s="76">
        <f t="shared" si="12"/>
        <v>0</v>
      </c>
      <c r="CU7" s="76">
        <f t="shared" si="13"/>
        <v>0</v>
      </c>
      <c r="CV7" s="76">
        <f t="shared" si="14"/>
        <v>0</v>
      </c>
      <c r="CW7" s="76">
        <f t="shared" si="15"/>
        <v>9.9509796748247261</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-16.387993225285939</v>
      </c>
      <c r="DK7" s="76">
        <f t="shared" si="29"/>
        <v>-16.926741163324799</v>
      </c>
      <c r="DL7" s="76">
        <f t="shared" si="30"/>
        <v>-64.25985094671131</v>
      </c>
    </row>
    <row r="8" spans="1:116" s="48" customFormat="1" ht="12">
      <c r="A8" s="111">
        <f>IF(ISBLANK('In Process Calc.'!C8),"",'In Process Calc.'!C8)</f>
        <v>115.8833333333605</v>
      </c>
      <c r="B8" s="111">
        <f>IF(ISBLANK('Measured Data'!H12),"",'Measured Data'!H12)</f>
        <v>3.9289001060485846</v>
      </c>
      <c r="C8" s="111">
        <f>IF(ISBLANK('In Process Calc.'!L8),"",'In Process Calc.'!L8)</f>
        <v>6873.0426911666036</v>
      </c>
      <c r="D8" s="111">
        <f>IF(ISBLANK('In Process Calc.'!M8),"",'In Process Calc.'!M8)</f>
        <v>0</v>
      </c>
      <c r="E8" s="111">
        <f>IF(ISBLANK('In Process Calc.'!N8),"",'In Process Calc.'!N8)</f>
        <v>140.58590962962964</v>
      </c>
      <c r="F8" s="111">
        <f>IF(ISBLANK('In Process Calc.'!O8),"",'In Process Calc.'!O8)</f>
        <v>-0.97580677777777769</v>
      </c>
      <c r="G8" s="111">
        <f>IF(ISBLANK('In Process Calc.'!P8),"",'In Process Calc.'!P8)</f>
        <v>-0.69099285185185233</v>
      </c>
      <c r="H8" s="111">
        <f>IF(ISBLANK('In Process Calc.'!Q8),"",'In Process Calc.'!Q8)</f>
        <v>-0.32574733333333317</v>
      </c>
      <c r="I8" s="111">
        <f>IF(ISBLANK('In Process Calc.'!R8),"",'In Process Calc.'!R8)</f>
        <v>-7.3289185185185068E-2</v>
      </c>
      <c r="J8" s="111">
        <f>IF(ISBLANK('In Process Calc.'!S8),"",'In Process Calc.'!S8)</f>
        <v>0.46410481481481453</v>
      </c>
      <c r="K8" s="111">
        <f>IF(ISBLANK('In Process Calc.'!T8),"",'In Process Calc.'!T8)</f>
        <v>12.867750240484616</v>
      </c>
      <c r="L8" s="111">
        <f>IF(ISBLANK('In Process Calc.'!U8),"",'In Process Calc.'!U8)</f>
        <v>-1.7975822222222222</v>
      </c>
      <c r="M8" s="111">
        <f>IF(ISBLANK('In Process Calc.'!V8),"",'In Process Calc.'!V8)</f>
        <v>-13.546547777777782</v>
      </c>
      <c r="N8" s="111">
        <f>IF(ISBLANK('In Process Calc.'!W8),"",'In Process Calc.'!W8)</f>
        <v>0</v>
      </c>
      <c r="O8" s="111">
        <f>IF(ISBLANK('In Process Calc.'!X8),"",'In Process Calc.'!X8)</f>
        <v>0</v>
      </c>
      <c r="P8" s="111">
        <f>IF(ISBLANK('In Process Calc.'!Y8),"",'In Process Calc.'!Y8)</f>
        <v>0</v>
      </c>
      <c r="Q8" s="111">
        <f>IF(ISBLANK('In Process Calc.'!Z8),"",'In Process Calc.'!Z8)</f>
        <v>12.624469607262681</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-20.678064629629638</v>
      </c>
      <c r="AE8" s="111">
        <f>IF(ISBLANK('In Process Calc.'!AN8),"",'In Process Calc.'!AN8)</f>
        <v>-21.653871407407415</v>
      </c>
      <c r="AF8" s="111">
        <f>IF(ISBLANK('In Process Calc.'!AO8),"",'In Process Calc.'!AO8)</f>
        <v>-76.750703962963001</v>
      </c>
      <c r="AH8" s="111">
        <f>IF(ISBLANK('In Process Calc.'!C8),"",'In Process Calc.'!C8)</f>
        <v>115.8833333333605</v>
      </c>
      <c r="AI8" s="111">
        <f>IF(ISBLANK('Measured Data'!H12),"",'Measured Data'!H12)</f>
        <v>3.9289001060485846</v>
      </c>
      <c r="AJ8" s="111">
        <f>IF(ISBLANK('In Process Calc.'!L8),"",'In Process Calc.'!L8)</f>
        <v>6873.0426911666036</v>
      </c>
      <c r="AK8" s="111">
        <f>IF(ISBLANK('In Process Calc.'!M8),"",'In Process Calc.'!M8)</f>
        <v>0</v>
      </c>
      <c r="AL8" s="111">
        <f>IF(ISBLANK('In Process Calc.'!N8),"",'In Process Calc.'!N8)</f>
        <v>140.58590962962964</v>
      </c>
      <c r="AM8" s="111">
        <f>IF(ISBLANK('In Process Calc.'!O8),"",'In Process Calc.'!O8)</f>
        <v>-0.97580677777777769</v>
      </c>
      <c r="AN8" s="111">
        <f>IF(ISBLANK('In Process Calc.'!P8),"",'In Process Calc.'!P8)</f>
        <v>-0.69099285185185233</v>
      </c>
      <c r="AO8" s="111">
        <f>IF(ISBLANK('In Process Calc.'!Q8),"",'In Process Calc.'!Q8)</f>
        <v>-0.32574733333333317</v>
      </c>
      <c r="AP8" s="111">
        <f>IF(ISBLANK('In Process Calc.'!R8),"",'In Process Calc.'!R8)</f>
        <v>-7.3289185185185068E-2</v>
      </c>
      <c r="AQ8" s="111">
        <f>IF(ISBLANK('In Process Calc.'!S8),"",'In Process Calc.'!S8)</f>
        <v>0.46410481481481453</v>
      </c>
      <c r="AR8" s="111">
        <f>IF(ISBLANK('In Process Calc.'!T8),"",'In Process Calc.'!T8)</f>
        <v>12.867750240484616</v>
      </c>
      <c r="AS8" s="111">
        <f>IF(ISBLANK('In Process Calc.'!U8),"",'In Process Calc.'!U8)</f>
        <v>-1.7975822222222222</v>
      </c>
      <c r="AT8" s="111">
        <f>IF(ISBLANK('In Process Calc.'!V8),"",'In Process Calc.'!V8)</f>
        <v>-13.546547777777782</v>
      </c>
      <c r="AU8" s="111">
        <f>IF(ISBLANK('In Process Calc.'!W8),"",'In Process Calc.'!W8)</f>
        <v>0</v>
      </c>
      <c r="AV8" s="111">
        <f>IF(ISBLANK('In Process Calc.'!X8),"",'In Process Calc.'!X8)</f>
        <v>0</v>
      </c>
      <c r="AW8" s="111">
        <f>IF(ISBLANK('In Process Calc.'!Y8),"",'In Process Calc.'!Y8)</f>
        <v>0</v>
      </c>
      <c r="AX8" s="111">
        <f>IF(ISBLANK('In Process Calc.'!Z8),"",'In Process Calc.'!Z8)</f>
        <v>12.624469607262681</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-20.678064629629638</v>
      </c>
      <c r="BL8" s="111">
        <f>IF(ISBLANK('In Process Calc.'!AN8),"",'In Process Calc.'!AN8)</f>
        <v>-21.653871407407415</v>
      </c>
      <c r="BM8" s="111">
        <f>IF(ISBLANK('In Process Calc.'!AO8),"",'In Process Calc.'!AO8)</f>
        <v>-76.750703962963001</v>
      </c>
      <c r="BO8" s="54" t="s">
        <v>289</v>
      </c>
      <c r="BP8" s="56">
        <f t="array" ref="BP8:BS8">LINEST($AM3:INDEX($AM:$AM,COUNT($AM:$AM)+2),$AH$3:INDEX($AH:$AH,COUNT($AH:$AH)+2)^{1,2,3},TRUE,TRUE)</f>
        <v>3.4510928358414644E-6</v>
      </c>
      <c r="BQ8" s="56">
        <v>-1.5213243099924342E-3</v>
      </c>
      <c r="BR8" s="56">
        <v>0.12114008689263241</v>
      </c>
      <c r="BS8" s="56">
        <v>-1.2423634957296485</v>
      </c>
      <c r="BT8" s="56">
        <f t="array" ref="BT8:BX8">LINEST($AM3:INDEX($AM:$AM,COUNT($AM:$AM)+2),$AH$3:INDEX($AH:$AH,COUNT($AH:$AH)+2)^{1,2,3,4},TRUE,TRUE)</f>
        <v>8.8907101040918563E-10</v>
      </c>
      <c r="BU8" s="56">
        <v>2.8578385726240008E-6</v>
      </c>
      <c r="BV8" s="56">
        <v>-1.396688894068213E-3</v>
      </c>
      <c r="BW8" s="56">
        <v>0.11258680475575476</v>
      </c>
      <c r="BX8" s="56">
        <v>-1.1441438157609887</v>
      </c>
      <c r="BY8" s="57">
        <f>IF('Cumulative Curves'!$B$4=6,#REF!,IF('Cumulative Curves'!$B$4=5,#REF!, IF( 'Cumulative Curves'!$B$4=4, BX8,IF('Cumulative Curves'!$B$4=3, BS8, 0))))</f>
        <v>-1.2423634957296485</v>
      </c>
      <c r="BZ8" s="57">
        <f>IF('Cumulative Curves'!$B$4=6,#REF!,IF('Cumulative Curves'!$B$4=5,#REF!, IF( 'Cumulative Curves'!$B$4=4, BW8,IF('Cumulative Curves'!$B$4=3, BR8, 0))))</f>
        <v>0.12114008689263241</v>
      </c>
      <c r="CA8" s="57">
        <f>IF('Cumulative Curves'!$B$4=6,#REF!,IF('Cumulative Curves'!$B$4=5,#REF!, IF( 'Cumulative Curves'!$B$4=4, BV8,IF('Cumulative Curves'!$B$4=3, BQ8, 0))))</f>
        <v>-1.5213243099924342E-3</v>
      </c>
      <c r="CB8" s="57">
        <f>IF('Cumulative Curves'!$B$4=6,#REF!,IF('Cumulative Curves'!$B$4=5,#REF!, IF( 'Cumulative Curves'!$B$4=4, BU8,IF('Cumulative Curves'!$B$4=3, BP8, 0))))</f>
        <v>3.4510928358414644E-6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115.8833333333605</v>
      </c>
      <c r="CH8" s="76">
        <f t="shared" si="0"/>
        <v>4.6799451352079897</v>
      </c>
      <c r="CI8" s="76">
        <f t="shared" si="1"/>
        <v>8482.4215296594721</v>
      </c>
      <c r="CJ8" s="76">
        <f t="shared" si="2"/>
        <v>0</v>
      </c>
      <c r="CK8" s="76">
        <f t="shared" si="3"/>
        <v>152.58456687617843</v>
      </c>
      <c r="CL8" s="76">
        <f t="shared" si="4"/>
        <v>-2.2634697930361138</v>
      </c>
      <c r="CM8" s="76">
        <f t="shared" si="5"/>
        <v>-0.90066798767947742</v>
      </c>
      <c r="CN8" s="76">
        <f t="shared" si="6"/>
        <v>1.3633757602109933</v>
      </c>
      <c r="CO8" s="76">
        <f t="shared" si="7"/>
        <v>-1.0583600345236064</v>
      </c>
      <c r="CP8" s="76">
        <f t="shared" si="8"/>
        <v>0.43923398592327417</v>
      </c>
      <c r="CQ8" s="76">
        <f t="shared" si="9"/>
        <v>13.135927201784792</v>
      </c>
      <c r="CR8" s="76">
        <f t="shared" si="10"/>
        <v>-2.0072676981368178</v>
      </c>
      <c r="CS8" s="76">
        <f t="shared" si="11"/>
        <v>-13.623377480702988</v>
      </c>
      <c r="CT8" s="76">
        <f t="shared" si="12"/>
        <v>0</v>
      </c>
      <c r="CU8" s="76">
        <f t="shared" si="13"/>
        <v>0</v>
      </c>
      <c r="CV8" s="76">
        <f t="shared" si="14"/>
        <v>0</v>
      </c>
      <c r="CW8" s="76">
        <f t="shared" si="15"/>
        <v>14.434485981703567</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-21.018868711384791</v>
      </c>
      <c r="DK8" s="76">
        <f t="shared" si="29"/>
        <v>-23.28233850442091</v>
      </c>
      <c r="DL8" s="76">
        <f t="shared" si="30"/>
        <v>-73.066575647284239</v>
      </c>
    </row>
    <row r="9" spans="1:116" s="48" customFormat="1" ht="12">
      <c r="A9" s="111">
        <f>IF(ISBLANK('In Process Calc.'!C9),"",'In Process Calc.'!C9)</f>
        <v>141.08333333325572</v>
      </c>
      <c r="B9" s="111">
        <f>IF(ISBLANK('Measured Data'!H13),"",'Measured Data'!H13)</f>
        <v>6.4754999710083014</v>
      </c>
      <c r="C9" s="111">
        <f>IF(ISBLANK('In Process Calc.'!L9),"",'In Process Calc.'!L9)</f>
        <v>11714.652945386082</v>
      </c>
      <c r="D9" s="111">
        <f>IF(ISBLANK('In Process Calc.'!M9),"",'In Process Calc.'!M9)</f>
        <v>0</v>
      </c>
      <c r="E9" s="111">
        <f>IF(ISBLANK('In Process Calc.'!N9),"",'In Process Calc.'!N9)</f>
        <v>367.41201777777781</v>
      </c>
      <c r="F9" s="111">
        <f>IF(ISBLANK('In Process Calc.'!O9),"",'In Process Calc.'!O9)</f>
        <v>-2.5364640000000001</v>
      </c>
      <c r="G9" s="111">
        <f>IF(ISBLANK('In Process Calc.'!P9),"",'In Process Calc.'!P9)</f>
        <v>-1.7317006666666663</v>
      </c>
      <c r="H9" s="111">
        <f>IF(ISBLANK('In Process Calc.'!Q9),"",'In Process Calc.'!Q9)</f>
        <v>-0.83796922222222425</v>
      </c>
      <c r="I9" s="111">
        <f>IF(ISBLANK('In Process Calc.'!R9),"",'In Process Calc.'!R9)</f>
        <v>-0.82828455555555602</v>
      </c>
      <c r="J9" s="111">
        <f>IF(ISBLANK('In Process Calc.'!S9),"",'In Process Calc.'!S9)</f>
        <v>0.64156177777777768</v>
      </c>
      <c r="K9" s="111">
        <f>IF(ISBLANK('In Process Calc.'!T9),"",'In Process Calc.'!T9)</f>
        <v>20.620079823926854</v>
      </c>
      <c r="L9" s="111">
        <f>IF(ISBLANK('In Process Calc.'!U9),"",'In Process Calc.'!U9)</f>
        <v>-2.9726013333333334</v>
      </c>
      <c r="M9" s="111">
        <f>IF(ISBLANK('In Process Calc.'!V9),"",'In Process Calc.'!V9)</f>
        <v>-19.842863333333334</v>
      </c>
      <c r="N9" s="111">
        <f>IF(ISBLANK('In Process Calc.'!W9),"",'In Process Calc.'!W9)</f>
        <v>0</v>
      </c>
      <c r="O9" s="111">
        <f>IF(ISBLANK('In Process Calc.'!X9),"",'In Process Calc.'!X9)</f>
        <v>0</v>
      </c>
      <c r="P9" s="111">
        <f>IF(ISBLANK('In Process Calc.'!Y9),"",'In Process Calc.'!Y9)</f>
        <v>0</v>
      </c>
      <c r="Q9" s="111">
        <f>IF(ISBLANK('In Process Calc.'!Z9),"",'In Process Calc.'!Z9)</f>
        <v>18.566434774028025</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-36.472432111111118</v>
      </c>
      <c r="AE9" s="111">
        <f>IF(ISBLANK('In Process Calc.'!AN9),"",'In Process Calc.'!AN9)</f>
        <v>-39.00889611111112</v>
      </c>
      <c r="AF9" s="111">
        <f>IF(ISBLANK('In Process Calc.'!AO9),"",'In Process Calc.'!AO9)</f>
        <v>-119.67377977777778</v>
      </c>
      <c r="AH9" s="111">
        <f>IF(ISBLANK('In Process Calc.'!C9),"",'In Process Calc.'!C9)</f>
        <v>141.08333333325572</v>
      </c>
      <c r="AI9" s="111">
        <f>IF(ISBLANK('Measured Data'!H13),"",'Measured Data'!H13)</f>
        <v>6.4754999710083014</v>
      </c>
      <c r="AJ9" s="111">
        <f>IF(ISBLANK('In Process Calc.'!L9),"",'In Process Calc.'!L9)</f>
        <v>11714.652945386082</v>
      </c>
      <c r="AK9" s="111">
        <f>IF(ISBLANK('In Process Calc.'!M9),"",'In Process Calc.'!M9)</f>
        <v>0</v>
      </c>
      <c r="AL9" s="111">
        <f>IF(ISBLANK('In Process Calc.'!N9),"",'In Process Calc.'!N9)</f>
        <v>367.41201777777781</v>
      </c>
      <c r="AM9" s="111">
        <f>IF(ISBLANK('In Process Calc.'!O9),"",'In Process Calc.'!O9)</f>
        <v>-2.5364640000000001</v>
      </c>
      <c r="AN9" s="111">
        <f>IF(ISBLANK('In Process Calc.'!P9),"",'In Process Calc.'!P9)</f>
        <v>-1.7317006666666663</v>
      </c>
      <c r="AO9" s="111">
        <f>IF(ISBLANK('In Process Calc.'!Q9),"",'In Process Calc.'!Q9)</f>
        <v>-0.83796922222222425</v>
      </c>
      <c r="AP9" s="111">
        <f>IF(ISBLANK('In Process Calc.'!R9),"",'In Process Calc.'!R9)</f>
        <v>-0.82828455555555602</v>
      </c>
      <c r="AQ9" s="111">
        <f>IF(ISBLANK('In Process Calc.'!S9),"",'In Process Calc.'!S9)</f>
        <v>0.64156177777777768</v>
      </c>
      <c r="AR9" s="111">
        <f>IF(ISBLANK('In Process Calc.'!T9),"",'In Process Calc.'!T9)</f>
        <v>20.620079823926854</v>
      </c>
      <c r="AS9" s="111">
        <f>IF(ISBLANK('In Process Calc.'!U9),"",'In Process Calc.'!U9)</f>
        <v>-2.9726013333333334</v>
      </c>
      <c r="AT9" s="111">
        <f>IF(ISBLANK('In Process Calc.'!V9),"",'In Process Calc.'!V9)</f>
        <v>-19.842863333333334</v>
      </c>
      <c r="AU9" s="111">
        <f>IF(ISBLANK('In Process Calc.'!W9),"",'In Process Calc.'!W9)</f>
        <v>0</v>
      </c>
      <c r="AV9" s="111">
        <f>IF(ISBLANK('In Process Calc.'!X9),"",'In Process Calc.'!X9)</f>
        <v>0</v>
      </c>
      <c r="AW9" s="111">
        <f>IF(ISBLANK('In Process Calc.'!Y9),"",'In Process Calc.'!Y9)</f>
        <v>0</v>
      </c>
      <c r="AX9" s="111">
        <f>IF(ISBLANK('In Process Calc.'!Z9),"",'In Process Calc.'!Z9)</f>
        <v>18.566434774028025</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-36.472432111111118</v>
      </c>
      <c r="BL9" s="111">
        <f>IF(ISBLANK('In Process Calc.'!AN9),"",'In Process Calc.'!AN9)</f>
        <v>-39.00889611111112</v>
      </c>
      <c r="BM9" s="111">
        <f>IF(ISBLANK('In Process Calc.'!AO9),"",'In Process Calc.'!AO9)</f>
        <v>-119.67377977777778</v>
      </c>
      <c r="BO9" s="54" t="s">
        <v>53</v>
      </c>
      <c r="BP9" s="56">
        <f t="array" ref="BP9:BS9">LINEST($AN3:INDEX($AN:$AN,COUNT($AN:$AN)+2),$AH$3:INDEX($AH:$AH,COUNT($AH:$AH)+2)^{1,2,3},TRUE,TRUE)</f>
        <v>3.3601278811286439E-7</v>
      </c>
      <c r="BQ9" s="56">
        <v>-6.8844200908105399E-5</v>
      </c>
      <c r="BR9" s="56">
        <v>-8.5471990121029889E-3</v>
      </c>
      <c r="BS9" s="56">
        <v>0.49141492379999141</v>
      </c>
      <c r="BT9" s="56">
        <f t="array" ref="BT9:BX9">LINEST($AN3:INDEX($AN:$AN,COUNT($AN:$AN)+2),$AH$3:INDEX($AH:$AH,COUNT($AH:$AH)+2)^{1,2,3,4},TRUE,TRUE)</f>
        <v>-8.5620644900564915E-9</v>
      </c>
      <c r="BU9" s="56">
        <v>6.0492586382177687E-6</v>
      </c>
      <c r="BV9" s="56">
        <v>-1.2691268064527941E-3</v>
      </c>
      <c r="BW9" s="56">
        <v>7.3823896659871227E-2</v>
      </c>
      <c r="BX9" s="56">
        <v>-0.4544749142876654</v>
      </c>
      <c r="BY9" s="57">
        <f>IF('Cumulative Curves'!$B$6=6,#REF!,IF('Cumulative Curves'!$B$6=5,#REF!, IF( 'Cumulative Curves'!$B$6=4, BX9,IF('Cumulative Curves'!$B$6=3, BS9, 0))))</f>
        <v>0.49141492379999141</v>
      </c>
      <c r="BZ9" s="57">
        <f>IF('Cumulative Curves'!$B$6=6,#REF!,IF('Cumulative Curves'!$B$6=5,#REF!, IF( 'Cumulative Curves'!$B$6=4, BW9,IF('Cumulative Curves'!$B$6=3, BR9, 0))))</f>
        <v>-8.5471990121029889E-3</v>
      </c>
      <c r="CA9" s="57">
        <f>IF('Cumulative Curves'!$B$6=6,#REF!,IF('Cumulative Curves'!$B$6=5,#REF!, IF( 'Cumulative Curves'!$B$6=4, BV9,IF('Cumulative Curves'!$B$6=3, BQ9, 0))))</f>
        <v>-6.8844200908105399E-5</v>
      </c>
      <c r="CB9" s="57">
        <f>IF('Cumulative Curves'!$B$6=6,#REF!,IF('Cumulative Curves'!$B$6=5,#REF!, IF( 'Cumulative Curves'!$B$6=4, BU9,IF('Cumulative Curves'!$B$6=3, BP9, 0))))</f>
        <v>3.3601278811286439E-7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141.08333333325572</v>
      </c>
      <c r="CH9" s="76">
        <f t="shared" si="0"/>
        <v>7.2739559454749365</v>
      </c>
      <c r="CI9" s="76">
        <f t="shared" si="1"/>
        <v>13456.859365731103</v>
      </c>
      <c r="CJ9" s="76">
        <f t="shared" si="2"/>
        <v>0</v>
      </c>
      <c r="CK9" s="76">
        <f t="shared" si="3"/>
        <v>555.17471836729328</v>
      </c>
      <c r="CL9" s="76">
        <f t="shared" si="4"/>
        <v>-4.7413876854860106</v>
      </c>
      <c r="CM9" s="76">
        <f t="shared" si="5"/>
        <v>-1.1411731198517039</v>
      </c>
      <c r="CN9" s="76">
        <f t="shared" si="6"/>
        <v>2.4185663272932167</v>
      </c>
      <c r="CO9" s="76">
        <f t="shared" si="7"/>
        <v>-1.8639682002091047</v>
      </c>
      <c r="CP9" s="76">
        <f t="shared" si="8"/>
        <v>0.70483989394185553</v>
      </c>
      <c r="CQ9" s="76">
        <f t="shared" si="9"/>
        <v>21.380861535995862</v>
      </c>
      <c r="CR9" s="76">
        <f t="shared" si="10"/>
        <v>-3.4763247791491581</v>
      </c>
      <c r="CS9" s="76">
        <f t="shared" si="11"/>
        <v>-16.062212378663137</v>
      </c>
      <c r="CT9" s="76">
        <f t="shared" si="12"/>
        <v>0</v>
      </c>
      <c r="CU9" s="76">
        <f t="shared" si="13"/>
        <v>0</v>
      </c>
      <c r="CV9" s="76">
        <f t="shared" si="14"/>
        <v>0</v>
      </c>
      <c r="CW9" s="76">
        <f t="shared" si="15"/>
        <v>19.574366657031568</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-25.474725160212664</v>
      </c>
      <c r="DK9" s="76">
        <f t="shared" si="29"/>
        <v>-30.216112845698671</v>
      </c>
      <c r="DL9" s="76">
        <f t="shared" si="30"/>
        <v>-77.71308640638172</v>
      </c>
    </row>
    <row r="10" spans="1:116" s="48" customFormat="1" ht="12">
      <c r="A10" s="111">
        <f>IF(ISBLANK('In Process Calc.'!C10),"",'In Process Calc.'!C10)</f>
        <v>164.73333333333721</v>
      </c>
      <c r="B10" s="111">
        <f>IF(ISBLANK('Measured Data'!H14),"",'Measured Data'!H14)</f>
        <v>9.8106001449584959</v>
      </c>
      <c r="C10" s="111">
        <f>IF(ISBLANK('In Process Calc.'!L10),"",'In Process Calc.'!L10)</f>
        <v>18115.331097036687</v>
      </c>
      <c r="D10" s="111">
        <f>IF(ISBLANK('In Process Calc.'!M10),"",'In Process Calc.'!M10)</f>
        <v>0</v>
      </c>
      <c r="E10" s="111">
        <f>IF(ISBLANK('In Process Calc.'!N10),"",'In Process Calc.'!N10)</f>
        <v>732.5997188888889</v>
      </c>
      <c r="F10" s="111">
        <f>IF(ISBLANK('In Process Calc.'!O10),"",'In Process Calc.'!O10)</f>
        <v>-5.6530212222222218</v>
      </c>
      <c r="G10" s="111">
        <f>IF(ISBLANK('In Process Calc.'!P10),"",'In Process Calc.'!P10)</f>
        <v>-2.5387945185185186</v>
      </c>
      <c r="H10" s="111">
        <f>IF(ISBLANK('In Process Calc.'!Q10),"",'In Process Calc.'!Q10)</f>
        <v>1.069827555555555</v>
      </c>
      <c r="I10" s="111">
        <f>IF(ISBLANK('In Process Calc.'!R10),"",'In Process Calc.'!R10)</f>
        <v>-2.3466398888888893</v>
      </c>
      <c r="J10" s="111">
        <f>IF(ISBLANK('In Process Calc.'!S10),"",'In Process Calc.'!S10)</f>
        <v>0.7885806296296296</v>
      </c>
      <c r="K10" s="111">
        <f>IF(ISBLANK('In Process Calc.'!T10),"",'In Process Calc.'!T10)</f>
        <v>30.756762103315186</v>
      </c>
      <c r="L10" s="111">
        <f>IF(ISBLANK('In Process Calc.'!U10),"",'In Process Calc.'!U10)</f>
        <v>-4.6580169999999992</v>
      </c>
      <c r="M10" s="111">
        <f>IF(ISBLANK('In Process Calc.'!V10),"",'In Process Calc.'!V10)</f>
        <v>-26.255684148148145</v>
      </c>
      <c r="N10" s="111">
        <f>IF(ISBLANK('In Process Calc.'!W10),"",'In Process Calc.'!W10)</f>
        <v>0</v>
      </c>
      <c r="O10" s="111">
        <f>IF(ISBLANK('In Process Calc.'!X10),"",'In Process Calc.'!X10)</f>
        <v>0</v>
      </c>
      <c r="P10" s="111">
        <f>IF(ISBLANK('In Process Calc.'!Y10),"",'In Process Calc.'!Y10)</f>
        <v>0</v>
      </c>
      <c r="Q10" s="111">
        <f>IF(ISBLANK('In Process Calc.'!Z10),"",'In Process Calc.'!Z10)</f>
        <v>24.799363528715215</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-50.009740962962965</v>
      </c>
      <c r="AE10" s="111">
        <f>IF(ISBLANK('In Process Calc.'!AN10),"",'In Process Calc.'!AN10)</f>
        <v>-55.662762185185187</v>
      </c>
      <c r="AF10" s="111">
        <f>IF(ISBLANK('In Process Calc.'!AO10),"",'In Process Calc.'!AO10)</f>
        <v>-153.21797474074074</v>
      </c>
      <c r="AH10" s="111">
        <f>IF(ISBLANK('In Process Calc.'!C10),"",'In Process Calc.'!C10)</f>
        <v>164.73333333333721</v>
      </c>
      <c r="AI10" s="111">
        <f>IF(ISBLANK('Measured Data'!H14),"",'Measured Data'!H14)</f>
        <v>9.8106001449584959</v>
      </c>
      <c r="AJ10" s="111">
        <f>IF(ISBLANK('In Process Calc.'!L10),"",'In Process Calc.'!L10)</f>
        <v>18115.331097036687</v>
      </c>
      <c r="AK10" s="111">
        <f>IF(ISBLANK('In Process Calc.'!M10),"",'In Process Calc.'!M10)</f>
        <v>0</v>
      </c>
      <c r="AL10" s="111">
        <f>IF(ISBLANK('In Process Calc.'!N10),"",'In Process Calc.'!N10)</f>
        <v>732.5997188888889</v>
      </c>
      <c r="AM10" s="111">
        <f>IF(ISBLANK('In Process Calc.'!O10),"",'In Process Calc.'!O10)</f>
        <v>-5.6530212222222218</v>
      </c>
      <c r="AN10" s="111">
        <f>IF(ISBLANK('In Process Calc.'!P10),"",'In Process Calc.'!P10)</f>
        <v>-2.5387945185185186</v>
      </c>
      <c r="AO10" s="111">
        <f>IF(ISBLANK('In Process Calc.'!Q10),"",'In Process Calc.'!Q10)</f>
        <v>1.069827555555555</v>
      </c>
      <c r="AP10" s="111">
        <f>IF(ISBLANK('In Process Calc.'!R10),"",'In Process Calc.'!R10)</f>
        <v>-2.3466398888888893</v>
      </c>
      <c r="AQ10" s="111">
        <f>IF(ISBLANK('In Process Calc.'!S10),"",'In Process Calc.'!S10)</f>
        <v>0.7885806296296296</v>
      </c>
      <c r="AR10" s="111">
        <f>IF(ISBLANK('In Process Calc.'!T10),"",'In Process Calc.'!T10)</f>
        <v>30.756762103315186</v>
      </c>
      <c r="AS10" s="111">
        <f>IF(ISBLANK('In Process Calc.'!U10),"",'In Process Calc.'!U10)</f>
        <v>-4.6580169999999992</v>
      </c>
      <c r="AT10" s="111">
        <f>IF(ISBLANK('In Process Calc.'!V10),"",'In Process Calc.'!V10)</f>
        <v>-26.255684148148145</v>
      </c>
      <c r="AU10" s="111">
        <f>IF(ISBLANK('In Process Calc.'!W10),"",'In Process Calc.'!W10)</f>
        <v>0</v>
      </c>
      <c r="AV10" s="111">
        <f>IF(ISBLANK('In Process Calc.'!X10),"",'In Process Calc.'!X10)</f>
        <v>0</v>
      </c>
      <c r="AW10" s="111">
        <f>IF(ISBLANK('In Process Calc.'!Y10),"",'In Process Calc.'!Y10)</f>
        <v>0</v>
      </c>
      <c r="AX10" s="111">
        <f>IF(ISBLANK('In Process Calc.'!Z10),"",'In Process Calc.'!Z10)</f>
        <v>24.799363528715215</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-50.009740962962965</v>
      </c>
      <c r="BL10" s="111">
        <f>IF(ISBLANK('In Process Calc.'!AN10),"",'In Process Calc.'!AN10)</f>
        <v>-55.662762185185187</v>
      </c>
      <c r="BM10" s="111">
        <f>IF(ISBLANK('In Process Calc.'!AO10),"",'In Process Calc.'!AO10)</f>
        <v>-153.21797474074074</v>
      </c>
      <c r="BO10" s="54" t="s">
        <v>48</v>
      </c>
      <c r="BP10" s="56">
        <f t="array" ref="BP10:BS10">LINEST($AO3:INDEX($AO:$AO,COUNT($AO:$AO)+2),$AH$3:INDEX($AH:$AH,COUNT($AH:$AH)+2)^{1,2,3},TRUE,TRUE)</f>
        <v>-1.7707348368507709E-6</v>
      </c>
      <c r="BQ10" s="56">
        <v>9.3981216831290663E-4</v>
      </c>
      <c r="BR10" s="56">
        <v>-8.7381763190172143E-2</v>
      </c>
      <c r="BS10" s="56">
        <v>1.8930331093117374</v>
      </c>
      <c r="BT10" s="56">
        <f t="array" ref="BT10:BX10">LINEST($AO3:INDEX($AO:$AO,COUNT($AO:$AO)+2),$AH$3:INDEX($AH:$AH,COUNT($AH:$AH)+2)^{1,2,3,4},TRUE,TRUE)</f>
        <v>-1.3362896230758361E-8</v>
      </c>
      <c r="BU10" s="56">
        <v>7.1459827987645797E-6</v>
      </c>
      <c r="BV10" s="56">
        <v>-9.3348041481410113E-4</v>
      </c>
      <c r="BW10" s="56">
        <v>4.1175596446253439E-2</v>
      </c>
      <c r="BX10" s="56">
        <v>0.41677376008898648</v>
      </c>
      <c r="BY10" s="57">
        <f>IF('Cumulative Curves'!$B$7=6,#REF!,IF('Cumulative Curves'!$B$7=5,#REF!, IF( 'Cumulative Curves'!$B$7=4, BX10,IF('Cumulative Curves'!$B$7=3, BS10, 0))))</f>
        <v>0.41677376008898648</v>
      </c>
      <c r="BZ10" s="57">
        <f>IF('Cumulative Curves'!$B$7=6,#REF!,IF('Cumulative Curves'!$B$7=5,#REF!, IF( 'Cumulative Curves'!$B$7=4, BW10,IF('Cumulative Curves'!$B$7=3, BR10, 0))))</f>
        <v>4.1175596446253439E-2</v>
      </c>
      <c r="CA10" s="57">
        <f>IF('Cumulative Curves'!$B$7=6,#REF!,IF('Cumulative Curves'!$B$7=5,#REF!, IF( 'Cumulative Curves'!$B$7=4, BV10,IF('Cumulative Curves'!$B$7=3, BQ10, 0))))</f>
        <v>-9.3348041481410113E-4</v>
      </c>
      <c r="CB10" s="57">
        <f>IF('Cumulative Curves'!$B$7=6,#REF!,IF('Cumulative Curves'!$B$7=5,#REF!, IF( 'Cumulative Curves'!$B$7=4, BU10,IF('Cumulative Curves'!$B$7=3, BP10, 0))))</f>
        <v>7.1459827987645797E-6</v>
      </c>
      <c r="CC10" s="57">
        <f>IF('Cumulative Curves'!$B$7=6,#REF!,IF('Cumulative Curves'!$B$7=5,#REF!, IF( 'Cumulative Curves'!$B$7=4,BT10, 0)))</f>
        <v>-1.3362896230758361E-8</v>
      </c>
      <c r="CD10" s="57">
        <f>IF('Cumulative Curves'!$B$7=6,#REF!,IF('Cumulative Curves'!$B$7=5,#REF!, 0))</f>
        <v>0</v>
      </c>
      <c r="CE10" s="57">
        <f>IF('Cumulative Curves'!$B$7=6,#REF!,0)</f>
        <v>0</v>
      </c>
      <c r="CF10" s="49"/>
      <c r="CG10" s="76">
        <f>IF(ISBLANK('In Process Calc.'!C10),"",'In Process Calc.'!C10)</f>
        <v>164.73333333333721</v>
      </c>
      <c r="CH10" s="76">
        <f t="shared" si="0"/>
        <v>9.8252401251443509</v>
      </c>
      <c r="CI10" s="76">
        <f t="shared" si="1"/>
        <v>18276.360741692904</v>
      </c>
      <c r="CJ10" s="76">
        <f t="shared" si="2"/>
        <v>0</v>
      </c>
      <c r="CK10" s="76">
        <f t="shared" si="3"/>
        <v>1032.7540626199125</v>
      </c>
      <c r="CL10" s="76">
        <f t="shared" si="4"/>
        <v>-7.1431421486791962</v>
      </c>
      <c r="CM10" s="76">
        <f t="shared" si="5"/>
        <v>-1.2827187272032528</v>
      </c>
      <c r="CN10" s="76">
        <f t="shared" si="6"/>
        <v>3.9723900539627</v>
      </c>
      <c r="CO10" s="76">
        <f t="shared" si="7"/>
        <v>-2.3502010253815282</v>
      </c>
      <c r="CP10" s="76">
        <f t="shared" si="8"/>
        <v>0.96444940793525014</v>
      </c>
      <c r="CQ10" s="76">
        <f t="shared" si="9"/>
        <v>31.165343980283303</v>
      </c>
      <c r="CR10" s="76">
        <f t="shared" si="10"/>
        <v>-4.8050301866436724</v>
      </c>
      <c r="CS10" s="76">
        <f t="shared" si="11"/>
        <v>-17.532781159981056</v>
      </c>
      <c r="CT10" s="76">
        <f t="shared" si="12"/>
        <v>0</v>
      </c>
      <c r="CU10" s="76">
        <f t="shared" si="13"/>
        <v>0</v>
      </c>
      <c r="CV10" s="76">
        <f t="shared" si="14"/>
        <v>0</v>
      </c>
      <c r="CW10" s="76">
        <f t="shared" si="15"/>
        <v>22.911832808170413</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-27.99203899654054</v>
      </c>
      <c r="DK10" s="76">
        <f t="shared" si="29"/>
        <v>-35.135181145219732</v>
      </c>
      <c r="DL10" s="76">
        <f t="shared" si="30"/>
        <v>-75.931423484633456</v>
      </c>
    </row>
    <row r="11" spans="1:116" s="48" customFormat="1" ht="12">
      <c r="A11" s="111">
        <f>IF(ISBLANK('In Process Calc.'!C11),"",'In Process Calc.'!C11)</f>
        <v>189.11666666652309</v>
      </c>
      <c r="B11" s="111">
        <f>IF(ISBLANK('Measured Data'!H15),"",'Measured Data'!H15)</f>
        <v>12.582400186157226</v>
      </c>
      <c r="C11" s="111">
        <f>IF(ISBLANK('In Process Calc.'!L11),"",'In Process Calc.'!L11)</f>
        <v>23686.574742786324</v>
      </c>
      <c r="D11" s="111">
        <f>IF(ISBLANK('In Process Calc.'!M11),"",'In Process Calc.'!M11)</f>
        <v>0</v>
      </c>
      <c r="E11" s="111">
        <f>IF(ISBLANK('In Process Calc.'!N11),"",'In Process Calc.'!N11)</f>
        <v>1364.7481370370374</v>
      </c>
      <c r="F11" s="111">
        <f>IF(ISBLANK('In Process Calc.'!O11),"",'In Process Calc.'!O11)</f>
        <v>-10.351283333333333</v>
      </c>
      <c r="G11" s="111">
        <f>IF(ISBLANK('In Process Calc.'!P11),"",'In Process Calc.'!P11)</f>
        <v>-2.3388891851851863</v>
      </c>
      <c r="H11" s="111">
        <f>IF(ISBLANK('In Process Calc.'!Q11),"",'In Process Calc.'!Q11)</f>
        <v>9.6444920370370362</v>
      </c>
      <c r="I11" s="111">
        <f>IF(ISBLANK('In Process Calc.'!R11),"",'In Process Calc.'!R11)</f>
        <v>-3.9236738148148156</v>
      </c>
      <c r="J11" s="111">
        <f>IF(ISBLANK('In Process Calc.'!S11),"",'In Process Calc.'!S11)</f>
        <v>1.1072614814814814</v>
      </c>
      <c r="K11" s="111">
        <f>IF(ISBLANK('In Process Calc.'!T11),"",'In Process Calc.'!T11)</f>
        <v>44.226152156654031</v>
      </c>
      <c r="L11" s="111">
        <f>IF(ISBLANK('In Process Calc.'!U11),"",'In Process Calc.'!U11)</f>
        <v>-6.6042706666666664</v>
      </c>
      <c r="M11" s="111">
        <f>IF(ISBLANK('In Process Calc.'!V11),"",'In Process Calc.'!V11)</f>
        <v>-25.159784592592597</v>
      </c>
      <c r="N11" s="111">
        <f>IF(ISBLANK('In Process Calc.'!W11),"",'In Process Calc.'!W11)</f>
        <v>0</v>
      </c>
      <c r="O11" s="111">
        <f>IF(ISBLANK('In Process Calc.'!X11),"",'In Process Calc.'!X11)</f>
        <v>0</v>
      </c>
      <c r="P11" s="111">
        <f>IF(ISBLANK('In Process Calc.'!Y11),"",'In Process Calc.'!Y11)</f>
        <v>0</v>
      </c>
      <c r="Q11" s="111">
        <f>IF(ISBLANK('In Process Calc.'!Z11),"",'In Process Calc.'!Z11)</f>
        <v>27.923384974672718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-40.49533277777779</v>
      </c>
      <c r="AE11" s="111">
        <f>IF(ISBLANK('In Process Calc.'!AN11),"",'In Process Calc.'!AN11)</f>
        <v>-50.846616111111125</v>
      </c>
      <c r="AF11" s="111">
        <f>IF(ISBLANK('In Process Calc.'!AO11),"",'In Process Calc.'!AO11)</f>
        <v>-112.27291962962967</v>
      </c>
      <c r="AH11" s="111">
        <f>IF(ISBLANK('In Process Calc.'!C11),"",'In Process Calc.'!C11)</f>
        <v>189.11666666652309</v>
      </c>
      <c r="AI11" s="111">
        <f>IF(ISBLANK('Measured Data'!H15),"",'Measured Data'!H15)</f>
        <v>12.582400186157226</v>
      </c>
      <c r="AJ11" s="111">
        <f>IF(ISBLANK('In Process Calc.'!L11),"",'In Process Calc.'!L11)</f>
        <v>23686.574742786324</v>
      </c>
      <c r="AK11" s="111">
        <f>IF(ISBLANK('In Process Calc.'!M11),"",'In Process Calc.'!M11)</f>
        <v>0</v>
      </c>
      <c r="AL11" s="111">
        <f>IF(ISBLANK('In Process Calc.'!N11),"",'In Process Calc.'!N11)</f>
        <v>1364.7481370370374</v>
      </c>
      <c r="AM11" s="111">
        <f>IF(ISBLANK('In Process Calc.'!O11),"",'In Process Calc.'!O11)</f>
        <v>-10.351283333333333</v>
      </c>
      <c r="AN11" s="111">
        <f>IF(ISBLANK('In Process Calc.'!P11),"",'In Process Calc.'!P11)</f>
        <v>-2.3388891851851863</v>
      </c>
      <c r="AO11" s="111">
        <f>IF(ISBLANK('In Process Calc.'!Q11),"",'In Process Calc.'!Q11)</f>
        <v>9.6444920370370362</v>
      </c>
      <c r="AP11" s="111">
        <f>IF(ISBLANK('In Process Calc.'!R11),"",'In Process Calc.'!R11)</f>
        <v>-3.9236738148148156</v>
      </c>
      <c r="AQ11" s="111">
        <f>IF(ISBLANK('In Process Calc.'!S11),"",'In Process Calc.'!S11)</f>
        <v>1.1072614814814814</v>
      </c>
      <c r="AR11" s="111">
        <f>IF(ISBLANK('In Process Calc.'!T11),"",'In Process Calc.'!T11)</f>
        <v>44.226152156654031</v>
      </c>
      <c r="AS11" s="111">
        <f>IF(ISBLANK('In Process Calc.'!U11),"",'In Process Calc.'!U11)</f>
        <v>-6.6042706666666664</v>
      </c>
      <c r="AT11" s="111">
        <f>IF(ISBLANK('In Process Calc.'!V11),"",'In Process Calc.'!V11)</f>
        <v>-25.159784592592597</v>
      </c>
      <c r="AU11" s="111">
        <f>IF(ISBLANK('In Process Calc.'!W11),"",'In Process Calc.'!W11)</f>
        <v>0</v>
      </c>
      <c r="AV11" s="111">
        <f>IF(ISBLANK('In Process Calc.'!X11),"",'In Process Calc.'!X11)</f>
        <v>0</v>
      </c>
      <c r="AW11" s="111">
        <f>IF(ISBLANK('In Process Calc.'!Y11),"",'In Process Calc.'!Y11)</f>
        <v>0</v>
      </c>
      <c r="AX11" s="111">
        <f>IF(ISBLANK('In Process Calc.'!Z11),"",'In Process Calc.'!Z11)</f>
        <v>27.923384974672718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-40.49533277777779</v>
      </c>
      <c r="BL11" s="111">
        <f>IF(ISBLANK('In Process Calc.'!AN11),"",'In Process Calc.'!AN11)</f>
        <v>-50.846616111111125</v>
      </c>
      <c r="BM11" s="111">
        <f>IF(ISBLANK('In Process Calc.'!AO11),"",'In Process Calc.'!AO11)</f>
        <v>-112.27291962962967</v>
      </c>
      <c r="BO11" s="54" t="s">
        <v>46</v>
      </c>
      <c r="BP11" s="56">
        <f t="array" ref="BP11:BS11">LINEST($AP3:INDEX($AP:$AP,COUNT($AP:$AP)+2),$AH$3:INDEX($AH:$AH,COUNT($AH:$AH)+2)^{1,2,3},TRUE,TRUE)</f>
        <v>5.1141767852275523E-7</v>
      </c>
      <c r="BQ11" s="56">
        <v>-1.7781499844214468E-4</v>
      </c>
      <c r="BR11" s="56">
        <v>4.433856820196579E-3</v>
      </c>
      <c r="BS11" s="56">
        <v>0.1982471100015335</v>
      </c>
      <c r="BT11" s="56">
        <f t="array" ref="BT11:BX11">LINEST($AP3:INDEX($AP:$AP,COUNT($AP:$AP)+2),$AH$3:INDEX($AH:$AH,COUNT($AH:$AH)+2)^{1,2,3,4},TRUE,TRUE)</f>
        <v>-8.8743047454765919E-9</v>
      </c>
      <c r="BU11" s="56">
        <v>6.4330134360111293E-6</v>
      </c>
      <c r="BV11" s="56">
        <v>-1.4218693541023365E-3</v>
      </c>
      <c r="BW11" s="56">
        <v>8.9808850907292528E-2</v>
      </c>
      <c r="BX11" s="56">
        <v>-0.7821373158092868</v>
      </c>
      <c r="BY11" s="57">
        <f>IF('Cumulative Curves'!$B$8=6,#REF!,IF('Cumulative Curves'!$B$8=5,#REF!, IF( 'Cumulative Curves'!$B$8=4, BX11,IF('Cumulative Curves'!$B$8=3, BS11, 0))))</f>
        <v>-0.7821373158092868</v>
      </c>
      <c r="BZ11" s="57">
        <f>IF('Cumulative Curves'!$B$8=6,#REF!,IF('Cumulative Curves'!$B$8=5,#REF!, IF( 'Cumulative Curves'!$B$8=4, BW11,IF('Cumulative Curves'!$B$8=3, BR11, 0))))</f>
        <v>8.9808850907292528E-2</v>
      </c>
      <c r="CA11" s="57">
        <f>IF('Cumulative Curves'!$B$8=6,#REF!,IF('Cumulative Curves'!$B$8=5,#REF!, IF( 'Cumulative Curves'!$B$8=4, BV11,IF('Cumulative Curves'!$B$8=3, BQ11, 0))))</f>
        <v>-1.4218693541023365E-3</v>
      </c>
      <c r="CB11" s="57">
        <f>IF('Cumulative Curves'!$B$8=6,#REF!,IF('Cumulative Curves'!$B$8=5,#REF!, IF( 'Cumulative Curves'!$B$8=4, BU11,IF('Cumulative Curves'!$B$8=3, BP11, 0))))</f>
        <v>6.4330134360111293E-6</v>
      </c>
      <c r="CC11" s="57">
        <f>IF('Cumulative Curves'!$B$8=6,#REF!,IF('Cumulative Curves'!$B$8=5,#REF!, IF( 'Cumulative Curves'!$B$8=4,BT11, 0)))</f>
        <v>-8.8743047454765919E-9</v>
      </c>
      <c r="CD11" s="57">
        <f>IF('Cumulative Curves'!$B$8=6,#REF!,IF('Cumulative Curves'!$B$8=5,#REF!, 0))</f>
        <v>0</v>
      </c>
      <c r="CE11" s="57">
        <f>IF('Cumulative Curves'!$B$8=6,#REF!,0)</f>
        <v>0</v>
      </c>
      <c r="CF11" s="49"/>
      <c r="CG11" s="76">
        <f>IF(ISBLANK('In Process Calc.'!C11),"",'In Process Calc.'!C11)</f>
        <v>189.11666666652309</v>
      </c>
      <c r="CH11" s="76">
        <f t="shared" si="0"/>
        <v>12.356001126343767</v>
      </c>
      <c r="CI11" s="76">
        <f t="shared" si="1"/>
        <v>22970.721832471361</v>
      </c>
      <c r="CJ11" s="76">
        <f t="shared" si="2"/>
        <v>0</v>
      </c>
      <c r="CK11" s="76">
        <f t="shared" si="3"/>
        <v>1608.7913659840819</v>
      </c>
      <c r="CL11" s="76">
        <f t="shared" si="4"/>
        <v>-9.4006613605533005</v>
      </c>
      <c r="CM11" s="76">
        <f t="shared" si="5"/>
        <v>-1.3145072664666304</v>
      </c>
      <c r="CN11" s="76">
        <f t="shared" si="6"/>
        <v>6.0585212288710579</v>
      </c>
      <c r="CO11" s="76">
        <f t="shared" si="7"/>
        <v>-2.4911320704202264</v>
      </c>
      <c r="CP11" s="76">
        <f t="shared" si="8"/>
        <v>1.2215975794195009</v>
      </c>
      <c r="CQ11" s="76">
        <f t="shared" si="9"/>
        <v>43.203559922208441</v>
      </c>
      <c r="CR11" s="76">
        <f t="shared" si="10"/>
        <v>-5.8105755657659515</v>
      </c>
      <c r="CS11" s="76">
        <f t="shared" si="11"/>
        <v>-18.07631811323494</v>
      </c>
      <c r="CT11" s="76">
        <f t="shared" si="12"/>
        <v>0</v>
      </c>
      <c r="CU11" s="76">
        <f t="shared" si="13"/>
        <v>0</v>
      </c>
      <c r="CV11" s="76">
        <f t="shared" si="14"/>
        <v>0</v>
      </c>
      <c r="CW11" s="76">
        <f t="shared" si="15"/>
        <v>23.854285845554138</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-28.467813068722513</v>
      </c>
      <c r="DK11" s="76">
        <f t="shared" si="29"/>
        <v>-37.868474429275828</v>
      </c>
      <c r="DL11" s="76">
        <f t="shared" si="30"/>
        <v>-67.975920049063603</v>
      </c>
    </row>
    <row r="12" spans="1:116" s="48" customFormat="1" ht="12">
      <c r="A12" s="111">
        <f>IF(ISBLANK('In Process Calc.'!C12),"",'In Process Calc.'!C12)</f>
        <v>213.06666666653473</v>
      </c>
      <c r="B12" s="111">
        <f>IF(ISBLANK('Measured Data'!H16),"",'Measured Data'!H16)</f>
        <v>15.968199594116211</v>
      </c>
      <c r="C12" s="111">
        <f>IF(ISBLANK('In Process Calc.'!L12),"",'In Process Calc.'!L12)</f>
        <v>30156.120093410151</v>
      </c>
      <c r="D12" s="111">
        <f>IF(ISBLANK('In Process Calc.'!M12),"",'In Process Calc.'!M12)</f>
        <v>0</v>
      </c>
      <c r="E12" s="111">
        <f>IF(ISBLANK('In Process Calc.'!N12),"",'In Process Calc.'!N12)</f>
        <v>2236.0992422222225</v>
      </c>
      <c r="F12" s="111">
        <f>IF(ISBLANK('In Process Calc.'!O12),"",'In Process Calc.'!O12)</f>
        <v>-13.914271000000001</v>
      </c>
      <c r="G12" s="111">
        <f>IF(ISBLANK('In Process Calc.'!P12),"",'In Process Calc.'!P12)</f>
        <v>-1.2555183055555559</v>
      </c>
      <c r="H12" s="111">
        <f>IF(ISBLANK('In Process Calc.'!Q12),"",'In Process Calc.'!Q12)</f>
        <v>11.713494277777777</v>
      </c>
      <c r="I12" s="111">
        <f>IF(ISBLANK('In Process Calc.'!R12),"",'In Process Calc.'!R12)</f>
        <v>-3.2401467222222231</v>
      </c>
      <c r="J12" s="111">
        <f>IF(ISBLANK('In Process Calc.'!S12),"",'In Process Calc.'!S12)</f>
        <v>1.4612817499999999</v>
      </c>
      <c r="K12" s="111">
        <f>IF(ISBLANK('In Process Calc.'!T12),"",'In Process Calc.'!T12)</f>
        <v>58.261340562456823</v>
      </c>
      <c r="L12" s="111">
        <f>IF(ISBLANK('In Process Calc.'!U12),"",'In Process Calc.'!U12)</f>
        <v>-6.1420965833333332</v>
      </c>
      <c r="M12" s="111">
        <f>IF(ISBLANK('In Process Calc.'!V12),"",'In Process Calc.'!V12)</f>
        <v>-19.101567166666669</v>
      </c>
      <c r="N12" s="111">
        <f>IF(ISBLANK('In Process Calc.'!W12),"",'In Process Calc.'!W12)</f>
        <v>0</v>
      </c>
      <c r="O12" s="111">
        <f>IF(ISBLANK('In Process Calc.'!X12),"",'In Process Calc.'!X12)</f>
        <v>0</v>
      </c>
      <c r="P12" s="111">
        <f>IF(ISBLANK('In Process Calc.'!Y12),"",'In Process Calc.'!Y12)</f>
        <v>0</v>
      </c>
      <c r="Q12" s="111">
        <f>IF(ISBLANK('In Process Calc.'!Z12),"",'In Process Calc.'!Z12)</f>
        <v>20.008677471876855</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-27.212699222222231</v>
      </c>
      <c r="AE12" s="111">
        <f>IF(ISBLANK('In Process Calc.'!AN12),"",'In Process Calc.'!AN12)</f>
        <v>-41.126970222222234</v>
      </c>
      <c r="AF12" s="111">
        <f>IF(ISBLANK('In Process Calc.'!AO12),"",'In Process Calc.'!AO12)</f>
        <v>-49.347534861111129</v>
      </c>
      <c r="AH12" s="111">
        <f>IF(ISBLANK('In Process Calc.'!C12),"",'In Process Calc.'!C12)</f>
        <v>213.06666666653473</v>
      </c>
      <c r="AI12" s="111">
        <f>IF(ISBLANK('Measured Data'!H16),"",'Measured Data'!H16)</f>
        <v>15.968199594116211</v>
      </c>
      <c r="AJ12" s="111">
        <f>IF(ISBLANK('In Process Calc.'!L12),"",'In Process Calc.'!L12)</f>
        <v>30156.120093410151</v>
      </c>
      <c r="AK12" s="111">
        <f>IF(ISBLANK('In Process Calc.'!M12),"",'In Process Calc.'!M12)</f>
        <v>0</v>
      </c>
      <c r="AL12" s="111">
        <f>IF(ISBLANK('In Process Calc.'!N12),"",'In Process Calc.'!N12)</f>
        <v>2236.0992422222225</v>
      </c>
      <c r="AM12" s="111">
        <f>IF(ISBLANK('In Process Calc.'!O12),"",'In Process Calc.'!O12)</f>
        <v>-13.914271000000001</v>
      </c>
      <c r="AN12" s="111">
        <f>IF(ISBLANK('In Process Calc.'!P12),"",'In Process Calc.'!P12)</f>
        <v>-1.2555183055555559</v>
      </c>
      <c r="AO12" s="111">
        <f>IF(ISBLANK('In Process Calc.'!Q12),"",'In Process Calc.'!Q12)</f>
        <v>11.713494277777777</v>
      </c>
      <c r="AP12" s="111">
        <f>IF(ISBLANK('In Process Calc.'!R12),"",'In Process Calc.'!R12)</f>
        <v>-3.2401467222222231</v>
      </c>
      <c r="AQ12" s="111">
        <f>IF(ISBLANK('In Process Calc.'!S12),"",'In Process Calc.'!S12)</f>
        <v>1.4612817499999999</v>
      </c>
      <c r="AR12" s="111">
        <f>IF(ISBLANK('In Process Calc.'!T12),"",'In Process Calc.'!T12)</f>
        <v>58.261340562456823</v>
      </c>
      <c r="AS12" s="111">
        <f>IF(ISBLANK('In Process Calc.'!U12),"",'In Process Calc.'!U12)</f>
        <v>-6.1420965833333332</v>
      </c>
      <c r="AT12" s="111">
        <f>IF(ISBLANK('In Process Calc.'!V12),"",'In Process Calc.'!V12)</f>
        <v>-19.101567166666669</v>
      </c>
      <c r="AU12" s="111">
        <f>IF(ISBLANK('In Process Calc.'!W12),"",'In Process Calc.'!W12)</f>
        <v>0</v>
      </c>
      <c r="AV12" s="111">
        <f>IF(ISBLANK('In Process Calc.'!X12),"",'In Process Calc.'!X12)</f>
        <v>0</v>
      </c>
      <c r="AW12" s="111">
        <f>IF(ISBLANK('In Process Calc.'!Y12),"",'In Process Calc.'!Y12)</f>
        <v>0</v>
      </c>
      <c r="AX12" s="111">
        <f>IF(ISBLANK('In Process Calc.'!Z12),"",'In Process Calc.'!Z12)</f>
        <v>20.008677471876855</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-27.212699222222231</v>
      </c>
      <c r="BL12" s="111">
        <f>IF(ISBLANK('In Process Calc.'!AN12),"",'In Process Calc.'!AN12)</f>
        <v>-41.126970222222234</v>
      </c>
      <c r="BM12" s="111">
        <f>IF(ISBLANK('In Process Calc.'!AO12),"",'In Process Calc.'!AO12)</f>
        <v>-49.347534861111129</v>
      </c>
      <c r="BO12" s="54" t="s">
        <v>346</v>
      </c>
      <c r="BP12" s="56">
        <f t="array" ref="BP12:BS12">LINEST($AQ3:INDEX($AQ:$AQ,COUNT($AQ:$AQ)+2),$AH$3:INDEX($AH:$AH,COUNT($AH:$AH)+2)^{1,2,3},TRUE,TRUE)</f>
        <v>-2.4476724874279634E-7</v>
      </c>
      <c r="BQ12" s="56">
        <v>1.1216879882797919E-4</v>
      </c>
      <c r="BR12" s="56">
        <v>-6.1230371515245052E-3</v>
      </c>
      <c r="BS12" s="56">
        <v>2.3387715533649267E-2</v>
      </c>
      <c r="BT12" s="56">
        <f t="array" ref="BT12:BX12">LINEST($AQ3:INDEX($AQ:$AQ,COUNT($AQ:$AQ)+2),$AH$3:INDEX($AH:$AH,COUNT($AH:$AH)+2)^{1,2,3,4},TRUE,TRUE)</f>
        <v>-7.7992864184257062E-10</v>
      </c>
      <c r="BU12" s="56">
        <v>2.7565911356268333E-7</v>
      </c>
      <c r="BV12" s="56">
        <v>2.8336281507544752E-6</v>
      </c>
      <c r="BW12" s="56">
        <v>1.3802439612417277E-3</v>
      </c>
      <c r="BX12" s="56">
        <v>-6.2774515270515252E-2</v>
      </c>
      <c r="BY12" s="57">
        <f>IF('Cumulative Curves'!$B$10=6,#REF!,IF('Cumulative Curves'!$B$10=5,#REF!, IF( 'Cumulative Curves'!$B$10=4, BX12,IF('Cumulative Curves'!$B$10=3, BS12, 0))))</f>
        <v>2.3387715533649267E-2</v>
      </c>
      <c r="BZ12" s="57">
        <f>IF('Cumulative Curves'!$B$10=6,#REF!,IF('Cumulative Curves'!$B$10=5,#REF!, IF( 'Cumulative Curves'!$B$10=4, BW12,IF('Cumulative Curves'!$B$10=3, BR12, 0))))</f>
        <v>-6.1230371515245052E-3</v>
      </c>
      <c r="CA12" s="57">
        <f>IF('Cumulative Curves'!$B$10=6,#REF!,IF('Cumulative Curves'!$B$10=5,#REF!, IF( 'Cumulative Curves'!$B$10=4, BV12,IF('Cumulative Curves'!$B$10=3, BQ12, 0))))</f>
        <v>1.1216879882797919E-4</v>
      </c>
      <c r="CB12" s="57">
        <f>IF('Cumulative Curves'!$B$10=6,#REF!,IF('Cumulative Curves'!$B$10=5,#REF!, IF( 'Cumulative Curves'!$B$10=4, BU12,IF('Cumulative Curves'!$B$10=3, BP12, 0))))</f>
        <v>-2.4476724874279634E-7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213.06666666653473</v>
      </c>
      <c r="CH12" s="76">
        <f t="shared" si="0"/>
        <v>14.524425284387947</v>
      </c>
      <c r="CI12" s="76">
        <f t="shared" si="1"/>
        <v>26894.768514352574</v>
      </c>
      <c r="CJ12" s="76">
        <f t="shared" si="2"/>
        <v>0</v>
      </c>
      <c r="CK12" s="76">
        <f t="shared" si="3"/>
        <v>2240.2894497999887</v>
      </c>
      <c r="CL12" s="76">
        <f t="shared" si="4"/>
        <v>-11.114329270231352</v>
      </c>
      <c r="CM12" s="76">
        <f t="shared" si="5"/>
        <v>-1.2049142729445403</v>
      </c>
      <c r="CN12" s="76">
        <f t="shared" si="6"/>
        <v>8.3931743970849269</v>
      </c>
      <c r="CO12" s="76">
        <f t="shared" si="7"/>
        <v>-2.2608740253816144</v>
      </c>
      <c r="CP12" s="76">
        <f t="shared" si="8"/>
        <v>1.4433912113000651</v>
      </c>
      <c r="CQ12" s="76">
        <f t="shared" si="9"/>
        <v>56.707422710385465</v>
      </c>
      <c r="CR12" s="76">
        <f t="shared" si="10"/>
        <v>-6.2504777545686352</v>
      </c>
      <c r="CS12" s="76">
        <f t="shared" si="11"/>
        <v>-17.50985886939214</v>
      </c>
      <c r="CT12" s="76">
        <f t="shared" si="12"/>
        <v>0</v>
      </c>
      <c r="CU12" s="76">
        <f t="shared" si="13"/>
        <v>0</v>
      </c>
      <c r="CV12" s="76">
        <f t="shared" si="14"/>
        <v>0</v>
      </c>
      <c r="CW12" s="76">
        <f t="shared" si="15"/>
        <v>21.764731483442887</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-26.420320851840081</v>
      </c>
      <c r="DK12" s="76">
        <f t="shared" si="29"/>
        <v>-37.53465012207144</v>
      </c>
      <c r="DL12" s="76">
        <f t="shared" si="30"/>
        <v>-54.219688387765814</v>
      </c>
    </row>
    <row r="13" spans="1:116" s="48" customFormat="1" ht="12">
      <c r="A13" s="111">
        <f>IF(ISBLANK('In Process Calc.'!C13),"",'In Process Calc.'!C13)</f>
        <v>238.18333333334886</v>
      </c>
      <c r="B13" s="111">
        <f>IF(ISBLANK('Measured Data'!H17),"",'Measured Data'!H17)</f>
        <v>16.753300531005859</v>
      </c>
      <c r="C13" s="111">
        <f>IF(ISBLANK('In Process Calc.'!L13),"",'In Process Calc.'!L13)</f>
        <v>30724.39130304955</v>
      </c>
      <c r="D13" s="111">
        <f>IF(ISBLANK('In Process Calc.'!M13),"",'In Process Calc.'!M13)</f>
        <v>0</v>
      </c>
      <c r="E13" s="111">
        <f>IF(ISBLANK('In Process Calc.'!N13),"",'In Process Calc.'!N13)</f>
        <v>3032.3680236111113</v>
      </c>
      <c r="F13" s="111">
        <f>IF(ISBLANK('In Process Calc.'!O13),"",'In Process Calc.'!O13)</f>
        <v>-13.808660305555556</v>
      </c>
      <c r="G13" s="111">
        <f>IF(ISBLANK('In Process Calc.'!P13),"",'In Process Calc.'!P13)</f>
        <v>-0.3603012777777781</v>
      </c>
      <c r="H13" s="111">
        <f>IF(ISBLANK('In Process Calc.'!Q13),"",'In Process Calc.'!Q13)</f>
        <v>11.71487947222222</v>
      </c>
      <c r="I13" s="111">
        <f>IF(ISBLANK('In Process Calc.'!R13),"",'In Process Calc.'!R13)</f>
        <v>-1.4101418333333335</v>
      </c>
      <c r="J13" s="111">
        <f>IF(ISBLANK('In Process Calc.'!S13),"",'In Process Calc.'!S13)</f>
        <v>1.697571611111111</v>
      </c>
      <c r="K13" s="111">
        <f>IF(ISBLANK('In Process Calc.'!T13),"",'In Process Calc.'!T13)</f>
        <v>71.298677089160918</v>
      </c>
      <c r="L13" s="111">
        <f>IF(ISBLANK('In Process Calc.'!U13),"",'In Process Calc.'!U13)</f>
        <v>-6.2068681111111106</v>
      </c>
      <c r="M13" s="111">
        <f>IF(ISBLANK('In Process Calc.'!V13),"",'In Process Calc.'!V13)</f>
        <v>-11.40858866666667</v>
      </c>
      <c r="N13" s="111">
        <f>IF(ISBLANK('In Process Calc.'!W13),"",'In Process Calc.'!W13)</f>
        <v>0</v>
      </c>
      <c r="O13" s="111">
        <f>IF(ISBLANK('In Process Calc.'!X13),"",'In Process Calc.'!X13)</f>
        <v>0</v>
      </c>
      <c r="P13" s="111">
        <f>IF(ISBLANK('In Process Calc.'!Y13),"",'In Process Calc.'!Y13)</f>
        <v>0</v>
      </c>
      <c r="Q13" s="111">
        <f>IF(ISBLANK('In Process Calc.'!Z13),"",'In Process Calc.'!Z13)</f>
        <v>14.411504588513914</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-13.65742997222223</v>
      </c>
      <c r="AE13" s="111">
        <f>IF(ISBLANK('In Process Calc.'!AN13),"",'In Process Calc.'!AN13)</f>
        <v>-27.466090277777788</v>
      </c>
      <c r="AF13" s="111">
        <f>IF(ISBLANK('In Process Calc.'!AO13),"",'In Process Calc.'!AO13)</f>
        <v>2.5912695833333075</v>
      </c>
      <c r="AH13" s="111">
        <f>IF(ISBLANK('In Process Calc.'!C13),"",'In Process Calc.'!C13)</f>
        <v>238.18333333334886</v>
      </c>
      <c r="AI13" s="111">
        <f>IF(ISBLANK('Measured Data'!H17),"",'Measured Data'!H17)</f>
        <v>16.753300531005859</v>
      </c>
      <c r="AJ13" s="111">
        <f>IF(ISBLANK('In Process Calc.'!L13),"",'In Process Calc.'!L13)</f>
        <v>30724.39130304955</v>
      </c>
      <c r="AK13" s="111">
        <f>IF(ISBLANK('In Process Calc.'!M13),"",'In Process Calc.'!M13)</f>
        <v>0</v>
      </c>
      <c r="AL13" s="111">
        <f>IF(ISBLANK('In Process Calc.'!N13),"",'In Process Calc.'!N13)</f>
        <v>3032.3680236111113</v>
      </c>
      <c r="AM13" s="111">
        <f>IF(ISBLANK('In Process Calc.'!O13),"",'In Process Calc.'!O13)</f>
        <v>-13.808660305555556</v>
      </c>
      <c r="AN13" s="111">
        <f>IF(ISBLANK('In Process Calc.'!P13),"",'In Process Calc.'!P13)</f>
        <v>-0.3603012777777781</v>
      </c>
      <c r="AO13" s="111">
        <f>IF(ISBLANK('In Process Calc.'!Q13),"",'In Process Calc.'!Q13)</f>
        <v>11.71487947222222</v>
      </c>
      <c r="AP13" s="111">
        <f>IF(ISBLANK('In Process Calc.'!R13),"",'In Process Calc.'!R13)</f>
        <v>-1.4101418333333335</v>
      </c>
      <c r="AQ13" s="111">
        <f>IF(ISBLANK('In Process Calc.'!S13),"",'In Process Calc.'!S13)</f>
        <v>1.697571611111111</v>
      </c>
      <c r="AR13" s="111">
        <f>IF(ISBLANK('In Process Calc.'!T13),"",'In Process Calc.'!T13)</f>
        <v>71.298677089160918</v>
      </c>
      <c r="AS13" s="111">
        <f>IF(ISBLANK('In Process Calc.'!U13),"",'In Process Calc.'!U13)</f>
        <v>-6.2068681111111106</v>
      </c>
      <c r="AT13" s="111">
        <f>IF(ISBLANK('In Process Calc.'!V13),"",'In Process Calc.'!V13)</f>
        <v>-11.40858866666667</v>
      </c>
      <c r="AU13" s="111">
        <f>IF(ISBLANK('In Process Calc.'!W13),"",'In Process Calc.'!W13)</f>
        <v>0</v>
      </c>
      <c r="AV13" s="111">
        <f>IF(ISBLANK('In Process Calc.'!X13),"",'In Process Calc.'!X13)</f>
        <v>0</v>
      </c>
      <c r="AW13" s="111">
        <f>IF(ISBLANK('In Process Calc.'!Y13),"",'In Process Calc.'!Y13)</f>
        <v>0</v>
      </c>
      <c r="AX13" s="111">
        <f>IF(ISBLANK('In Process Calc.'!Z13),"",'In Process Calc.'!Z13)</f>
        <v>14.411504588513914</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-13.65742997222223</v>
      </c>
      <c r="BL13" s="111">
        <f>IF(ISBLANK('In Process Calc.'!AN13),"",'In Process Calc.'!AN13)</f>
        <v>-27.466090277777788</v>
      </c>
      <c r="BM13" s="111">
        <f>IF(ISBLANK('In Process Calc.'!AO13),"",'In Process Calc.'!AO13)</f>
        <v>2.5912695833333075</v>
      </c>
      <c r="BO13" s="54" t="s">
        <v>105</v>
      </c>
      <c r="BP13" s="56">
        <f t="array" ref="BP13:BS13">LINEST($K3:INDEX($K:$K,COUNT($K:$K)+2),$A$3:INDEX($A:$A,COUNT($A:$A)+2)^{1,2,3},TRUE,TRUE)</f>
        <v>-2.337800223875519E-6</v>
      </c>
      <c r="BQ13" s="56">
        <v>2.4113262291100839E-3</v>
      </c>
      <c r="BR13" s="56">
        <v>-0.14779894448435288</v>
      </c>
      <c r="BS13" s="56">
        <v>1.8353530397265736</v>
      </c>
      <c r="BT13" s="56">
        <f t="array" ref="BT13:BX13">LINEST($K3:INDEX($K:$K,COUNT($K:$K)+2),$A$3:INDEX($A:$A,COUNT($A:$A)+2)^{1,2,3,4},TRUE,TRUE)</f>
        <v>-1.5693043393713577E-8</v>
      </c>
      <c r="BU13" s="56">
        <v>8.1337647998140807E-6</v>
      </c>
      <c r="BV13" s="56">
        <v>2.1137935468422628E-4</v>
      </c>
      <c r="BW13" s="56">
        <v>3.1755290517014169E-3</v>
      </c>
      <c r="BX13" s="56">
        <v>0.10167183561732429</v>
      </c>
      <c r="BY13" s="57">
        <f>IF('Cumulative Curves'!$B$12=6,#REF!,IF('Cumulative Curves'!$B$12=5,#REF!, IF( 'Cumulative Curves'!$B$12=4, BX13,IF('Cumulative Curves'!$B$12=3, BS13, 0))))</f>
        <v>0.10167183561732429</v>
      </c>
      <c r="BZ13" s="57">
        <f>IF('Cumulative Curves'!$B$12=6,#REF!,IF('Cumulative Curves'!$B$12=5,#REF!, IF( 'Cumulative Curves'!$B$12=4, BW13,IF('Cumulative Curves'!$B$12=3, BR13, 0))))</f>
        <v>3.1755290517014169E-3</v>
      </c>
      <c r="CA13" s="57">
        <f>IF('Cumulative Curves'!$B$12=6,#REF!,IF('Cumulative Curves'!$B$12=5,#REF!, IF( 'Cumulative Curves'!$B$12=4, BV13,IF('Cumulative Curves'!$B$12=3, BQ13, 0))))</f>
        <v>2.1137935468422628E-4</v>
      </c>
      <c r="CB13" s="57">
        <f>IF('Cumulative Curves'!$B$12=6,#REF!,IF('Cumulative Curves'!$B$12=5,#REF!, IF( 'Cumulative Curves'!$B$12=4, BU13,IF('Cumulative Curves'!$B$12=3, BP13, 0))))</f>
        <v>8.1337647998140807E-6</v>
      </c>
      <c r="CC13" s="57">
        <f>IF('Cumulative Curves'!$B$12=6,#REF!,IF('Cumulative Curves'!$B$12=5,#REF!, IF( 'Cumulative Curves'!$B$12=4,BT13, 0)))</f>
        <v>-1.5693043393713577E-8</v>
      </c>
      <c r="CD13" s="57">
        <f>IF('Cumulative Curves'!$B$12=6,#REF!,IF('Cumulative Curves'!$B$12=5,#REF!, 0))</f>
        <v>0</v>
      </c>
      <c r="CE13" s="57">
        <f>IF('Cumulative Curves'!$B$12=6,#REF!,0)</f>
        <v>0</v>
      </c>
      <c r="CF13" s="49"/>
      <c r="CG13" s="76">
        <f>IF(ISBLANK('In Process Calc.'!C13),"",'In Process Calc.'!C13)</f>
        <v>238.18333333334886</v>
      </c>
      <c r="CH13" s="76">
        <f t="shared" si="0"/>
        <v>16.215190250503181</v>
      </c>
      <c r="CI13" s="76">
        <f t="shared" si="1"/>
        <v>29827.323499563092</v>
      </c>
      <c r="CJ13" s="76">
        <f t="shared" si="2"/>
        <v>0</v>
      </c>
      <c r="CK13" s="76">
        <f t="shared" si="3"/>
        <v>2954.0496699048626</v>
      </c>
      <c r="CL13" s="76">
        <f t="shared" si="4"/>
        <v>-12.062799954018445</v>
      </c>
      <c r="CM13" s="76">
        <f t="shared" si="5"/>
        <v>-0.90965039421848193</v>
      </c>
      <c r="CN13" s="76">
        <f t="shared" si="6"/>
        <v>10.818608080789161</v>
      </c>
      <c r="CO13" s="76">
        <f t="shared" si="7"/>
        <v>-1.6913105999705778</v>
      </c>
      <c r="CP13" s="76">
        <f t="shared" si="8"/>
        <v>1.6210588644391604</v>
      </c>
      <c r="CQ13" s="76">
        <f t="shared" si="9"/>
        <v>72.249822058917289</v>
      </c>
      <c r="CR13" s="76">
        <f t="shared" si="10"/>
        <v>-6.0944393068688072</v>
      </c>
      <c r="CS13" s="76">
        <f t="shared" si="11"/>
        <v>-15.593336736105424</v>
      </c>
      <c r="CT13" s="76">
        <f t="shared" si="12"/>
        <v>0</v>
      </c>
      <c r="CU13" s="76">
        <f t="shared" si="13"/>
        <v>0</v>
      </c>
      <c r="CV13" s="76">
        <f t="shared" si="14"/>
        <v>0</v>
      </c>
      <c r="CW13" s="76">
        <f t="shared" si="15"/>
        <v>16.48850286829969</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-21.139638441379205</v>
      </c>
      <c r="DK13" s="76">
        <f t="shared" si="29"/>
        <v>-33.202438395397635</v>
      </c>
      <c r="DL13" s="76">
        <f t="shared" si="30"/>
        <v>-33.581609625614817</v>
      </c>
    </row>
    <row r="14" spans="1:116" s="48" customFormat="1" ht="12">
      <c r="A14" s="111">
        <f>IF(ISBLANK('In Process Calc.'!C14),"",'In Process Calc.'!C14)</f>
        <v>261.83333333325572</v>
      </c>
      <c r="B14" s="111">
        <f>IF(ISBLANK('Measured Data'!H18),"",'Measured Data'!H18)</f>
        <v>16.191300256347656</v>
      </c>
      <c r="C14" s="111">
        <f>IF(ISBLANK('In Process Calc.'!L14),"",'In Process Calc.'!L14)</f>
        <v>29519.628891693115</v>
      </c>
      <c r="D14" s="111">
        <f>IF(ISBLANK('In Process Calc.'!M14),"",'In Process Calc.'!M14)</f>
        <v>0</v>
      </c>
      <c r="E14" s="111">
        <f>IF(ISBLANK('In Process Calc.'!N14),"",'In Process Calc.'!N14)</f>
        <v>3859.0252555555558</v>
      </c>
      <c r="F14" s="111">
        <f>IF(ISBLANK('In Process Calc.'!O14),"",'In Process Calc.'!O14)</f>
        <v>-11.882762500000002</v>
      </c>
      <c r="G14" s="111">
        <f>IF(ISBLANK('In Process Calc.'!P14),"",'In Process Calc.'!P14)</f>
        <v>0.32313805555555519</v>
      </c>
      <c r="H14" s="111">
        <f>IF(ISBLANK('In Process Calc.'!Q14),"",'In Process Calc.'!Q14)</f>
        <v>11.698777222222221</v>
      </c>
      <c r="I14" s="111">
        <f>IF(ISBLANK('In Process Calc.'!R14),"",'In Process Calc.'!R14)</f>
        <v>-0.79624166666666718</v>
      </c>
      <c r="J14" s="111">
        <f>IF(ISBLANK('In Process Calc.'!S14),"",'In Process Calc.'!S14)</f>
        <v>1.8027272222222221</v>
      </c>
      <c r="K14" s="111">
        <f>IF(ISBLANK('In Process Calc.'!T14),"",'In Process Calc.'!T14)</f>
        <v>86.449325988235898</v>
      </c>
      <c r="L14" s="111">
        <f>IF(ISBLANK('In Process Calc.'!U14),"",'In Process Calc.'!U14)</f>
        <v>-5.0236336111111113</v>
      </c>
      <c r="M14" s="111">
        <f>IF(ISBLANK('In Process Calc.'!V14),"",'In Process Calc.'!V14)</f>
        <v>-6.6414622222222262</v>
      </c>
      <c r="N14" s="111">
        <f>IF(ISBLANK('In Process Calc.'!W14),"",'In Process Calc.'!W14)</f>
        <v>0</v>
      </c>
      <c r="O14" s="111">
        <f>IF(ISBLANK('In Process Calc.'!X14),"",'In Process Calc.'!X14)</f>
        <v>0</v>
      </c>
      <c r="P14" s="111">
        <f>IF(ISBLANK('In Process Calc.'!Y14),"",'In Process Calc.'!Y14)</f>
        <v>0</v>
      </c>
      <c r="Q14" s="111">
        <f>IF(ISBLANK('In Process Calc.'!Z14),"",'In Process Calc.'!Z14)</f>
        <v>8.15571343990527</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-1.0721725000000122</v>
      </c>
      <c r="AE14" s="111">
        <f>IF(ISBLANK('In Process Calc.'!AN14),"",'In Process Calc.'!AN14)</f>
        <v>-12.954935000000013</v>
      </c>
      <c r="AF14" s="111">
        <f>IF(ISBLANK('In Process Calc.'!AO14),"",'In Process Calc.'!AO14)</f>
        <v>33.68814222222219</v>
      </c>
      <c r="AH14" s="111">
        <f>IF(ISBLANK('In Process Calc.'!C14),"",'In Process Calc.'!C14)</f>
        <v>261.83333333325572</v>
      </c>
      <c r="AI14" s="111">
        <f>IF(ISBLANK('Measured Data'!H18),"",'Measured Data'!H18)</f>
        <v>16.191300256347656</v>
      </c>
      <c r="AJ14" s="111">
        <f>IF(ISBLANK('In Process Calc.'!L14),"",'In Process Calc.'!L14)</f>
        <v>29519.628891693115</v>
      </c>
      <c r="AK14" s="111">
        <f>IF(ISBLANK('In Process Calc.'!M14),"",'In Process Calc.'!M14)</f>
        <v>0</v>
      </c>
      <c r="AL14" s="111">
        <f>IF(ISBLANK('In Process Calc.'!N14),"",'In Process Calc.'!N14)</f>
        <v>3859.0252555555558</v>
      </c>
      <c r="AM14" s="111">
        <f>IF(ISBLANK('In Process Calc.'!O14),"",'In Process Calc.'!O14)</f>
        <v>-11.882762500000002</v>
      </c>
      <c r="AN14" s="111">
        <f>IF(ISBLANK('In Process Calc.'!P14),"",'In Process Calc.'!P14)</f>
        <v>0.32313805555555519</v>
      </c>
      <c r="AO14" s="111">
        <f>IF(ISBLANK('In Process Calc.'!Q14),"",'In Process Calc.'!Q14)</f>
        <v>11.698777222222221</v>
      </c>
      <c r="AP14" s="111">
        <f>IF(ISBLANK('In Process Calc.'!R14),"",'In Process Calc.'!R14)</f>
        <v>-0.79624166666666718</v>
      </c>
      <c r="AQ14" s="111">
        <f>IF(ISBLANK('In Process Calc.'!S14),"",'In Process Calc.'!S14)</f>
        <v>1.8027272222222221</v>
      </c>
      <c r="AR14" s="111">
        <f>IF(ISBLANK('In Process Calc.'!T14),"",'In Process Calc.'!T14)</f>
        <v>86.449325988235898</v>
      </c>
      <c r="AS14" s="111">
        <f>IF(ISBLANK('In Process Calc.'!U14),"",'In Process Calc.'!U14)</f>
        <v>-5.0236336111111113</v>
      </c>
      <c r="AT14" s="111">
        <f>IF(ISBLANK('In Process Calc.'!V14),"",'In Process Calc.'!V14)</f>
        <v>-6.6414622222222262</v>
      </c>
      <c r="AU14" s="111">
        <f>IF(ISBLANK('In Process Calc.'!W14),"",'In Process Calc.'!W14)</f>
        <v>0</v>
      </c>
      <c r="AV14" s="111">
        <f>IF(ISBLANK('In Process Calc.'!X14),"",'In Process Calc.'!X14)</f>
        <v>0</v>
      </c>
      <c r="AW14" s="111">
        <f>IF(ISBLANK('In Process Calc.'!Y14),"",'In Process Calc.'!Y14)</f>
        <v>0</v>
      </c>
      <c r="AX14" s="111">
        <f>IF(ISBLANK('In Process Calc.'!Z14),"",'In Process Calc.'!Z14)</f>
        <v>8.15571343990527</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-1.0721725000000122</v>
      </c>
      <c r="BL14" s="111">
        <f>IF(ISBLANK('In Process Calc.'!AN14),"",'In Process Calc.'!AN14)</f>
        <v>-12.954935000000013</v>
      </c>
      <c r="BM14" s="111">
        <f>IF(ISBLANK('In Process Calc.'!AO14),"",'In Process Calc.'!AO14)</f>
        <v>33.68814222222219</v>
      </c>
      <c r="BO14" s="54" t="s">
        <v>50</v>
      </c>
      <c r="BP14" s="56">
        <f t="array" ref="BP14:BS14">LINEST($L3:INDEX($L:$L,COUNT($L:$L)+2),$A$3:INDEX($A:$A,COUNT($A:$A)+2)^{1,2,3},TRUE,TRUE)</f>
        <v>1.0474941425916795E-6</v>
      </c>
      <c r="BQ14" s="56">
        <v>-4.091721456901769E-4</v>
      </c>
      <c r="BR14" s="56">
        <v>1.2575087863890763E-2</v>
      </c>
      <c r="BS14" s="56">
        <v>1.1442752488305175E-2</v>
      </c>
      <c r="BT14" s="56">
        <f t="array" ref="BT14:BX14">LINEST($L3:INDEX($L:$L,COUNT($L:$L)+2),$A$3:INDEX($A:$A,COUNT($A:$A)+2)^{1,2,3,4},TRUE,TRUE)</f>
        <v>-3.8323101036302629E-9</v>
      </c>
      <c r="BU14" s="56">
        <v>3.6046963011725055E-6</v>
      </c>
      <c r="BV14" s="56">
        <v>-9.4640883221392216E-4</v>
      </c>
      <c r="BW14" s="56">
        <v>4.9443717218108509E-2</v>
      </c>
      <c r="BX14" s="56">
        <v>-0.41192981000924611</v>
      </c>
      <c r="BY14" s="57">
        <f t="array" ref="BY14">IF('Cumulative Curves'!$B$13=6,CB37,IF('Cumulative Curves'!$B$13=5,BU37, IF( 'Cumulative Curves'!$B$13=4, BX14,IF('Cumulative Curves'!$B$13=3, BS14, 0))))</f>
        <v>0.2145855098623457</v>
      </c>
      <c r="BZ14" s="57">
        <f t="array" ref="BZ14">IF('Cumulative Curves'!$B$13=6,CA37,IF('Cumulative Curves'!$B$13=5,BT37, IF( 'Cumulative Curves'!$B$13=4, BW14,IF('Cumulative Curves'!$B$13=3, BR14, 0))))</f>
        <v>-6.8005189871274199E-2</v>
      </c>
      <c r="CA14" s="57">
        <f>IF('Cumulative Curves'!$B$13=6,BZ37,IF('Cumulative Curves'!$B$13=5,BS37, IF( 'Cumulative Curves'!$B$13=4, BV14,IF('Cumulative Curves'!$B$13=3, BQ14, 0))))</f>
        <v>2.2986615640496629E-3</v>
      </c>
      <c r="CB14" s="57">
        <f>IF('Cumulative Curves'!$B$13=6,BY37,IF('Cumulative Curves'!$B$13=5,BR37, IF( 'Cumulative Curves'!$B$13=4, BU14,IF('Cumulative Curves'!$B$13=3, BP14, 0))))</f>
        <v>-2.9993723927107939E-5</v>
      </c>
      <c r="CC14" s="57">
        <f>IF('Cumulative Curves'!$B$13=6,BX37,IF('Cumulative Curves'!$B$13=5,BQ37, IF( 'Cumulative Curves'!$B$13=4,BT14, 0)))</f>
        <v>1.5617896167488158E-7</v>
      </c>
      <c r="CD14" s="57">
        <f>IF('Cumulative Curves'!$B$13=6,BW37,IF('Cumulative Curves'!$B$13=5,BP37, 0))</f>
        <v>-3.5494533977720896E-10</v>
      </c>
      <c r="CE14" s="57">
        <f>IF('Cumulative Curves'!$B$13=6,BV37,0)</f>
        <v>2.9691290739659507E-13</v>
      </c>
      <c r="CF14" s="49"/>
      <c r="CG14" s="76">
        <f>IF(ISBLANK('In Process Calc.'!C14),"",'In Process Calc.'!C14)</f>
        <v>261.83333333325572</v>
      </c>
      <c r="CH14" s="76">
        <f t="shared" si="0"/>
        <v>17.026896393961632</v>
      </c>
      <c r="CI14" s="76">
        <f t="shared" si="1"/>
        <v>31063.668133883853</v>
      </c>
      <c r="CJ14" s="76">
        <f t="shared" si="2"/>
        <v>0</v>
      </c>
      <c r="CK14" s="76">
        <f t="shared" si="3"/>
        <v>3657.2389882381322</v>
      </c>
      <c r="CL14" s="76">
        <f t="shared" si="4"/>
        <v>-11.872223735472708</v>
      </c>
      <c r="CM14" s="76">
        <f t="shared" si="5"/>
        <v>-0.4346842275916547</v>
      </c>
      <c r="CN14" s="76">
        <f t="shared" si="6"/>
        <v>12.669150094111643</v>
      </c>
      <c r="CO14" s="76">
        <f t="shared" si="7"/>
        <v>-0.97991888861943721</v>
      </c>
      <c r="CP14" s="76">
        <f t="shared" si="8"/>
        <v>1.7164177220881687</v>
      </c>
      <c r="CQ14" s="76">
        <f t="shared" si="9"/>
        <v>87.671535684630555</v>
      </c>
      <c r="CR14" s="76">
        <f t="shared" si="10"/>
        <v>-5.4915806585988349</v>
      </c>
      <c r="CS14" s="76">
        <f t="shared" si="11"/>
        <v>-12.411172387243766</v>
      </c>
      <c r="CT14" s="76">
        <f t="shared" si="12"/>
        <v>0</v>
      </c>
      <c r="CU14" s="76">
        <f t="shared" si="13"/>
        <v>0</v>
      </c>
      <c r="CV14" s="76">
        <f t="shared" si="14"/>
        <v>0</v>
      </c>
      <c r="CW14" s="76">
        <f t="shared" si="15"/>
        <v>9.6570935294137712</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-12.8122799325606</v>
      </c>
      <c r="DK14" s="76">
        <f t="shared" si="29"/>
        <v>-24.684503668033329</v>
      </c>
      <c r="DL14" s="76">
        <f t="shared" si="30"/>
        <v>-8.4413838178304488</v>
      </c>
    </row>
    <row r="15" spans="1:116" s="48" customFormat="1" ht="12">
      <c r="A15" s="111">
        <f>IF(ISBLANK('In Process Calc.'!C15),"",'In Process Calc.'!C15)</f>
        <v>284.83333333331393</v>
      </c>
      <c r="B15" s="111">
        <f>IF(ISBLANK('Measured Data'!H19),"",'Measured Data'!H19)</f>
        <v>16.129900796508789</v>
      </c>
      <c r="C15" s="111">
        <f>IF(ISBLANK('In Process Calc.'!L15),"",'In Process Calc.'!L15)</f>
        <v>28682.695062487117</v>
      </c>
      <c r="D15" s="111">
        <f>IF(ISBLANK('In Process Calc.'!M15),"",'In Process Calc.'!M15)</f>
        <v>0</v>
      </c>
      <c r="E15" s="111">
        <f>IF(ISBLANK('In Process Calc.'!N15),"",'In Process Calc.'!N15)</f>
        <v>4593.6981444444446</v>
      </c>
      <c r="F15" s="111">
        <f>IF(ISBLANK('In Process Calc.'!O15),"",'In Process Calc.'!O15)</f>
        <v>-8.4987777777777787</v>
      </c>
      <c r="G15" s="111">
        <f>IF(ISBLANK('In Process Calc.'!P15),"",'In Process Calc.'!P15)</f>
        <v>0.97741822222222163</v>
      </c>
      <c r="H15" s="111">
        <f>IF(ISBLANK('In Process Calc.'!Q15),"",'In Process Calc.'!Q15)</f>
        <v>11.703634111111109</v>
      </c>
      <c r="I15" s="111">
        <f>IF(ISBLANK('In Process Calc.'!R15),"",'In Process Calc.'!R15)</f>
        <v>0.19239566666666641</v>
      </c>
      <c r="J15" s="111">
        <f>IF(ISBLANK('In Process Calc.'!S15),"",'In Process Calc.'!S15)</f>
        <v>1.7830759999999999</v>
      </c>
      <c r="K15" s="111">
        <f>IF(ISBLANK('In Process Calc.'!T15),"",'In Process Calc.'!T15)</f>
        <v>103.05467116437173</v>
      </c>
      <c r="L15" s="111">
        <f>IF(ISBLANK('In Process Calc.'!U15),"",'In Process Calc.'!U15)</f>
        <v>-4.6163913333333335</v>
      </c>
      <c r="M15" s="111">
        <f>IF(ISBLANK('In Process Calc.'!V15),"",'In Process Calc.'!V15)</f>
        <v>-2.0623628888888934</v>
      </c>
      <c r="N15" s="111">
        <f>IF(ISBLANK('In Process Calc.'!W15),"",'In Process Calc.'!W15)</f>
        <v>0</v>
      </c>
      <c r="O15" s="111">
        <f>IF(ISBLANK('In Process Calc.'!X15),"",'In Process Calc.'!X15)</f>
        <v>0</v>
      </c>
      <c r="P15" s="111">
        <f>IF(ISBLANK('In Process Calc.'!Y15),"",'In Process Calc.'!Y15)</f>
        <v>0</v>
      </c>
      <c r="Q15" s="111">
        <f>IF(ISBLANK('In Process Calc.'!Z15),"",'In Process Calc.'!Z15)</f>
        <v>4.3035820011841333</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11.281565444444428</v>
      </c>
      <c r="AE15" s="111">
        <f>IF(ISBLANK('In Process Calc.'!AN15),"",'In Process Calc.'!AN15)</f>
        <v>2.7827876666666498</v>
      </c>
      <c r="AF15" s="111">
        <f>IF(ISBLANK('In Process Calc.'!AO15),"",'In Process Calc.'!AO15)</f>
        <v>56.249646666666621</v>
      </c>
      <c r="AH15" s="111">
        <f>IF(ISBLANK('In Process Calc.'!C15),"",'In Process Calc.'!C15)</f>
        <v>284.83333333331393</v>
      </c>
      <c r="AI15" s="111">
        <f>IF(ISBLANK('Measured Data'!H19),"",'Measured Data'!H19)</f>
        <v>16.129900796508789</v>
      </c>
      <c r="AJ15" s="111">
        <f>IF(ISBLANK('In Process Calc.'!L15),"",'In Process Calc.'!L15)</f>
        <v>28682.695062487117</v>
      </c>
      <c r="AK15" s="111">
        <f>IF(ISBLANK('In Process Calc.'!M15),"",'In Process Calc.'!M15)</f>
        <v>0</v>
      </c>
      <c r="AL15" s="111">
        <f>IF(ISBLANK('In Process Calc.'!N15),"",'In Process Calc.'!N15)</f>
        <v>4593.6981444444446</v>
      </c>
      <c r="AM15" s="111">
        <f>IF(ISBLANK('In Process Calc.'!O15),"",'In Process Calc.'!O15)</f>
        <v>-8.4987777777777787</v>
      </c>
      <c r="AN15" s="111">
        <f>IF(ISBLANK('In Process Calc.'!P15),"",'In Process Calc.'!P15)</f>
        <v>0.97741822222222163</v>
      </c>
      <c r="AO15" s="111">
        <f>IF(ISBLANK('In Process Calc.'!Q15),"",'In Process Calc.'!Q15)</f>
        <v>11.703634111111109</v>
      </c>
      <c r="AP15" s="111">
        <f>IF(ISBLANK('In Process Calc.'!R15),"",'In Process Calc.'!R15)</f>
        <v>0.19239566666666641</v>
      </c>
      <c r="AQ15" s="111">
        <f>IF(ISBLANK('In Process Calc.'!S15),"",'In Process Calc.'!S15)</f>
        <v>1.7830759999999999</v>
      </c>
      <c r="AR15" s="111">
        <f>IF(ISBLANK('In Process Calc.'!T15),"",'In Process Calc.'!T15)</f>
        <v>103.05467116437173</v>
      </c>
      <c r="AS15" s="111">
        <f>IF(ISBLANK('In Process Calc.'!U15),"",'In Process Calc.'!U15)</f>
        <v>-4.6163913333333335</v>
      </c>
      <c r="AT15" s="111">
        <f>IF(ISBLANK('In Process Calc.'!V15),"",'In Process Calc.'!V15)</f>
        <v>-2.0623628888888934</v>
      </c>
      <c r="AU15" s="111">
        <f>IF(ISBLANK('In Process Calc.'!W15),"",'In Process Calc.'!W15)</f>
        <v>0</v>
      </c>
      <c r="AV15" s="111">
        <f>IF(ISBLANK('In Process Calc.'!X15),"",'In Process Calc.'!X15)</f>
        <v>0</v>
      </c>
      <c r="AW15" s="111">
        <f>IF(ISBLANK('In Process Calc.'!Y15),"",'In Process Calc.'!Y15)</f>
        <v>0</v>
      </c>
      <c r="AX15" s="111">
        <f>IF(ISBLANK('In Process Calc.'!Z15),"",'In Process Calc.'!Z15)</f>
        <v>4.3035820011841333</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11.281565444444428</v>
      </c>
      <c r="BL15" s="111">
        <f>IF(ISBLANK('In Process Calc.'!AN15),"",'In Process Calc.'!AN15)</f>
        <v>2.7827876666666498</v>
      </c>
      <c r="BM15" s="111">
        <f>IF(ISBLANK('In Process Calc.'!AO15),"",'In Process Calc.'!AO15)</f>
        <v>56.249646666666621</v>
      </c>
      <c r="BO15" s="54" t="s">
        <v>47</v>
      </c>
      <c r="BP15" s="56">
        <f t="array" ref="BP15:BS15">LINEST($M3:INDEX($M:$M,COUNT($M:$M)+2),$A$3:INDEX($A:$A,COUNT($A:$A)+2)^{1,2,3},TRUE,TRUE)</f>
        <v>1.6684242672284781E-6</v>
      </c>
      <c r="BQ15" s="56">
        <v>4.6888327763929227E-6</v>
      </c>
      <c r="BR15" s="56">
        <v>-0.18087579334175599</v>
      </c>
      <c r="BS15" s="56">
        <v>4.6777592302572018</v>
      </c>
      <c r="BT15" s="56">
        <f t="array" ref="BT15:BX15">LINEST($M3:INDEX($M:$M,COUNT($M:$M)+2),$A$3:INDEX($A:$A,COUNT($A:$A)+2)^{1,2,3,4},TRUE,TRUE)</f>
        <v>-6.5705286452739438E-8</v>
      </c>
      <c r="BU15" s="56">
        <v>4.5511875293791676E-5</v>
      </c>
      <c r="BV15" s="56">
        <v>-9.2062803806818323E-3</v>
      </c>
      <c r="BW15" s="56">
        <v>0.45124002905581206</v>
      </c>
      <c r="BX15" s="56">
        <v>-2.5809997800798783</v>
      </c>
      <c r="BY15" s="57">
        <f>IF('Cumulative Curves'!$B$14=6,#REF!,IF('Cumulative Curves'!$B$14=5,#REF!, IF( 'Cumulative Curves'!$B$14=4, BX15,IF('Cumulative Curves'!$B$14=3, BS15, 0))))</f>
        <v>4.6777592302572018</v>
      </c>
      <c r="BZ15" s="57">
        <f>IF('Cumulative Curves'!$B$14=6,#REF!,IF('Cumulative Curves'!$B$14=5,#REF!, IF( 'Cumulative Curves'!$B$14=4, BW15,IF('Cumulative Curves'!$B$14=3, BR15, 0))))</f>
        <v>-0.18087579334175599</v>
      </c>
      <c r="CA15" s="57">
        <f>IF('Cumulative Curves'!$B$14=6,#REF!,IF('Cumulative Curves'!$B$14=5,#REF!, IF( 'Cumulative Curves'!$B$14=4, BV15,IF('Cumulative Curves'!$B$14=3, BQ15, 0))))</f>
        <v>4.6888327763929227E-6</v>
      </c>
      <c r="CB15" s="57">
        <f>IF('Cumulative Curves'!$B$14=6,#REF!,IF('Cumulative Curves'!$B$14=5,#REF!, IF( 'Cumulative Curves'!$B$14=4, BU15,IF('Cumulative Curves'!$B$14=3, BP15, 0))))</f>
        <v>1.6684242672284781E-6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284.83333333331393</v>
      </c>
      <c r="CH15" s="76">
        <f t="shared" si="0"/>
        <v>16.86867821820811</v>
      </c>
      <c r="CI15" s="76">
        <f t="shared" si="1"/>
        <v>30463.386012660863</v>
      </c>
      <c r="CJ15" s="76">
        <f t="shared" si="2"/>
        <v>0</v>
      </c>
      <c r="CK15" s="76">
        <f t="shared" si="3"/>
        <v>4354.352897061116</v>
      </c>
      <c r="CL15" s="76">
        <f t="shared" si="4"/>
        <v>-10.413008391327651</v>
      </c>
      <c r="CM15" s="76">
        <f t="shared" si="5"/>
        <v>0.23631949951923836</v>
      </c>
      <c r="CN15" s="76">
        <f t="shared" si="6"/>
        <v>13.589195850903351</v>
      </c>
      <c r="CO15" s="76">
        <f t="shared" si="7"/>
        <v>-0.31175525795729442</v>
      </c>
      <c r="CP15" s="76">
        <f t="shared" si="8"/>
        <v>1.7233875590025454</v>
      </c>
      <c r="CQ15" s="76">
        <f t="shared" si="9"/>
        <v>102.82189082099322</v>
      </c>
      <c r="CR15" s="76">
        <f t="shared" si="10"/>
        <v>-4.6908562662386828</v>
      </c>
      <c r="CS15" s="76">
        <f t="shared" si="11"/>
        <v>-7.9064481212918167</v>
      </c>
      <c r="CT15" s="76">
        <f t="shared" si="12"/>
        <v>0</v>
      </c>
      <c r="CU15" s="76">
        <f t="shared" si="13"/>
        <v>0</v>
      </c>
      <c r="CV15" s="76">
        <f t="shared" si="14"/>
        <v>0</v>
      </c>
      <c r="CW15" s="76">
        <f t="shared" si="15"/>
        <v>3.2595536782536101</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-1.2045735691684882</v>
      </c>
      <c r="DK15" s="76">
        <f t="shared" si="29"/>
        <v>-11.617581960496125</v>
      </c>
      <c r="DL15" s="76">
        <f t="shared" si="30"/>
        <v>21.220113385007366</v>
      </c>
    </row>
    <row r="16" spans="1:116" s="48" customFormat="1" ht="12">
      <c r="A16" s="111">
        <f>IF(ISBLANK('In Process Calc.'!C16),"",'In Process Calc.'!C16)</f>
        <v>308.66666666662786</v>
      </c>
      <c r="B16" s="111">
        <f>IF(ISBLANK('Measured Data'!H20),"",'Measured Data'!H20)</f>
        <v>15.486100061035156</v>
      </c>
      <c r="C16" s="111">
        <f>IF(ISBLANK('In Process Calc.'!L16),"",'In Process Calc.'!L16)</f>
        <v>27428.22468223131</v>
      </c>
      <c r="D16" s="111">
        <f>IF(ISBLANK('In Process Calc.'!M16),"",'In Process Calc.'!M16)</f>
        <v>0</v>
      </c>
      <c r="E16" s="111">
        <f>IF(ISBLANK('In Process Calc.'!N16),"",'In Process Calc.'!N16)</f>
        <v>5216.8884716666671</v>
      </c>
      <c r="F16" s="111">
        <f>IF(ISBLANK('In Process Calc.'!O16),"",'In Process Calc.'!O16)</f>
        <v>-5.0843223888888902</v>
      </c>
      <c r="G16" s="111">
        <f>IF(ISBLANK('In Process Calc.'!P16),"",'In Process Calc.'!P16)</f>
        <v>1.4317899444444442</v>
      </c>
      <c r="H16" s="111">
        <f>IF(ISBLANK('In Process Calc.'!Q16),"",'In Process Calc.'!Q16)</f>
        <v>11.689605833333331</v>
      </c>
      <c r="I16" s="111">
        <f>IF(ISBLANK('In Process Calc.'!R16),"",'In Process Calc.'!R16)</f>
        <v>0.68544588888888858</v>
      </c>
      <c r="J16" s="111">
        <f>IF(ISBLANK('In Process Calc.'!S16),"",'In Process Calc.'!S16)</f>
        <v>1.6178337222222221</v>
      </c>
      <c r="K16" s="111">
        <f>IF(ISBLANK('In Process Calc.'!T16),"",'In Process Calc.'!T16)</f>
        <v>118.69643760746584</v>
      </c>
      <c r="L16" s="111">
        <f>IF(ISBLANK('In Process Calc.'!U16),"",'In Process Calc.'!U16)</f>
        <v>-4.2608473333333334</v>
      </c>
      <c r="M16" s="111">
        <f>IF(ISBLANK('In Process Calc.'!V16),"",'In Process Calc.'!V16)</f>
        <v>0.34836561111110731</v>
      </c>
      <c r="N16" s="111">
        <f>IF(ISBLANK('In Process Calc.'!W16),"",'In Process Calc.'!W16)</f>
        <v>0</v>
      </c>
      <c r="O16" s="111">
        <f>IF(ISBLANK('In Process Calc.'!X16),"",'In Process Calc.'!X16)</f>
        <v>0</v>
      </c>
      <c r="P16" s="111">
        <f>IF(ISBLANK('In Process Calc.'!Y16),"",'In Process Calc.'!Y16)</f>
        <v>0</v>
      </c>
      <c r="Q16" s="111">
        <f>IF(ISBLANK('In Process Calc.'!Z16),"",'In Process Calc.'!Z16)</f>
        <v>2.0831914841128882</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19.769833333333324</v>
      </c>
      <c r="AE16" s="111">
        <f>IF(ISBLANK('In Process Calc.'!AN16),"",'In Process Calc.'!AN16)</f>
        <v>14.685510944444435</v>
      </c>
      <c r="AF16" s="111">
        <f>IF(ISBLANK('In Process Calc.'!AO16),"",'In Process Calc.'!AO16)</f>
        <v>63.488507444444416</v>
      </c>
      <c r="AH16" s="111">
        <f>IF(ISBLANK('In Process Calc.'!C16),"",'In Process Calc.'!C16)</f>
        <v>308.66666666662786</v>
      </c>
      <c r="AI16" s="111">
        <f>IF(ISBLANK('Measured Data'!H20),"",'Measured Data'!H20)</f>
        <v>15.486100061035156</v>
      </c>
      <c r="AJ16" s="111">
        <f>IF(ISBLANK('In Process Calc.'!L16),"",'In Process Calc.'!L16)</f>
        <v>27428.22468223131</v>
      </c>
      <c r="AK16" s="111">
        <f>IF(ISBLANK('In Process Calc.'!M16),"",'In Process Calc.'!M16)</f>
        <v>0</v>
      </c>
      <c r="AL16" s="111">
        <f>IF(ISBLANK('In Process Calc.'!N16),"",'In Process Calc.'!N16)</f>
        <v>5216.8884716666671</v>
      </c>
      <c r="AM16" s="111">
        <f>IF(ISBLANK('In Process Calc.'!O16),"",'In Process Calc.'!O16)</f>
        <v>-5.0843223888888902</v>
      </c>
      <c r="AN16" s="111">
        <f>IF(ISBLANK('In Process Calc.'!P16),"",'In Process Calc.'!P16)</f>
        <v>1.4317899444444442</v>
      </c>
      <c r="AO16" s="111">
        <f>IF(ISBLANK('In Process Calc.'!Q16),"",'In Process Calc.'!Q16)</f>
        <v>11.689605833333331</v>
      </c>
      <c r="AP16" s="111">
        <f>IF(ISBLANK('In Process Calc.'!R16),"",'In Process Calc.'!R16)</f>
        <v>0.68544588888888858</v>
      </c>
      <c r="AQ16" s="111">
        <f>IF(ISBLANK('In Process Calc.'!S16),"",'In Process Calc.'!S16)</f>
        <v>1.6178337222222221</v>
      </c>
      <c r="AR16" s="111">
        <f>IF(ISBLANK('In Process Calc.'!T16),"",'In Process Calc.'!T16)</f>
        <v>118.69643760746584</v>
      </c>
      <c r="AS16" s="111">
        <f>IF(ISBLANK('In Process Calc.'!U16),"",'In Process Calc.'!U16)</f>
        <v>-4.2608473333333334</v>
      </c>
      <c r="AT16" s="111">
        <f>IF(ISBLANK('In Process Calc.'!V16),"",'In Process Calc.'!V16)</f>
        <v>0.34836561111110731</v>
      </c>
      <c r="AU16" s="111">
        <f>IF(ISBLANK('In Process Calc.'!W16),"",'In Process Calc.'!W16)</f>
        <v>0</v>
      </c>
      <c r="AV16" s="111">
        <f>IF(ISBLANK('In Process Calc.'!X16),"",'In Process Calc.'!X16)</f>
        <v>0</v>
      </c>
      <c r="AW16" s="111">
        <f>IF(ISBLANK('In Process Calc.'!Y16),"",'In Process Calc.'!Y16)</f>
        <v>0</v>
      </c>
      <c r="AX16" s="111">
        <f>IF(ISBLANK('In Process Calc.'!Z16),"",'In Process Calc.'!Z16)</f>
        <v>2.0831914841128882</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19.769833333333324</v>
      </c>
      <c r="BL16" s="111">
        <f>IF(ISBLANK('In Process Calc.'!AN16),"",'In Process Calc.'!AN16)</f>
        <v>14.685510944444435</v>
      </c>
      <c r="BM16" s="111">
        <f>IF(ISBLANK('In Process Calc.'!AO16),"",'In Process Calc.'!AO16)</f>
        <v>63.488507444444416</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308.66666666662786</v>
      </c>
      <c r="CH16" s="76">
        <f t="shared" si="0"/>
        <v>15.485900761346695</v>
      </c>
      <c r="CI16" s="76">
        <f t="shared" si="1"/>
        <v>27573.757317044074</v>
      </c>
      <c r="CJ16" s="76">
        <f t="shared" si="2"/>
        <v>0</v>
      </c>
      <c r="CK16" s="76">
        <f t="shared" si="3"/>
        <v>5074.4800341740511</v>
      </c>
      <c r="CL16" s="76">
        <f t="shared" si="4"/>
        <v>-7.3041951325312624</v>
      </c>
      <c r="CM16" s="76">
        <f t="shared" si="5"/>
        <v>1.1755890041084065</v>
      </c>
      <c r="CN16" s="76">
        <f t="shared" si="6"/>
        <v>13.04006984274173</v>
      </c>
      <c r="CO16" s="76">
        <f t="shared" si="7"/>
        <v>9.8632448616683632E-2</v>
      </c>
      <c r="CP16" s="76">
        <f t="shared" si="8"/>
        <v>1.6221283410901348</v>
      </c>
      <c r="CQ16" s="76">
        <f t="shared" si="9"/>
        <v>117.96964262487768</v>
      </c>
      <c r="CR16" s="76">
        <f t="shared" si="10"/>
        <v>-3.8720198760252629</v>
      </c>
      <c r="CS16" s="76">
        <f t="shared" si="11"/>
        <v>-1.6404003541381584</v>
      </c>
      <c r="CT16" s="76">
        <f t="shared" si="12"/>
        <v>0</v>
      </c>
      <c r="CU16" s="76">
        <f t="shared" si="13"/>
        <v>0</v>
      </c>
      <c r="CV16" s="76">
        <f t="shared" si="14"/>
        <v>0</v>
      </c>
      <c r="CW16" s="76">
        <f t="shared" si="15"/>
        <v>0.19117581024795527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14.870787863014584</v>
      </c>
      <c r="DK16" s="76">
        <f t="shared" si="29"/>
        <v>7.5665927304833644</v>
      </c>
      <c r="DL16" s="76">
        <f t="shared" si="30"/>
        <v>57.279204426600465</v>
      </c>
    </row>
    <row r="17" spans="1:116" s="48" customFormat="1" ht="12">
      <c r="A17" s="111">
        <f>IF(ISBLANK('In Process Calc.'!C17),"",'In Process Calc.'!C17)</f>
        <v>333.01666666654637</v>
      </c>
      <c r="B17" s="111">
        <f>IF(ISBLANK('Measured Data'!H21),"",'Measured Data'!H21)</f>
        <v>12.884300096130371</v>
      </c>
      <c r="C17" s="111">
        <f>IF(ISBLANK('In Process Calc.'!L17),"",'In Process Calc.'!L17)</f>
        <v>22710.853350833804</v>
      </c>
      <c r="D17" s="111">
        <f>IF(ISBLANK('In Process Calc.'!M17),"",'In Process Calc.'!M17)</f>
        <v>0</v>
      </c>
      <c r="E17" s="111">
        <f>IF(ISBLANK('In Process Calc.'!N17),"",'In Process Calc.'!N17)</f>
        <v>5492.0639488888901</v>
      </c>
      <c r="F17" s="111">
        <f>IF(ISBLANK('In Process Calc.'!O17),"",'In Process Calc.'!O17)</f>
        <v>-3.9673431111111119</v>
      </c>
      <c r="G17" s="111">
        <f>IF(ISBLANK('In Process Calc.'!P17),"",'In Process Calc.'!P17)</f>
        <v>1.5480791111111107</v>
      </c>
      <c r="H17" s="111">
        <f>IF(ISBLANK('In Process Calc.'!Q17),"",'In Process Calc.'!Q17)</f>
        <v>11.678966999999998</v>
      </c>
      <c r="I17" s="111">
        <f>IF(ISBLANK('In Process Calc.'!R17),"",'In Process Calc.'!R17)</f>
        <v>-0.70658900000000036</v>
      </c>
      <c r="J17" s="111">
        <f>IF(ISBLANK('In Process Calc.'!S17),"",'In Process Calc.'!S17)</f>
        <v>1.3176104444444443</v>
      </c>
      <c r="K17" s="111">
        <f>IF(ISBLANK('In Process Calc.'!T17),"",'In Process Calc.'!T17)</f>
        <v>131.72909914153692</v>
      </c>
      <c r="L17" s="111">
        <f>IF(ISBLANK('In Process Calc.'!U17),"",'In Process Calc.'!U17)</f>
        <v>-3.054977111111111</v>
      </c>
      <c r="M17" s="111">
        <f>IF(ISBLANK('In Process Calc.'!V17),"",'In Process Calc.'!V17)</f>
        <v>-0.11845444444444814</v>
      </c>
      <c r="N17" s="111">
        <f>IF(ISBLANK('In Process Calc.'!W17),"",'In Process Calc.'!W17)</f>
        <v>0</v>
      </c>
      <c r="O17" s="111">
        <f>IF(ISBLANK('In Process Calc.'!X17),"",'In Process Calc.'!X17)</f>
        <v>0</v>
      </c>
      <c r="P17" s="111">
        <f>IF(ISBLANK('In Process Calc.'!Y17),"",'In Process Calc.'!Y17)</f>
        <v>0</v>
      </c>
      <c r="Q17" s="111">
        <f>IF(ISBLANK('In Process Calc.'!Z17),"",'In Process Calc.'!Z17)</f>
        <v>4.8764801657785686</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21.283130555555545</v>
      </c>
      <c r="AE17" s="111">
        <f>IF(ISBLANK('In Process Calc.'!AN17),"",'In Process Calc.'!AN17)</f>
        <v>17.315787444444432</v>
      </c>
      <c r="AF17" s="111">
        <f>IF(ISBLANK('In Process Calc.'!AO17),"",'In Process Calc.'!AO17)</f>
        <v>57.11852088888886</v>
      </c>
      <c r="AH17" s="111">
        <f>IF(ISBLANK('In Process Calc.'!C17),"",'In Process Calc.'!C17)</f>
        <v>333.01666666654637</v>
      </c>
      <c r="AI17" s="111">
        <f>IF(ISBLANK('Measured Data'!H21),"",'Measured Data'!H21)</f>
        <v>12.884300096130371</v>
      </c>
      <c r="AJ17" s="111">
        <f>IF(ISBLANK('In Process Calc.'!L17),"",'In Process Calc.'!L17)</f>
        <v>22710.853350833804</v>
      </c>
      <c r="AK17" s="111">
        <f>IF(ISBLANK('In Process Calc.'!M17),"",'In Process Calc.'!M17)</f>
        <v>0</v>
      </c>
      <c r="AL17" s="111">
        <f>IF(ISBLANK('In Process Calc.'!N17),"",'In Process Calc.'!N17)</f>
        <v>5492.0639488888901</v>
      </c>
      <c r="AM17" s="111">
        <f>IF(ISBLANK('In Process Calc.'!O17),"",'In Process Calc.'!O17)</f>
        <v>-3.9673431111111119</v>
      </c>
      <c r="AN17" s="111">
        <f>IF(ISBLANK('In Process Calc.'!P17),"",'In Process Calc.'!P17)</f>
        <v>1.5480791111111107</v>
      </c>
      <c r="AO17" s="111">
        <f>IF(ISBLANK('In Process Calc.'!Q17),"",'In Process Calc.'!Q17)</f>
        <v>11.678966999999998</v>
      </c>
      <c r="AP17" s="111">
        <f>IF(ISBLANK('In Process Calc.'!R17),"",'In Process Calc.'!R17)</f>
        <v>-0.70658900000000036</v>
      </c>
      <c r="AQ17" s="111">
        <f>IF(ISBLANK('In Process Calc.'!S17),"",'In Process Calc.'!S17)</f>
        <v>1.3176104444444443</v>
      </c>
      <c r="AR17" s="111">
        <f>IF(ISBLANK('In Process Calc.'!T17),"",'In Process Calc.'!T17)</f>
        <v>131.72909914153692</v>
      </c>
      <c r="AS17" s="111">
        <f>IF(ISBLANK('In Process Calc.'!U17),"",'In Process Calc.'!U17)</f>
        <v>-3.054977111111111</v>
      </c>
      <c r="AT17" s="111">
        <f>IF(ISBLANK('In Process Calc.'!V17),"",'In Process Calc.'!V17)</f>
        <v>-0.11845444444444814</v>
      </c>
      <c r="AU17" s="111">
        <f>IF(ISBLANK('In Process Calc.'!W17),"",'In Process Calc.'!W17)</f>
        <v>0</v>
      </c>
      <c r="AV17" s="111">
        <f>IF(ISBLANK('In Process Calc.'!X17),"",'In Process Calc.'!X17)</f>
        <v>0</v>
      </c>
      <c r="AW17" s="111">
        <f>IF(ISBLANK('In Process Calc.'!Y17),"",'In Process Calc.'!Y17)</f>
        <v>0</v>
      </c>
      <c r="AX17" s="111">
        <f>IF(ISBLANK('In Process Calc.'!Z17),"",'In Process Calc.'!Z17)</f>
        <v>4.8764801657785686</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21.283130555555545</v>
      </c>
      <c r="BL17" s="111">
        <f>IF(ISBLANK('In Process Calc.'!AN17),"",'In Process Calc.'!AN17)</f>
        <v>17.315787444444432</v>
      </c>
      <c r="BM17" s="111">
        <f>IF(ISBLANK('In Process Calc.'!AO17),"",'In Process Calc.'!AO17)</f>
        <v>57.11852088888886</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333.01666666654637</v>
      </c>
      <c r="CH17" s="76">
        <f t="shared" si="0"/>
        <v>12.537755730067348</v>
      </c>
      <c r="CI17" s="76">
        <f t="shared" si="1"/>
        <v>21821.50058471688</v>
      </c>
      <c r="CJ17" s="76">
        <f t="shared" si="2"/>
        <v>0</v>
      </c>
      <c r="CK17" s="76">
        <f t="shared" si="3"/>
        <v>5790.8423707072843</v>
      </c>
      <c r="CL17" s="76">
        <f t="shared" si="4"/>
        <v>-2.161396976162905</v>
      </c>
      <c r="CM17" s="76">
        <f t="shared" si="5"/>
        <v>2.4197101608705029</v>
      </c>
      <c r="CN17" s="76">
        <f t="shared" si="6"/>
        <v>10.170290778055517</v>
      </c>
      <c r="CO17" s="76">
        <f t="shared" si="7"/>
        <v>-0.12197096080276992</v>
      </c>
      <c r="CP17" s="76">
        <f t="shared" si="8"/>
        <v>1.3842036803580768</v>
      </c>
      <c r="CQ17" s="76">
        <f t="shared" si="9"/>
        <v>131.98785896325626</v>
      </c>
      <c r="CR17" s="76">
        <f t="shared" si="10"/>
        <v>-3.1907399282803794</v>
      </c>
      <c r="CS17" s="76">
        <f t="shared" si="11"/>
        <v>6.5806446572396382</v>
      </c>
      <c r="CT17" s="76">
        <f t="shared" si="12"/>
        <v>0</v>
      </c>
      <c r="CU17" s="76">
        <f t="shared" si="13"/>
        <v>0</v>
      </c>
      <c r="CV17" s="76">
        <f t="shared" si="14"/>
        <v>0</v>
      </c>
      <c r="CW17" s="76">
        <f t="shared" si="15"/>
        <v>5.8922568693020594</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35.969483870731523</v>
      </c>
      <c r="DK17" s="76">
        <f t="shared" si="29"/>
        <v>33.808086894568646</v>
      </c>
      <c r="DL17" s="76">
        <f t="shared" si="30"/>
        <v>99.609529700937557</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-9.6399539084009999E-7</v>
      </c>
      <c r="BQ19" s="56">
        <v>-2.8386303831493426E-4</v>
      </c>
      <c r="BR19" s="56">
        <v>0.20700522518851133</v>
      </c>
      <c r="BS19" s="56">
        <v>-3.6093770593576089</v>
      </c>
      <c r="BT19" s="56">
        <f t="array" ref="BT19:BX19">LINEST($Q3:INDEX($Q:$Q,COUNT($Q:$Q)+2),$A$3:INDEX($A:$A,COUNT($A:$A)+2)^{1,2,3,4},TRUE,TRUE)</f>
        <v>5.452821243720643E-8</v>
      </c>
      <c r="BU19" s="56">
        <v>-3.7349271836994596E-5</v>
      </c>
      <c r="BV19" s="56">
        <v>7.360235528781075E-3</v>
      </c>
      <c r="BW19" s="56">
        <v>-0.31758187745514477</v>
      </c>
      <c r="BX19" s="56">
        <v>2.4146002294537539</v>
      </c>
      <c r="BY19" s="57">
        <f>IF('Cumulative Curves'!$B$18=6,CB36,IF('Cumulative Curves'!$B$18=5,BU36,IF('Cumulative Curves'!$B$18=4,BX19,IF('Cumulative Curves'!$B$18=3,BS19,0))))</f>
        <v>0.43706261540580726</v>
      </c>
      <c r="BZ19" s="57">
        <f>IF('Cumulative Curves'!$B$18=6,CA36,IF('Cumulative Curves'!$B$18=5,BT36,IF('Cumulative Curves'!$B$18=4,BW19,IF('Cumulative Curves'!$B$18=3,BR19,0))))</f>
        <v>-5.7331057976824588E-3</v>
      </c>
      <c r="CA19" s="57">
        <f>IF('Cumulative Curves'!$B$18=6,BZ36,IF('Cumulative Curves'!$B$18=5,BS36,IF('Cumulative Curves'!$B$18=4,BV19,IF('Cumulative Curves'!$B$18=3,BQ19,0))))</f>
        <v>6.3831754143874457E-5</v>
      </c>
      <c r="CB19" s="57">
        <f>IF('Cumulative Curves'!$B$18=6,BY36,IF('Cumulative Curves'!$B$18=5,BR36, IF( 'Cumulative Curves'!$B$18=4, BU19,IF('Cumulative Curves'!$B$18=3, BP19, 0))))</f>
        <v>2.3109557279726368E-5</v>
      </c>
      <c r="CC19" s="57">
        <f>IF('Cumulative Curves'!$B$18=6,BX36,IF('Cumulative Curves'!$B$18=5,BQ36, IF( 'Cumulative Curves'!$B$18=4,BT19, 0)))</f>
        <v>-1.5142480914429584E-7</v>
      </c>
      <c r="CD19" s="57">
        <f>IF('Cumulative Curves'!$B$18=6,BW36,IF('Cumulative Curves'!$B$18=5,BP36, 0))</f>
        <v>2.4639434443110062E-10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5.0389700480403799E-6</v>
      </c>
      <c r="BQ32" s="56">
        <v>-6.8420963638919012E-4</v>
      </c>
      <c r="BR32" s="56">
        <v>-0.25135007063295067</v>
      </c>
      <c r="BS32" s="56">
        <v>9.4550296943964369</v>
      </c>
      <c r="BT32" s="56">
        <f t="array" ref="BT32:BX32">LINEST($BK3:INDEX($BK:$BK,COUNT($BK:$BK)+2),$AH$3:INDEX($AH:$AH,COUNT($AH:$AH)+2)^{1,2,3,4},TRUE,TRUE)</f>
        <v>-1.4388904810049526E-7</v>
      </c>
      <c r="BU32" s="56">
        <v>1.0105243828229744E-4</v>
      </c>
      <c r="BV32" s="56">
        <v>-2.0855457092418098E-2</v>
      </c>
      <c r="BW32" s="56">
        <v>1.1329303866095519</v>
      </c>
      <c r="BX32" s="56">
        <v>-6.4410416991823922</v>
      </c>
      <c r="BY32" s="57">
        <f>IF('Cumulative Curves'!$B$23=6,#REF!,IF('Cumulative Curves'!$B$23=5,#REF!, IF( 'Cumulative Curves'!$B$23=4, BX32,IF('Cumulative Curves'!$B$23=3, BS32, 0))))</f>
        <v>9.4550296943964369</v>
      </c>
      <c r="BZ32" s="57">
        <f>IF('Cumulative Curves'!$B$23=6,#REF!,IF('Cumulative Curves'!$B$23=5,#REF!, IF( 'Cumulative Curves'!$B$23=4, BW32,IF('Cumulative Curves'!$B$23=3, BR32, 0))))</f>
        <v>-0.25135007063295067</v>
      </c>
      <c r="CA32" s="57">
        <f>IF('Cumulative Curves'!$B$23=6,#REF!,IF('Cumulative Curves'!$B$23=5,#REF!, IF( 'Cumulative Curves'!$B$23=4, BV32,IF('Cumulative Curves'!$B$23=3, BQ32, 0))))</f>
        <v>-6.8420963638919012E-4</v>
      </c>
      <c r="CB32" s="57">
        <f>IF('Cumulative Curves'!$B$23=6,#REF!,IF('Cumulative Curves'!$B$23=5,#REF!, IF( 'Cumulative Curves'!$B$23=4, BU32,IF('Cumulative Curves'!$B$23=3, BP32, 0))))</f>
        <v>5.0389700480403799E-6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8.4900628838818481E-6</v>
      </c>
      <c r="BQ33" s="56">
        <v>-2.2055339463816254E-3</v>
      </c>
      <c r="BR33" s="56">
        <v>-0.13020998374031825</v>
      </c>
      <c r="BS33" s="56">
        <v>8.2126661986667955</v>
      </c>
      <c r="BT33" s="56">
        <f t="array" ref="BT33:BX33">LINEST($BL3:INDEX($BL:$BL,COUNT($BL:$BL)+2),$AH$3:INDEX($AH:$AH,COUNT($AH:$AH)+2)^{1,2,3,4},TRUE,TRUE)</f>
        <v>-1.4299997709008605E-7</v>
      </c>
      <c r="BU33" s="56">
        <v>1.0391027685492141E-4</v>
      </c>
      <c r="BV33" s="56">
        <v>-2.2252145986486303E-2</v>
      </c>
      <c r="BW33" s="56">
        <v>1.2455171913653063</v>
      </c>
      <c r="BX33" s="56">
        <v>-7.585185514943305</v>
      </c>
      <c r="BY33" s="57">
        <f>IF('Cumulative Curves'!$B$24=6,#REF!,IF('Cumulative Curves'!$B$24=5,#REF!, IF( 'Cumulative Curves'!$B$24=4, BX33,IF('Cumulative Curves'!$B$24=3, BS33, 0))))</f>
        <v>8.2126661986667955</v>
      </c>
      <c r="BZ33" s="57">
        <f>IF('Cumulative Curves'!$B$24=6,#REF!,IF('Cumulative Curves'!$B$24=5,#REF!, IF( 'Cumulative Curves'!$B$24=4, BW33,IF('Cumulative Curves'!$B$24=3, BR33, 0))))</f>
        <v>-0.13020998374031825</v>
      </c>
      <c r="CA33" s="57">
        <f>IF('Cumulative Curves'!$B$24=6,#REF!,IF('Cumulative Curves'!$B$24=5,#REF!, IF( 'Cumulative Curves'!$B$24=4, BV33,IF('Cumulative Curves'!$B$24=3, BQ33, 0))))</f>
        <v>-2.2055339463816254E-3</v>
      </c>
      <c r="CB33" s="57">
        <f>IF('Cumulative Curves'!$B$24=6,#REF!,IF('Cumulative Curves'!$B$24=5,#REF!, IF( 'Cumulative Curves'!$B$24=4, BU33,IF('Cumulative Curves'!$B$24=3, BP33, 0))))</f>
        <v>8.4900628838818481E-6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-1.2634818555152508E-6</v>
      </c>
      <c r="BQ34" s="56">
        <v>5.8494926324106685E-3</v>
      </c>
      <c r="BR34" s="56">
        <v>-1.6247368305288903</v>
      </c>
      <c r="BS34" s="56">
        <v>38.627037114171429</v>
      </c>
      <c r="BT34" s="56">
        <f t="array" ref="BT34:BX34">LINEST($BM3:INDEX($BM:$BM,COUNT($BM:$BM)+2),$AH$3:INDEX($AH:$AH,COUNT($AH:$AH)+2)^{1,2,3,4},TRUE,TRUE)</f>
        <v>-4.9535595850940991E-7</v>
      </c>
      <c r="BU34" s="56">
        <v>3.292748337067343E-4</v>
      </c>
      <c r="BV34" s="56">
        <v>-6.359253752775211E-2</v>
      </c>
      <c r="BW34" s="56">
        <v>3.1408209502432007</v>
      </c>
      <c r="BX34" s="56">
        <v>-16.097167303393235</v>
      </c>
      <c r="BY34" s="57">
        <f>IF('Cumulative Curves'!$B$3=6,#REF!,IF('Cumulative Curves'!$B$3=5,#REF!, IF( 'Cumulative Curves'!$B$3=4, BX34,IF('Cumulative Curves'!$B$3=3, BS34, 0))))</f>
        <v>38.627037114171429</v>
      </c>
      <c r="BZ34" s="57">
        <f>IF('Cumulative Curves'!$B$3=6,#REF!,IF('Cumulative Curves'!$B$3=5,#REF!, IF( 'Cumulative Curves'!$B$3=4, BW34,IF('Cumulative Curves'!$B$3=3, BR34, 0))))</f>
        <v>-1.6247368305288903</v>
      </c>
      <c r="CA34" s="57">
        <f>IF('Cumulative Curves'!$B$3=6,#REF!,IF('Cumulative Curves'!$B$3=5,#REF!, IF( 'Cumulative Curves'!$B$3=4, BV34,IF('Cumulative Curves'!$B$3=3, BQ34, 0))))</f>
        <v>5.8494926324106685E-3</v>
      </c>
      <c r="CB34" s="57">
        <f>IF('Cumulative Curves'!$B$3=6,#REF!,IF('Cumulative Curves'!$B$3=5,#REF!, IF( 'Cumulative Curves'!$B$3=4, BU34,IF('Cumulative Curves'!$B$3=3, BP34, 0))))</f>
        <v>-1.2634818555152508E-6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3">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2.4639434443110062E-10</v>
      </c>
      <c r="BQ36" s="48">
        <v>-1.5142480914429584E-7</v>
      </c>
      <c r="BR36" s="48">
        <v>2.3109557279726368E-5</v>
      </c>
      <c r="BS36" s="48">
        <v>6.3831754143874457E-5</v>
      </c>
      <c r="BT36" s="48">
        <v>-5.7331057976824588E-3</v>
      </c>
      <c r="BU36" s="48">
        <v>0.43706261540580726</v>
      </c>
      <c r="BV36" s="48">
        <f t="array" ref="BV36:CB36">LINEST($Q3:INDEX($Q:$Q,COUNT($Q:$Q)+2),$A$3:INDEX($A:$A,COUNT($A:$A)+2)^{1,2,3,4,5,6},TRUE,TRUE)</f>
        <v>-2.1972253589009239E-12</v>
      </c>
      <c r="BW36" s="48">
        <v>2.4456625716265416E-9</v>
      </c>
      <c r="BX36" s="48">
        <v>-9.7828708359308301E-7</v>
      </c>
      <c r="BY36" s="48">
        <v>1.668701674081605E-4</v>
      </c>
      <c r="BZ36" s="48">
        <v>-1.1293661830726633E-2</v>
      </c>
      <c r="CA36" s="48">
        <v>0.32246437737946465</v>
      </c>
      <c r="CB36" s="48">
        <v>-0.76893977018977466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-5.7756377872915576E-11</v>
      </c>
      <c r="BQ37" s="48">
        <v>4.4444368348525665E-8</v>
      </c>
      <c r="BR37" s="48">
        <v>-1.0567231988341527E-5</v>
      </c>
      <c r="BS37" s="48">
        <v>7.639139209089954E-4</v>
      </c>
      <c r="BT37" s="48">
        <v>-2.3655588436163923E-2</v>
      </c>
      <c r="BU37" s="48">
        <v>5.1617395015121303E-2</v>
      </c>
      <c r="BV37" s="48">
        <f t="array" ref="BV37:CB37">LINEST($L3:INDEX($L:$L,COUNT($L:$L)+2),$A$3:INDEX($A:$A,COUNT($A:$A)+2)^{1,2,3,4,5,6},TRUE,TRUE)</f>
        <v>2.9691290739659507E-13</v>
      </c>
      <c r="BW37" s="48">
        <v>-3.5494533977720896E-10</v>
      </c>
      <c r="BX37" s="48">
        <v>1.5617896167488158E-7</v>
      </c>
      <c r="BY37" s="48">
        <v>-2.9993723927107939E-5</v>
      </c>
      <c r="BZ37" s="48">
        <v>2.2986615640496629E-3</v>
      </c>
      <c r="CA37" s="48">
        <v>-6.8005189871274199E-2</v>
      </c>
      <c r="CB37" s="48">
        <v>0.2145855098623457</v>
      </c>
      <c r="CG37" s="76">
        <f>'In Process Calc.'!C3</f>
        <v>0.53333333332557231</v>
      </c>
      <c r="CH37" s="76">
        <f>$BY$4+$BZ$4*$CG37+$CA$4*$CG37^2+$CB$4*$CG37^3+$CC$4*$CG37^4+$CD$4*$CG37^5+$CE$4*$CG37^6</f>
        <v>0.77746405106227101</v>
      </c>
      <c r="CI37" s="76">
        <f>$BY$5+$BZ$5*$CG37+$CA$5*$CG37^2+$CB$5*$CG37^3+$CC$5*$CG37^4+$CD$5*$CG37^5+$CE$5*$CG37^6</f>
        <v>1106.1784221758769</v>
      </c>
      <c r="CJ37" s="76">
        <f>$BY$6+$BZ$6*$CG37+$CA$6*$CG37^2+$CB$6*$CG37^3+$CC$6*$CG37^4+$CD$6*$CG37^5+$CE$6*$CG37^6</f>
        <v>0</v>
      </c>
      <c r="CK37" s="76">
        <f>$BY$7+$BZ$7*$CG37+$CA$7*$CG37^2+$CB$7*$CG37^3+$CC$7*$CG37^4+$CD$7*$CG37^5+$CE$7*$CG37^6</f>
        <v>252.00140468322894</v>
      </c>
      <c r="CL37" s="76">
        <f>$BY$8+$BZ$8*$CG37+$CA$8*$CG37^2+$CB$8*$CG37^3+$CC$8*$CG37^4+$CD$8*$CG37^5+$CE$8*$CG37^6</f>
        <v>-1.1781876580924495</v>
      </c>
      <c r="CM37" s="76">
        <f>$BY$9+$BZ$9*$CG37+$CA$9*$CG37^2+$CB$9*$CG37^3+$CC$9*$CG37^4+$CD$9*$CG37^5+$CE$9*$CG37^6</f>
        <v>0.48683688628417399</v>
      </c>
      <c r="CN37" s="76">
        <f>$BY$10+$BZ$10*$CG37+$CA$10*$CG37^2+$CB$10*$CG37^3+$CC$10*$CG37^4+$CD$10*$CG37^5+$CE$10*$CG37^6</f>
        <v>0.43846963786623494</v>
      </c>
      <c r="CO37" s="76">
        <f>$BY$11+$BZ$11*$CG37+$CA$11*$CG37^2+$CB$11*$CG37^3+$CC$11*$CG37^4+$CD$11*$CG37^5+$CE$11*$CG37^6</f>
        <v>-0.73464272963729338</v>
      </c>
      <c r="CP37" s="76">
        <f>$BY$12+$BZ$12*$CG37+$CA$12*$CG37^2+$CB$12*$CG37^3+$CC$12*$CG37^4+$CD$12*$CG37^5+$CE$12*$CG37^6</f>
        <v>2.0153964379117904E-2</v>
      </c>
      <c r="CQ37" s="76">
        <f>$BY$13+$BZ$13*$CG37+$CA$13*$CG37^2+$CB$13*$CG37^3+$CC$13*$CG37^4+$CD$13*$CG37^5+$CE$13*$CG37^6</f>
        <v>0.10342680944719113</v>
      </c>
      <c r="CR37" s="76">
        <f>$BY$14+$BZ$14*$CG37+$CA$14*$CG37^2+$CB$14*$CG37^3+$CC$14*$CG37^4+$CD$14*$CG37^5+$CE$14*$CG37^6</f>
        <v>0.17896537923830427</v>
      </c>
      <c r="CS37" s="76">
        <f>$BY$15+$BZ$15*$CG37+$CA$15*$CG37^2+$CB$15*$CG37^3+$CC$15*$CG37^4+$CD$15*$CG37^5+$CE$15*$CG37^6</f>
        <v>4.5812937272949101</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0.43402660913275265</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9.3207824681946665</v>
      </c>
      <c r="DK37" s="76">
        <f>$BY$33+$BZ$33*$CG37+$CA$33*$CG37^2+$CB$33*$CG37^3+$CC$33*$CG37^4+$CD$33*$CG37^5+$CE$33*$CG37^6</f>
        <v>8.1425948101022225</v>
      </c>
      <c r="DL37" s="76">
        <f>$BY$34+$BZ$34*$CG37+$CA$34*$CG37^2+$CB$34*$CG37^3+$CC$34*$CG37^4+$CD$34*$CG37^5+$CE$34*$CG37^6</f>
        <v>37.762174468575815</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21.199999999953434</v>
      </c>
      <c r="CH38" s="76">
        <f t="shared" ref="CH38:CH60" si="31">IF(CG38&gt;0,$BY$4+$BZ$4*$CG38+$CA$4*$CG38^2+$CB$4*$CG38^3+$CC$4*$CG38^4+$CD$4*$CG38^5+$CE$4*$CG38^6,"")</f>
        <v>-1.4172226835638914E-2</v>
      </c>
      <c r="CI38" s="76">
        <f t="shared" ref="CI38:CI60" si="32">IF(CG38&gt;0,$BY$5+$BZ$5*$CG38+$CA$5*$CG38^2+$CB$5*$CG38^3+$CC$5*$CG38^4+$CD$5*$CG38^5+$CE$5*$CG38^6,"")</f>
        <v>-599.96459545135053</v>
      </c>
      <c r="CJ38" s="76">
        <f t="shared" ref="CJ38:CJ60" si="33">IF(CG38&gt;0,$BY$6+$BZ$6*$CG38+$CA$6*$CG38^2+$CB$6*$CG38^3+$CC$6*$CG38^4+$CD$6*$CG38^5+$CE$6*$CG38^6,"")</f>
        <v>0</v>
      </c>
      <c r="CK38" s="76">
        <f t="shared" ref="CK38:CK60" si="34">IF(CG38&gt;0,$BY$7+$BZ$7*$CG38+$CA$7*$CG38^2+$CB$7*$CG38^3+$CC$7*$CG38^4+$CD$7*$CG38^5+$CE$7*$CG38^6,"")</f>
        <v>-48.028132127670446</v>
      </c>
      <c r="CL38" s="76">
        <f t="shared" ref="CL38:CL60" si="35">IF(CG38&gt;0,$BY$8+$BZ$8*$CG38+$CA$8*$CG38^2+$CB$8*$CG38^3+$CC$8*$CG38^4+$CD$8*$CG38^5+$CE$8*$CG38^6,"")</f>
        <v>0.67494480278808533</v>
      </c>
      <c r="CM38" s="76">
        <f t="shared" ref="CM38:CM60" si="36">IF(CG38&gt;0,$BY$9+$BZ$9*$CG38+$CA$9*$CG38^2+$CB$9*$CG38^3+$CC$9*$CG38^4+$CD$9*$CG38^5+$CE$9*$CG38^6,"")</f>
        <v>0.28247453994255822</v>
      </c>
      <c r="CN38" s="76">
        <f t="shared" ref="CN38:CN60" si="37">IF(CG38&gt;0,$BY$10+$BZ$10*$CG38+$CA$10*$CG38^2+$CB$10*$CG38^3+$CC$10*$CG38^4+$CD$10*$CG38^5+$CE$10*$CG38^6,"")</f>
        <v>0.93554155012980533</v>
      </c>
      <c r="CO38" s="76">
        <f t="shared" ref="CO38:CO60" si="38">IF(CG38&gt;0,$BY$11+$BZ$11*$CG38+$CA$11*$CG38^2+$CB$11*$CG38^3+$CC$11*$CG38^4+$CD$11*$CG38^5+$CE$11*$CG38^6,"")</f>
        <v>0.54226735951548233</v>
      </c>
      <c r="CP38" s="76">
        <f t="shared" ref="CP38:CP60" si="39">IF(CG38&gt;0,$BY$12+$BZ$12*$CG38+$CA$12*$CG38^2+$CB$12*$CG38^3+$CC$12*$CG38^4+$CD$12*$CG38^5+$CE$12*$CG38^6,"")</f>
        <v>-5.8339700809573458E-2</v>
      </c>
      <c r="CQ38" s="76">
        <f t="shared" ref="CQ38:CQ60" si="40">IF(CG38&gt;0,$BY$13+$BZ$13*$CG38+$CA$13*$CG38^2+$CB$13*$CG38^3+$CC$13*$CG38^4+$CD$13*$CG38^5+$CE$13*$CG38^6,"")</f>
        <v>0.33832500390145293</v>
      </c>
      <c r="CR38" s="76">
        <f t="shared" ref="CR38:CR60" si="41">IF(CG38&gt;0,$BY$14+$BZ$14*$CG38+$CA$14*$CG38^2+$CB$14*$CG38^3+$CC$14*$CG38^4+$CD$14*$CG38^5+$CE$14*$CG38^6,"")</f>
        <v>-0.44974356319480463</v>
      </c>
      <c r="CS38" s="76">
        <f t="shared" ref="CS38:CS60" si="42">IF(CG38&gt;0,$BY$15+$BZ$15*$CG38+$CA$15*$CG38^2+$CB$15*$CG38^3+$CC$15*$CG38^4+$CD$15*$CG38^5+$CE$15*$CG38^6,"")</f>
        <v>0.86119672039976469</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0.53486802251060228</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3.866908969617759</v>
      </c>
      <c r="DK38" s="76">
        <f t="shared" ref="DK38:DK60" si="60">IF(CG38&gt;0,$BY$33+$BZ$33*$CG38+$CA$33*$CG38^2+$CB$33*$CG38^3+$CC$33*$CG38^4+$CD$33*$CG38^5+$CE$33*$CG38^6,"")</f>
        <v>4.541853772405851</v>
      </c>
      <c r="DL38" s="76">
        <f t="shared" ref="DL38:DL60" si="61">IF(CG38&gt;0,$BY$34+$BZ$34*$CG38+$CA$34*$CG38^2+$CB$34*$CG38^3+$CC$34*$CG38^4+$CD$34*$CG38^5+$CE$34*$CG38^6,"")</f>
        <v>6.7995736588887681</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48.46666666661622</v>
      </c>
      <c r="CH39" s="76">
        <f t="shared" si="31"/>
        <v>0.12863032294194252</v>
      </c>
      <c r="CI39" s="76">
        <f t="shared" si="32"/>
        <v>-389.33691043968031</v>
      </c>
      <c r="CJ39" s="76">
        <f t="shared" si="33"/>
        <v>0</v>
      </c>
      <c r="CK39" s="76">
        <f t="shared" si="34"/>
        <v>-237.42126068210419</v>
      </c>
      <c r="CL39" s="76">
        <f t="shared" si="35"/>
        <v>1.4481785466862531</v>
      </c>
      <c r="CM39" s="76">
        <f t="shared" si="36"/>
        <v>-4.6300832860457858E-2</v>
      </c>
      <c r="CN39" s="76">
        <f t="shared" si="37"/>
        <v>0.95948409604782325</v>
      </c>
      <c r="CO39" s="76">
        <f t="shared" si="38"/>
        <v>0.91402708872440341</v>
      </c>
      <c r="CP39" s="76">
        <f t="shared" si="39"/>
        <v>-3.7755504105188929E-2</v>
      </c>
      <c r="CQ39" s="76">
        <f t="shared" si="40"/>
        <v>1.5915420944172951</v>
      </c>
      <c r="CR39" s="76">
        <f t="shared" si="41"/>
        <v>-0.32585812386501301</v>
      </c>
      <c r="CS39" s="76">
        <f t="shared" si="42"/>
        <v>-3.8877248649252238</v>
      </c>
      <c r="CT39" s="76">
        <f t="shared" si="43"/>
        <v>0</v>
      </c>
      <c r="CU39" s="76">
        <f t="shared" si="44"/>
        <v>0</v>
      </c>
      <c r="CV39" s="76">
        <f t="shared" si="45"/>
        <v>0</v>
      </c>
      <c r="CW39" s="76">
        <f t="shared" si="46"/>
        <v>2.1704909080726078</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-3.760608983655541</v>
      </c>
      <c r="DK39" s="76">
        <f t="shared" si="60"/>
        <v>-2.312430436969283</v>
      </c>
      <c r="DL39" s="76">
        <f t="shared" si="61"/>
        <v>-26.521825311198661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70.96666666661622</v>
      </c>
      <c r="CH40" s="76">
        <f t="shared" si="31"/>
        <v>1.0953123350449647</v>
      </c>
      <c r="CI40" s="76">
        <f t="shared" si="32"/>
        <v>1500.1962815361965</v>
      </c>
      <c r="CJ40" s="76">
        <f t="shared" si="33"/>
        <v>0</v>
      </c>
      <c r="CK40" s="76">
        <f t="shared" si="34"/>
        <v>-232.8978289753355</v>
      </c>
      <c r="CL40" s="76">
        <f t="shared" si="35"/>
        <v>0.9261932774892021</v>
      </c>
      <c r="CM40" s="76">
        <f t="shared" si="36"/>
        <v>-0.34177576167490958</v>
      </c>
      <c r="CN40" s="76">
        <f t="shared" si="37"/>
        <v>0.85270009590076068</v>
      </c>
      <c r="CO40" s="76">
        <f t="shared" si="38"/>
        <v>0.50449976544246344</v>
      </c>
      <c r="CP40" s="76">
        <f t="shared" si="39"/>
        <v>6.6286724709000031E-2</v>
      </c>
      <c r="CQ40" s="76">
        <f t="shared" si="40"/>
        <v>3.9006189224982202</v>
      </c>
      <c r="CR40" s="76">
        <f t="shared" si="41"/>
        <v>-0.3944631433872246</v>
      </c>
      <c r="CS40" s="76">
        <f t="shared" si="42"/>
        <v>-7.5384719464276086</v>
      </c>
      <c r="CT40" s="76">
        <f t="shared" si="43"/>
        <v>0</v>
      </c>
      <c r="CU40" s="76">
        <f t="shared" si="44"/>
        <v>0</v>
      </c>
      <c r="CV40" s="76">
        <f t="shared" si="45"/>
        <v>0</v>
      </c>
      <c r="CW40" s="76">
        <f t="shared" si="46"/>
        <v>5.2139692296998152</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-10.027346073400906</v>
      </c>
      <c r="DK40" s="76">
        <f t="shared" si="60"/>
        <v>-9.1011527959117018</v>
      </c>
      <c r="DL40" s="76">
        <f t="shared" si="61"/>
        <v>-47.667086130192608</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95.449999999953434</v>
      </c>
      <c r="CH41" s="76">
        <f t="shared" si="31"/>
        <v>2.8298782949394119</v>
      </c>
      <c r="CI41" s="76">
        <f t="shared" si="32"/>
        <v>4892.9472393408905</v>
      </c>
      <c r="CJ41" s="76">
        <f t="shared" si="33"/>
        <v>0</v>
      </c>
      <c r="CK41" s="76">
        <f t="shared" si="34"/>
        <v>-80.182126908792782</v>
      </c>
      <c r="CL41" s="76">
        <f t="shared" si="35"/>
        <v>-0.53874793803885712</v>
      </c>
      <c r="CM41" s="76">
        <f t="shared" si="36"/>
        <v>-0.65943197245599816</v>
      </c>
      <c r="CN41" s="76">
        <f t="shared" si="37"/>
        <v>0.94740115973479977</v>
      </c>
      <c r="CO41" s="76">
        <f t="shared" si="38"/>
        <v>-0.30646698050663057</v>
      </c>
      <c r="CP41" s="76">
        <f t="shared" si="39"/>
        <v>0.24802672403231826</v>
      </c>
      <c r="CQ41" s="76">
        <f t="shared" si="40"/>
        <v>8.1012475136994109</v>
      </c>
      <c r="CR41" s="76">
        <f t="shared" si="41"/>
        <v>-1.0411398340708966</v>
      </c>
      <c r="CS41" s="76">
        <f t="shared" si="42"/>
        <v>-11.09322732245764</v>
      </c>
      <c r="CT41" s="76">
        <f t="shared" si="43"/>
        <v>0</v>
      </c>
      <c r="CU41" s="76">
        <f t="shared" si="44"/>
        <v>0</v>
      </c>
      <c r="CV41" s="76">
        <f t="shared" si="45"/>
        <v>0</v>
      </c>
      <c r="CW41" s="76">
        <f t="shared" si="46"/>
        <v>9.9509796748247261</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-16.387993225285939</v>
      </c>
      <c r="DK41" s="76">
        <f t="shared" si="60"/>
        <v>-16.926741163324799</v>
      </c>
      <c r="DL41" s="76">
        <f t="shared" si="61"/>
        <v>-64.25985094671131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115.8833333333605</v>
      </c>
      <c r="CH42" s="76">
        <f t="shared" si="31"/>
        <v>4.6799451352079897</v>
      </c>
      <c r="CI42" s="76">
        <f t="shared" si="32"/>
        <v>8482.4215296594721</v>
      </c>
      <c r="CJ42" s="76">
        <f t="shared" si="33"/>
        <v>0</v>
      </c>
      <c r="CK42" s="76">
        <f t="shared" si="34"/>
        <v>152.58456687617843</v>
      </c>
      <c r="CL42" s="76">
        <f t="shared" si="35"/>
        <v>-2.2634697930361138</v>
      </c>
      <c r="CM42" s="76">
        <f t="shared" si="36"/>
        <v>-0.90066798767947742</v>
      </c>
      <c r="CN42" s="76">
        <f t="shared" si="37"/>
        <v>1.3633757602109933</v>
      </c>
      <c r="CO42" s="76">
        <f t="shared" si="38"/>
        <v>-1.0583600345236064</v>
      </c>
      <c r="CP42" s="76">
        <f t="shared" si="39"/>
        <v>0.43923398592327417</v>
      </c>
      <c r="CQ42" s="76">
        <f t="shared" si="40"/>
        <v>13.135927201784792</v>
      </c>
      <c r="CR42" s="76">
        <f t="shared" si="41"/>
        <v>-2.0072676981368178</v>
      </c>
      <c r="CS42" s="76">
        <f t="shared" si="42"/>
        <v>-13.623377480702988</v>
      </c>
      <c r="CT42" s="76">
        <f t="shared" si="43"/>
        <v>0</v>
      </c>
      <c r="CU42" s="76">
        <f t="shared" si="44"/>
        <v>0</v>
      </c>
      <c r="CV42" s="76">
        <f t="shared" si="45"/>
        <v>0</v>
      </c>
      <c r="CW42" s="76">
        <f t="shared" si="46"/>
        <v>14.434485981703567</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-21.018868711384791</v>
      </c>
      <c r="DK42" s="76">
        <f t="shared" si="60"/>
        <v>-23.28233850442091</v>
      </c>
      <c r="DL42" s="76">
        <f t="shared" si="61"/>
        <v>-73.066575647284239</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141.08333333325572</v>
      </c>
      <c r="CH43" s="76">
        <f t="shared" si="31"/>
        <v>7.2739559454749365</v>
      </c>
      <c r="CI43" s="76">
        <f t="shared" si="32"/>
        <v>13456.859365731103</v>
      </c>
      <c r="CJ43" s="76">
        <f t="shared" si="33"/>
        <v>0</v>
      </c>
      <c r="CK43" s="76">
        <f t="shared" si="34"/>
        <v>555.17471836729328</v>
      </c>
      <c r="CL43" s="76">
        <f t="shared" si="35"/>
        <v>-4.7413876854860106</v>
      </c>
      <c r="CM43" s="76">
        <f t="shared" si="36"/>
        <v>-1.1411731198517039</v>
      </c>
      <c r="CN43" s="76">
        <f t="shared" si="37"/>
        <v>2.4185663272932167</v>
      </c>
      <c r="CO43" s="76">
        <f t="shared" si="38"/>
        <v>-1.8639682002091047</v>
      </c>
      <c r="CP43" s="76">
        <f t="shared" si="39"/>
        <v>0.70483989394185553</v>
      </c>
      <c r="CQ43" s="76">
        <f t="shared" si="40"/>
        <v>21.380861535995862</v>
      </c>
      <c r="CR43" s="76">
        <f t="shared" si="41"/>
        <v>-3.4763247791491581</v>
      </c>
      <c r="CS43" s="76">
        <f t="shared" si="42"/>
        <v>-16.062212378663137</v>
      </c>
      <c r="CT43" s="76">
        <f t="shared" si="43"/>
        <v>0</v>
      </c>
      <c r="CU43" s="76">
        <f t="shared" si="44"/>
        <v>0</v>
      </c>
      <c r="CV43" s="76">
        <f t="shared" si="45"/>
        <v>0</v>
      </c>
      <c r="CW43" s="76">
        <f t="shared" si="46"/>
        <v>19.574366657031568</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-25.474725160212664</v>
      </c>
      <c r="DK43" s="76">
        <f t="shared" si="60"/>
        <v>-30.216112845698671</v>
      </c>
      <c r="DL43" s="76">
        <f t="shared" si="61"/>
        <v>-77.71308640638172</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164.73333333333721</v>
      </c>
      <c r="CH44" s="76">
        <f t="shared" si="31"/>
        <v>9.8252401251443509</v>
      </c>
      <c r="CI44" s="76">
        <f t="shared" si="32"/>
        <v>18276.360741692904</v>
      </c>
      <c r="CJ44" s="76">
        <f t="shared" si="33"/>
        <v>0</v>
      </c>
      <c r="CK44" s="76">
        <f t="shared" si="34"/>
        <v>1032.7540626199125</v>
      </c>
      <c r="CL44" s="76">
        <f t="shared" si="35"/>
        <v>-7.1431421486791962</v>
      </c>
      <c r="CM44" s="76">
        <f t="shared" si="36"/>
        <v>-1.2827187272032528</v>
      </c>
      <c r="CN44" s="76">
        <f t="shared" si="37"/>
        <v>3.9723900539627</v>
      </c>
      <c r="CO44" s="76">
        <f t="shared" si="38"/>
        <v>-2.3502010253815282</v>
      </c>
      <c r="CP44" s="76">
        <f t="shared" si="39"/>
        <v>0.96444940793525014</v>
      </c>
      <c r="CQ44" s="76">
        <f t="shared" si="40"/>
        <v>31.165343980283303</v>
      </c>
      <c r="CR44" s="76">
        <f t="shared" si="41"/>
        <v>-4.8050301866436724</v>
      </c>
      <c r="CS44" s="76">
        <f t="shared" si="42"/>
        <v>-17.532781159981056</v>
      </c>
      <c r="CT44" s="76">
        <f t="shared" si="43"/>
        <v>0</v>
      </c>
      <c r="CU44" s="76">
        <f t="shared" si="44"/>
        <v>0</v>
      </c>
      <c r="CV44" s="76">
        <f t="shared" si="45"/>
        <v>0</v>
      </c>
      <c r="CW44" s="76">
        <f t="shared" si="46"/>
        <v>22.911832808170413</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-27.99203899654054</v>
      </c>
      <c r="DK44" s="76">
        <f t="shared" si="60"/>
        <v>-35.135181145219732</v>
      </c>
      <c r="DL44" s="76">
        <f t="shared" si="61"/>
        <v>-75.931423484633456</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189.11666666652309</v>
      </c>
      <c r="CH45" s="76">
        <f t="shared" si="31"/>
        <v>12.356001126343767</v>
      </c>
      <c r="CI45" s="76">
        <f t="shared" si="32"/>
        <v>22970.721832471361</v>
      </c>
      <c r="CJ45" s="76">
        <f t="shared" si="33"/>
        <v>0</v>
      </c>
      <c r="CK45" s="76">
        <f t="shared" si="34"/>
        <v>1608.7913659840819</v>
      </c>
      <c r="CL45" s="76">
        <f t="shared" si="35"/>
        <v>-9.4006613605533005</v>
      </c>
      <c r="CM45" s="76">
        <f t="shared" si="36"/>
        <v>-1.3145072664666304</v>
      </c>
      <c r="CN45" s="76">
        <f t="shared" si="37"/>
        <v>6.0585212288710579</v>
      </c>
      <c r="CO45" s="76">
        <f t="shared" si="38"/>
        <v>-2.4911320704202264</v>
      </c>
      <c r="CP45" s="76">
        <f t="shared" si="39"/>
        <v>1.2215975794195009</v>
      </c>
      <c r="CQ45" s="76">
        <f t="shared" si="40"/>
        <v>43.203559922208441</v>
      </c>
      <c r="CR45" s="76">
        <f t="shared" si="41"/>
        <v>-5.8105755657659515</v>
      </c>
      <c r="CS45" s="76">
        <f t="shared" si="42"/>
        <v>-18.07631811323494</v>
      </c>
      <c r="CT45" s="76">
        <f t="shared" si="43"/>
        <v>0</v>
      </c>
      <c r="CU45" s="76">
        <f t="shared" si="44"/>
        <v>0</v>
      </c>
      <c r="CV45" s="76">
        <f t="shared" si="45"/>
        <v>0</v>
      </c>
      <c r="CW45" s="76">
        <f t="shared" si="46"/>
        <v>23.854285845554138</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-28.467813068722513</v>
      </c>
      <c r="DK45" s="76">
        <f t="shared" si="60"/>
        <v>-37.868474429275828</v>
      </c>
      <c r="DL45" s="76">
        <f t="shared" si="61"/>
        <v>-67.975920049063603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213.06666666653473</v>
      </c>
      <c r="CH46" s="76">
        <f t="shared" si="31"/>
        <v>14.524425284387947</v>
      </c>
      <c r="CI46" s="76">
        <f t="shared" si="32"/>
        <v>26894.768514352574</v>
      </c>
      <c r="CJ46" s="76">
        <f t="shared" si="33"/>
        <v>0</v>
      </c>
      <c r="CK46" s="76">
        <f t="shared" si="34"/>
        <v>2240.2894497999887</v>
      </c>
      <c r="CL46" s="76">
        <f t="shared" si="35"/>
        <v>-11.114329270231352</v>
      </c>
      <c r="CM46" s="76">
        <f t="shared" si="36"/>
        <v>-1.2049142729445403</v>
      </c>
      <c r="CN46" s="76">
        <f t="shared" si="37"/>
        <v>8.3931743970849269</v>
      </c>
      <c r="CO46" s="76">
        <f t="shared" si="38"/>
        <v>-2.2608740253816144</v>
      </c>
      <c r="CP46" s="76">
        <f t="shared" si="39"/>
        <v>1.4433912113000651</v>
      </c>
      <c r="CQ46" s="76">
        <f t="shared" si="40"/>
        <v>56.707422710385465</v>
      </c>
      <c r="CR46" s="76">
        <f t="shared" si="41"/>
        <v>-6.2504777545686352</v>
      </c>
      <c r="CS46" s="76">
        <f t="shared" si="42"/>
        <v>-17.50985886939214</v>
      </c>
      <c r="CT46" s="76">
        <f t="shared" si="43"/>
        <v>0</v>
      </c>
      <c r="CU46" s="76">
        <f t="shared" si="44"/>
        <v>0</v>
      </c>
      <c r="CV46" s="76">
        <f t="shared" si="45"/>
        <v>0</v>
      </c>
      <c r="CW46" s="76">
        <f t="shared" si="46"/>
        <v>21.764731483442887</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-26.420320851840081</v>
      </c>
      <c r="DK46" s="76">
        <f t="shared" si="60"/>
        <v>-37.53465012207144</v>
      </c>
      <c r="DL46" s="76">
        <f t="shared" si="61"/>
        <v>-54.219688387765814</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238.18333333334886</v>
      </c>
      <c r="CH47" s="76">
        <f t="shared" si="31"/>
        <v>16.215190250503181</v>
      </c>
      <c r="CI47" s="76">
        <f t="shared" si="32"/>
        <v>29827.323499563092</v>
      </c>
      <c r="CJ47" s="76">
        <f t="shared" si="33"/>
        <v>0</v>
      </c>
      <c r="CK47" s="76">
        <f t="shared" si="34"/>
        <v>2954.0496699048626</v>
      </c>
      <c r="CL47" s="76">
        <f t="shared" si="35"/>
        <v>-12.062799954018445</v>
      </c>
      <c r="CM47" s="76">
        <f t="shared" si="36"/>
        <v>-0.90965039421848193</v>
      </c>
      <c r="CN47" s="76">
        <f t="shared" si="37"/>
        <v>10.818608080789161</v>
      </c>
      <c r="CO47" s="76">
        <f t="shared" si="38"/>
        <v>-1.6913105999705778</v>
      </c>
      <c r="CP47" s="76">
        <f t="shared" si="39"/>
        <v>1.6210588644391604</v>
      </c>
      <c r="CQ47" s="76">
        <f t="shared" si="40"/>
        <v>72.249822058917289</v>
      </c>
      <c r="CR47" s="76">
        <f t="shared" si="41"/>
        <v>-6.0944393068688072</v>
      </c>
      <c r="CS47" s="76">
        <f t="shared" si="42"/>
        <v>-15.593336736105424</v>
      </c>
      <c r="CT47" s="76">
        <f t="shared" si="43"/>
        <v>0</v>
      </c>
      <c r="CU47" s="76">
        <f t="shared" si="44"/>
        <v>0</v>
      </c>
      <c r="CV47" s="76">
        <f t="shared" si="45"/>
        <v>0</v>
      </c>
      <c r="CW47" s="76">
        <f t="shared" si="46"/>
        <v>16.48850286829969</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-21.139638441379205</v>
      </c>
      <c r="DK47" s="76">
        <f t="shared" si="60"/>
        <v>-33.202438395397635</v>
      </c>
      <c r="DL47" s="76">
        <f t="shared" si="61"/>
        <v>-33.581609625614817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261.83333333325572</v>
      </c>
      <c r="CH48" s="76">
        <f t="shared" si="31"/>
        <v>17.026896393961632</v>
      </c>
      <c r="CI48" s="76">
        <f t="shared" si="32"/>
        <v>31063.668133883853</v>
      </c>
      <c r="CJ48" s="76">
        <f t="shared" si="33"/>
        <v>0</v>
      </c>
      <c r="CK48" s="76">
        <f t="shared" si="34"/>
        <v>3657.2389882381322</v>
      </c>
      <c r="CL48" s="76">
        <f t="shared" si="35"/>
        <v>-11.872223735472708</v>
      </c>
      <c r="CM48" s="76">
        <f t="shared" si="36"/>
        <v>-0.4346842275916547</v>
      </c>
      <c r="CN48" s="76">
        <f t="shared" si="37"/>
        <v>12.669150094111643</v>
      </c>
      <c r="CO48" s="76">
        <f t="shared" si="38"/>
        <v>-0.97991888861943721</v>
      </c>
      <c r="CP48" s="76">
        <f t="shared" si="39"/>
        <v>1.7164177220881687</v>
      </c>
      <c r="CQ48" s="76">
        <f t="shared" si="40"/>
        <v>87.671535684630555</v>
      </c>
      <c r="CR48" s="76">
        <f t="shared" si="41"/>
        <v>-5.4915806585988349</v>
      </c>
      <c r="CS48" s="76">
        <f t="shared" si="42"/>
        <v>-12.411172387243766</v>
      </c>
      <c r="CT48" s="76">
        <f t="shared" si="43"/>
        <v>0</v>
      </c>
      <c r="CU48" s="76">
        <f t="shared" si="44"/>
        <v>0</v>
      </c>
      <c r="CV48" s="76">
        <f t="shared" si="45"/>
        <v>0</v>
      </c>
      <c r="CW48" s="76">
        <f t="shared" si="46"/>
        <v>9.6570935294137712</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-12.8122799325606</v>
      </c>
      <c r="DK48" s="76">
        <f t="shared" si="60"/>
        <v>-24.684503668033329</v>
      </c>
      <c r="DL48" s="76">
        <f t="shared" si="61"/>
        <v>-8.4413838178304488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284.83333333331393</v>
      </c>
      <c r="CH49" s="76">
        <f t="shared" si="31"/>
        <v>16.86867821820811</v>
      </c>
      <c r="CI49" s="76">
        <f t="shared" si="32"/>
        <v>30463.386012660863</v>
      </c>
      <c r="CJ49" s="76">
        <f t="shared" si="33"/>
        <v>0</v>
      </c>
      <c r="CK49" s="76">
        <f t="shared" si="34"/>
        <v>4354.352897061116</v>
      </c>
      <c r="CL49" s="76">
        <f t="shared" si="35"/>
        <v>-10.413008391327651</v>
      </c>
      <c r="CM49" s="76">
        <f t="shared" si="36"/>
        <v>0.23631949951923836</v>
      </c>
      <c r="CN49" s="76">
        <f t="shared" si="37"/>
        <v>13.589195850903351</v>
      </c>
      <c r="CO49" s="76">
        <f t="shared" si="38"/>
        <v>-0.31175525795729442</v>
      </c>
      <c r="CP49" s="76">
        <f t="shared" si="39"/>
        <v>1.7233875590025454</v>
      </c>
      <c r="CQ49" s="76">
        <f t="shared" si="40"/>
        <v>102.82189082099322</v>
      </c>
      <c r="CR49" s="76">
        <f t="shared" si="41"/>
        <v>-4.6908562662386828</v>
      </c>
      <c r="CS49" s="76">
        <f t="shared" si="42"/>
        <v>-7.9064481212918167</v>
      </c>
      <c r="CT49" s="76">
        <f t="shared" si="43"/>
        <v>0</v>
      </c>
      <c r="CU49" s="76">
        <f t="shared" si="44"/>
        <v>0</v>
      </c>
      <c r="CV49" s="76">
        <f t="shared" si="45"/>
        <v>0</v>
      </c>
      <c r="CW49" s="76">
        <f t="shared" si="46"/>
        <v>3.2595536782536101</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-1.2045735691684882</v>
      </c>
      <c r="DK49" s="76">
        <f t="shared" si="60"/>
        <v>-11.617581960496125</v>
      </c>
      <c r="DL49" s="76">
        <f t="shared" si="61"/>
        <v>21.220113385007366</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1.3881261576813708</v>
      </c>
      <c r="CM65" s="292">
        <f>(CM37-'In Process Calc.'!P3)^2</f>
        <v>0.23701015384686974</v>
      </c>
      <c r="CN65" s="292">
        <f>(CN37-'In Process Calc.'!Q3)^2</f>
        <v>0.19225562333054722</v>
      </c>
      <c r="CO65" s="292">
        <f>(CO37-'In Process Calc.'!R3)^2</f>
        <v>0.5396999402089333</v>
      </c>
      <c r="CP65" s="292">
        <f>(CP37-'In Process Calc.'!S3)^2</f>
        <v>4.061822801947533E-4</v>
      </c>
      <c r="CQ65" s="292">
        <f>(CQ37-'In Process Calc.'!T3)^2</f>
        <v>1.0697104912425584E-2</v>
      </c>
      <c r="CR65" s="292">
        <f>(CR37-'In Process Calc.'!U3)^2</f>
        <v>3.2028606965910068E-2</v>
      </c>
      <c r="CS65" s="292">
        <f>(CS37-'In Process Calc.'!V3)^2</f>
        <v>20.98825221575169</v>
      </c>
      <c r="CT65" s="292">
        <f>(CT37-'In Process Calc.'!W3)^2</f>
        <v>0</v>
      </c>
      <c r="CU65" s="292">
        <f>(CU37-'In Process Calc.'!X3)^2</f>
        <v>0</v>
      </c>
      <c r="CV65" s="292">
        <f>(CV37-'In Process Calc.'!Y3)^2</f>
        <v>0</v>
      </c>
      <c r="CW65" s="292">
        <f>(CW37-'In Process Calc.'!Z3)^2</f>
        <v>0.18837909743527526</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86.876985819405064</v>
      </c>
      <c r="DK65" s="292">
        <f>(DK37-'In Process Calc.'!AN3)^2</f>
        <v>66.301850241503644</v>
      </c>
      <c r="DL65" s="292">
        <f>(DL37-'In Process Calc.'!AO3)^2</f>
        <v>1425.9818205951592</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0.4727178558409072</v>
      </c>
      <c r="CM66" s="292">
        <f>(CM38-'In Process Calc.'!P4)^2</f>
        <v>0.10739681968976274</v>
      </c>
      <c r="CN66" s="292">
        <f>(CN38-'In Process Calc.'!Q4)^2</f>
        <v>0.32412133425170275</v>
      </c>
      <c r="CO66" s="292">
        <f>(CO38-'In Process Calc.'!R4)^2</f>
        <v>0.38014914317129833</v>
      </c>
      <c r="CP66" s="292">
        <f>(CP38-'In Process Calc.'!S4)^2</f>
        <v>3.4727801626732117E-3</v>
      </c>
      <c r="CQ66" s="292">
        <f>(CQ38-'In Process Calc.'!T4)^2</f>
        <v>1.0083333123287387E-2</v>
      </c>
      <c r="CR66" s="292">
        <f>(CR38-'In Process Calc.'!U4)^2</f>
        <v>0.20226927263515923</v>
      </c>
      <c r="CS66" s="292">
        <f>(CS38-'In Process Calc.'!V4)^2</f>
        <v>0.85247683390096196</v>
      </c>
      <c r="CT66" s="292">
        <f>(CT38-'In Process Calc.'!W4)^2</f>
        <v>0</v>
      </c>
      <c r="CU66" s="292">
        <f>(CU38-'In Process Calc.'!X4)^2</f>
        <v>0</v>
      </c>
      <c r="CV66" s="292">
        <f>(CV38-'In Process Calc.'!Y4)^2</f>
        <v>0</v>
      </c>
      <c r="CW66" s="292">
        <f>(CW38-'In Process Calc.'!Z4)^2</f>
        <v>9.2650821129576011E-2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13.682260469350982</v>
      </c>
      <c r="DK66" s="292">
        <f>(DK38-'In Process Calc.'!AN4)^2</f>
        <v>19.241371480318044</v>
      </c>
      <c r="DL66" s="292">
        <f>(DL38-'In Process Calc.'!AO4)^2</f>
        <v>47.329084095568916</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2.1311139840305646</v>
      </c>
      <c r="CM67" s="292">
        <f>(CM39-'In Process Calc.'!P5)^2</f>
        <v>0.31032234214051529</v>
      </c>
      <c r="CN67" s="292">
        <f>(CN39-'In Process Calc.'!Q5)^2</f>
        <v>0.89485149144005993</v>
      </c>
      <c r="CO67" s="292">
        <f>(CO39-'In Process Calc.'!R5)^2</f>
        <v>0.82912331742214807</v>
      </c>
      <c r="CP67" s="292">
        <f>(CP39-'In Process Calc.'!S5)^2</f>
        <v>3.4765482333661246E-4</v>
      </c>
      <c r="CQ67" s="292">
        <f>(CQ39-'In Process Calc.'!T5)^2</f>
        <v>0.19764352292564644</v>
      </c>
      <c r="CR67" s="292">
        <f>(CR39-'In Process Calc.'!U5)^2</f>
        <v>3.271463557659008E-2</v>
      </c>
      <c r="CS67" s="292">
        <f>(CS39-'In Process Calc.'!V5)^2</f>
        <v>15.570914933989881</v>
      </c>
      <c r="CT67" s="292">
        <f>(CT39-'In Process Calc.'!W5)^2</f>
        <v>0</v>
      </c>
      <c r="CU67" s="292">
        <f>(CU39-'In Process Calc.'!X5)^2</f>
        <v>0</v>
      </c>
      <c r="CV67" s="292">
        <f>(CV39-'In Process Calc.'!Y5)^2</f>
        <v>0</v>
      </c>
      <c r="CW67" s="292">
        <f>(CW39-'In Process Calc.'!Z5)^2</f>
        <v>0.95071546675700225</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74.183320843127177</v>
      </c>
      <c r="DK67" s="292">
        <f>(DK39-'In Process Calc.'!AN5)^2</f>
        <v>51.167418111005084</v>
      </c>
      <c r="DL67" s="292">
        <f>(DL39-'In Process Calc.'!AO5)^2</f>
        <v>1218.0173507327568</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1.0033653816724</v>
      </c>
      <c r="CM68" s="292">
        <f>(CM40-'In Process Calc.'!P6)^2</f>
        <v>1.0581491345831751</v>
      </c>
      <c r="CN68" s="292">
        <f>(CN40-'In Process Calc.'!Q6)^2</f>
        <v>6.3067527739490501</v>
      </c>
      <c r="CO68" s="292">
        <f>(CO40-'In Process Calc.'!R6)^2</f>
        <v>0.18353578394699707</v>
      </c>
      <c r="CP68" s="292">
        <f>(CP40-'In Process Calc.'!S6)^2</f>
        <v>7.3039714234652449E-3</v>
      </c>
      <c r="CQ68" s="292">
        <f>(CQ40-'In Process Calc.'!T6)^2</f>
        <v>3.9916254363824351E-2</v>
      </c>
      <c r="CR68" s="292">
        <f>(CR40-'In Process Calc.'!U6)^2</f>
        <v>7.680927154691583E-2</v>
      </c>
      <c r="CS68" s="292">
        <f>(CS40-'In Process Calc.'!V6)^2</f>
        <v>59.347054494204308</v>
      </c>
      <c r="CT68" s="292">
        <f>(CT40-'In Process Calc.'!W6)^2</f>
        <v>0</v>
      </c>
      <c r="CU68" s="292">
        <f>(CU40-'In Process Calc.'!X6)^2</f>
        <v>0</v>
      </c>
      <c r="CV68" s="292">
        <f>(CV40-'In Process Calc.'!Y6)^2</f>
        <v>0</v>
      </c>
      <c r="CW68" s="292">
        <f>(CW40-'In Process Calc.'!Z6)^2</f>
        <v>0.12718829350782732</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347.04206550900534</v>
      </c>
      <c r="DK68" s="292">
        <f>(DK40-'In Process Calc.'!AN6)^2</f>
        <v>310.72465948837026</v>
      </c>
      <c r="DL68" s="292">
        <f>(DL40-'In Process Calc.'!AO6)^2</f>
        <v>4115.7298305388567</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2.7878960208699788E-2</v>
      </c>
      <c r="CM69" s="292">
        <f>(CM41-'In Process Calc.'!P7)^2</f>
        <v>0.25795831883702391</v>
      </c>
      <c r="CN69" s="292">
        <f>(CN41-'In Process Calc.'!Q7)^2</f>
        <v>8.6363597244257947E-2</v>
      </c>
      <c r="CO69" s="292">
        <f>(CO41-'In Process Calc.'!R7)^2</f>
        <v>0.40602254075868982</v>
      </c>
      <c r="CP69" s="292">
        <f>(CP41-'In Process Calc.'!S7)^2</f>
        <v>1.7975911476258058E-2</v>
      </c>
      <c r="CQ69" s="292">
        <f>(CQ41-'In Process Calc.'!T7)^2</f>
        <v>1.1438186421996547E-2</v>
      </c>
      <c r="CR69" s="292">
        <f>(CR41-'In Process Calc.'!U7)^2</f>
        <v>2.7155139630277748E-2</v>
      </c>
      <c r="CS69" s="292">
        <f>(CS41-'In Process Calc.'!V7)^2</f>
        <v>14.96587502552822</v>
      </c>
      <c r="CT69" s="292">
        <f>(CT41-'In Process Calc.'!W7)^2</f>
        <v>0</v>
      </c>
      <c r="CU69" s="292">
        <f>(CU41-'In Process Calc.'!X7)^2</f>
        <v>0</v>
      </c>
      <c r="CV69" s="292">
        <f>(CV41-'In Process Calc.'!Y7)^2</f>
        <v>0</v>
      </c>
      <c r="CW69" s="292">
        <f>(CW41-'In Process Calc.'!Z7)^2</f>
        <v>0.85850776209551793</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87.442196422130536</v>
      </c>
      <c r="DK69" s="292">
        <f>(DK41-'In Process Calc.'!AN7)^2</f>
        <v>90.592764937587376</v>
      </c>
      <c r="DL69" s="292">
        <f>(DL41-'In Process Calc.'!AO7)^2</f>
        <v>954.42162320865316</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1.6580760408641901</v>
      </c>
      <c r="CM70" s="292">
        <f>(CM42-'In Process Calc.'!P8)^2</f>
        <v>4.3963662584333034E-2</v>
      </c>
      <c r="CN70" s="292">
        <f>(CN42-'In Process Calc.'!Q8)^2</f>
        <v>2.8531368251447553</v>
      </c>
      <c r="CO70" s="292">
        <f>(CO42-'In Process Calc.'!R8)^2</f>
        <v>0.97036457821631861</v>
      </c>
      <c r="CP70" s="292">
        <f>(CP42-'In Process Calc.'!S8)^2</f>
        <v>6.1855812975227832E-4</v>
      </c>
      <c r="CQ70" s="292">
        <f>(CQ42-'In Process Calc.'!T8)^2</f>
        <v>7.191888257219603E-2</v>
      </c>
      <c r="CR70" s="292">
        <f>(CR42-'In Process Calc.'!U8)^2</f>
        <v>4.3967998809530465E-2</v>
      </c>
      <c r="CS70" s="292">
        <f>(CS42-'In Process Calc.'!V8)^2</f>
        <v>5.9028032515754192E-3</v>
      </c>
      <c r="CT70" s="292">
        <f>(CT42-'In Process Calc.'!W8)^2</f>
        <v>0</v>
      </c>
      <c r="CU70" s="292">
        <f>(CU42-'In Process Calc.'!X8)^2</f>
        <v>0</v>
      </c>
      <c r="CV70" s="292">
        <f>(CV42-'In Process Calc.'!Y8)^2</f>
        <v>0</v>
      </c>
      <c r="CW70" s="292">
        <f>(CW42-'In Process Calc.'!Z8)^2</f>
        <v>3.2761592757441309</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0.11614742214097254</v>
      </c>
      <c r="DK70" s="292">
        <f>(DK42-'In Process Calc.'!AN8)^2</f>
        <v>2.6519050860555589</v>
      </c>
      <c r="DL70" s="292">
        <f>(DL42-'In Process Calc.'!AO8)^2</f>
        <v>13.572801446386036</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4.8616884588172118</v>
      </c>
      <c r="CM71" s="292">
        <f>(CM43-'In Process Calc.'!P9)^2</f>
        <v>0.34872278354729769</v>
      </c>
      <c r="CN71" s="292">
        <f>(CN43-'In Process Calc.'!Q9)^2</f>
        <v>10.605023785257837</v>
      </c>
      <c r="CO71" s="292">
        <f>(CO43-'In Process Calc.'!R9)^2</f>
        <v>1.0726406118028582</v>
      </c>
      <c r="CP71" s="292">
        <f>(CP43-'In Process Calc.'!S9)^2</f>
        <v>4.0041199852745317E-3</v>
      </c>
      <c r="CQ71" s="292">
        <f>(CQ43-'In Process Calc.'!T9)^2</f>
        <v>0.57878881341865085</v>
      </c>
      <c r="CR71" s="292">
        <f>(CR43-'In Process Calc.'!U9)^2</f>
        <v>0.25373730986456799</v>
      </c>
      <c r="CS71" s="292">
        <f>(CS43-'In Process Calc.'!V9)^2</f>
        <v>14.293321641048671</v>
      </c>
      <c r="CT71" s="292">
        <f>(CT43-'In Process Calc.'!W9)^2</f>
        <v>0</v>
      </c>
      <c r="CU71" s="292">
        <f>(CU43-'In Process Calc.'!X9)^2</f>
        <v>0</v>
      </c>
      <c r="CV71" s="292">
        <f>(CV43-'In Process Calc.'!Y9)^2</f>
        <v>0</v>
      </c>
      <c r="CW71" s="292">
        <f>(CW43-'In Process Calc.'!Z9)^2</f>
        <v>1.0159266807750684</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120.94955817784017</v>
      </c>
      <c r="DK71" s="292">
        <f>(DK43-'In Process Calc.'!AN9)^2</f>
        <v>77.313037552517216</v>
      </c>
      <c r="DL71" s="292">
        <f>(DL43-'In Process Calc.'!AO9)^2</f>
        <v>1760.6997882083215</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2.2204603754649916</v>
      </c>
      <c r="CM72" s="292">
        <f>(CM44-'In Process Calc.'!P10)^2</f>
        <v>1.5777263935282713</v>
      </c>
      <c r="CN72" s="292">
        <f>(CN44-'In Process Calc.'!Q10)^2</f>
        <v>8.4248690571595279</v>
      </c>
      <c r="CO72" s="292">
        <f>(CO44-'In Process Calc.'!R10)^2</f>
        <v>1.2681693119204446E-5</v>
      </c>
      <c r="CP72" s="292">
        <f>(CP44-'In Process Calc.'!S10)^2</f>
        <v>3.0929827182711502E-2</v>
      </c>
      <c r="CQ72" s="292">
        <f>(CQ44-'In Process Calc.'!T10)^2</f>
        <v>0.16693915018678995</v>
      </c>
      <c r="CR72" s="292">
        <f>(CR44-'In Process Calc.'!U10)^2</f>
        <v>2.1612877047127506E-2</v>
      </c>
      <c r="CS72" s="292">
        <f>(CS44-'In Process Calc.'!V10)^2</f>
        <v>76.089036540974334</v>
      </c>
      <c r="CT72" s="292">
        <f>(CT44-'In Process Calc.'!W10)^2</f>
        <v>0</v>
      </c>
      <c r="CU72" s="292">
        <f>(CU44-'In Process Calc.'!X10)^2</f>
        <v>0</v>
      </c>
      <c r="CV72" s="292">
        <f>(CV44-'In Process Calc.'!Y10)^2</f>
        <v>0</v>
      </c>
      <c r="CW72" s="292">
        <f>(CW44-'In Process Calc.'!Z10)^2</f>
        <v>3.5627722210003809</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484.77919988220197</v>
      </c>
      <c r="DK72" s="292">
        <f>(DK44-'In Process Calc.'!AN10)^2</f>
        <v>421.3815833523492</v>
      </c>
      <c r="DL72" s="292">
        <f>(DL44-'In Process Calc.'!AO10)^2</f>
        <v>5973.2110050628989</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0.90368213513220075</v>
      </c>
      <c r="CM73" s="292">
        <f>(CM45-'In Process Calc.'!P11)^2</f>
        <v>1.0493583153975101</v>
      </c>
      <c r="CN73" s="292">
        <f>(CN45-'In Process Calc.'!Q11)^2</f>
        <v>12.85918663701856</v>
      </c>
      <c r="CO73" s="292">
        <f>(CO45-'In Process Calc.'!R11)^2</f>
        <v>2.0521758494330924</v>
      </c>
      <c r="CP73" s="292">
        <f>(CP45-'In Process Calc.'!S11)^2</f>
        <v>1.307274329169238E-2</v>
      </c>
      <c r="CQ73" s="292">
        <f>(CQ45-'In Process Calc.'!T11)^2</f>
        <v>1.0456948779484236</v>
      </c>
      <c r="CR73" s="292">
        <f>(CR45-'In Process Calc.'!U11)^2</f>
        <v>0.62995191319379606</v>
      </c>
      <c r="CS73" s="292">
        <f>(CS45-'In Process Calc.'!V11)^2</f>
        <v>50.175497364183563</v>
      </c>
      <c r="CT73" s="292">
        <f>(CT45-'In Process Calc.'!W11)^2</f>
        <v>0</v>
      </c>
      <c r="CU73" s="292">
        <f>(CU45-'In Process Calc.'!X11)^2</f>
        <v>0</v>
      </c>
      <c r="CV73" s="292">
        <f>(CV45-'In Process Calc.'!Y11)^2</f>
        <v>0</v>
      </c>
      <c r="CW73" s="292">
        <f>(CW45-'In Process Calc.'!Z11)^2</f>
        <v>16.557567722593589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144.66123035171313</v>
      </c>
      <c r="DK73" s="292">
        <f>(DK45-'In Process Calc.'!AN11)^2</f>
        <v>168.4321615137907</v>
      </c>
      <c r="DL73" s="292">
        <f>(DL45-'In Process Calc.'!AO11)^2</f>
        <v>1962.2241718406701</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7.8396736900998576</v>
      </c>
      <c r="CM74" s="292">
        <f>(CM46-'In Process Calc.'!P12)^2</f>
        <v>2.5607681164967239E-3</v>
      </c>
      <c r="CN74" s="292">
        <f>(CN46-'In Process Calc.'!Q12)^2</f>
        <v>11.02452411012418</v>
      </c>
      <c r="CO74" s="292">
        <f>(CO46-'In Process Calc.'!R12)^2</f>
        <v>0.95897501477747871</v>
      </c>
      <c r="CP74" s="292">
        <f>(CP46-'In Process Calc.'!S12)^2</f>
        <v>3.2007137497386631E-4</v>
      </c>
      <c r="CQ74" s="292">
        <f>(CQ46-'In Process Calc.'!T12)^2</f>
        <v>2.4146606909860617</v>
      </c>
      <c r="CR74" s="292">
        <f>(CR46-'In Process Calc.'!U12)^2</f>
        <v>1.1746478278335854E-2</v>
      </c>
      <c r="CS74" s="292">
        <f>(CS46-'In Process Calc.'!V12)^2</f>
        <v>2.5335353036125809</v>
      </c>
      <c r="CT74" s="292">
        <f>(CT46-'In Process Calc.'!W12)^2</f>
        <v>0</v>
      </c>
      <c r="CU74" s="292">
        <f>(CU46-'In Process Calc.'!X12)^2</f>
        <v>0</v>
      </c>
      <c r="CV74" s="292">
        <f>(CV46-'In Process Calc.'!Y12)^2</f>
        <v>0</v>
      </c>
      <c r="CW74" s="292">
        <f>(CW46-'In Process Calc.'!Z12)^2</f>
        <v>3.0837256915371549</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0.62786348184947038</v>
      </c>
      <c r="DK74" s="292">
        <f>(DK46-'In Process Calc.'!AN12)^2</f>
        <v>12.904763701947406</v>
      </c>
      <c r="DL74" s="292">
        <f>(DL46-'In Process Calc.'!AO12)^2</f>
        <v>23.737879987293685</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3.0480283670692847</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zoomScale="145" zoomScaleNormal="145" workbookViewId="0">
      <selection activeCell="A3" sqref="A3:A15"/>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0.2535504746259114</v>
      </c>
      <c r="B3" s="115">
        <f>'Measured Data'!H7*'In Process Calc.'!E3/1000</f>
        <v>0.48375000000000001</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0.53333333332557231</v>
      </c>
      <c r="AL3" s="290">
        <f>'Measured Data'!U7</f>
        <v>5.6000000000000001E-2</v>
      </c>
      <c r="AM3" s="290">
        <f>'Measured Data'!V7</f>
        <v>1.976</v>
      </c>
      <c r="AN3" s="290">
        <f>'Measured Data'!W7</f>
        <v>6.1109999999999998</v>
      </c>
      <c r="AO3" s="290">
        <f>'Measured Data'!X7</f>
        <v>1.7030000000000001</v>
      </c>
      <c r="AP3" s="290">
        <f>'Measured Data'!Y7</f>
        <v>1.014</v>
      </c>
      <c r="AQ3" s="290">
        <f>'Measured Data'!Z7</f>
        <v>33.304469459801503</v>
      </c>
      <c r="AR3" s="290">
        <f>'Measured Data'!AA7</f>
        <v>0</v>
      </c>
      <c r="AS3" s="290">
        <f>'Measured Data'!AB7</f>
        <v>2.2599999999999998</v>
      </c>
      <c r="AT3" s="290">
        <f>'Measured Data'!AC7</f>
        <v>0</v>
      </c>
      <c r="AU3" s="290">
        <f>'Measured Data'!AD7</f>
        <v>0</v>
      </c>
      <c r="AV3" s="290">
        <f>'Measured Data'!AE7</f>
        <v>0</v>
      </c>
      <c r="AW3" s="290">
        <f>'Measured Data'!AF7</f>
        <v>0.88809946714031973</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0.40849999914169305</v>
      </c>
      <c r="B4" s="115">
        <f>'Measured Data'!H8*'In Process Calc.'!E4/1000</f>
        <v>0.78431999835205068</v>
      </c>
      <c r="C4" s="295">
        <f>'Growth Regression'!$P3</f>
        <v>2.617640691287184E-2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-27.266128867525616</v>
      </c>
      <c r="F4" s="115">
        <f xml:space="preserve"> (Regression!$CE$8*6*'In Process Calc.'!$C4^6+Regression!$CD$8*5*'In Process Calc.'!$C4^5+Regression!$CC$8*4*'In Process Calc.'!$C4^3+Regression!$CB$8*3*'In Process Calc.'!$C4^2  + Regression!$CA$8*2*'In Process Calc.'!$C4 + Regression!$BZ$8)/$A4</f>
        <v>0.15003455023322376</v>
      </c>
      <c r="G4" s="115">
        <f xml:space="preserve"> (Regression!$CE$9*6*'In Process Calc.'!$C4^6+Regression!$CD$9*5*'In Process Calc.'!$C4^5+Regression!$CC$9*4*'In Process Calc.'!$C4^3+Regression!$CB$9*3*'In Process Calc.'!$C4^2  + Regression!$CA$9*2*'In Process Calc.'!$C4 + Regression!$BZ$9)/$B4</f>
        <v>-1.4041641665740786E-2</v>
      </c>
      <c r="H4" s="115">
        <f xml:space="preserve"> (Regression!$CE$10*6*'In Process Calc.'!$C4^6+Regression!$CD$10*5*'In Process Calc.'!$C4^5+Regression!$CC$10*4*'In Process Calc.'!$C4^3+Regression!$CB$10*3*'In Process Calc.'!$C4^2  + Regression!$CA$10*2*'In Process Calc.'!$C4 + Regression!$BZ$10)/$B4</f>
        <v>1.3670191841330101E-2</v>
      </c>
      <c r="I4" s="115">
        <f xml:space="preserve"> (Regression!$CE$11*6*'In Process Calc.'!$C4^6+Regression!$CD$11*5*'In Process Calc.'!$C4^5+Regression!$CC$11*4*'In Process Calc.'!$C4^3+Regression!$CB$11*3*'In Process Calc.'!$C4^2  + Regression!$CA$11*2*'In Process Calc.'!$C4 + Regression!$BZ$11)/$A4</f>
        <v>9.2673510411092327E-2</v>
      </c>
      <c r="J4" s="115">
        <f>(Regression!$CE$12*6*'In Process Calc.'!$C4^6+Regression!$CD$12*5*'In Process Calc.'!$C4^5+Regression!$CC$12*4*'In Process Calc.'!$C4^3+Regression!$CB$12*3*'In Process Calc.'!$C4^2  + Regression!$CA$12*2*'In Process Calc.'!$C4 + Regression!$BZ$12)/$A4</f>
        <v>-4.1544789758087858E-3</v>
      </c>
      <c r="K4" s="115">
        <f xml:space="preserve"> (Regression!$CE$13*6*'In Process Calc.'!$C4^5+Regression!$CD$13*5*'In Process Calc.'!$C4^4+Regression!$CC$13*4*'In Process Calc.'!$C4^3+Regression!$CB$13*3*'In Process Calc.'!$C4^2  + Regression!$CA$13*2*'In Process Calc.'!$C4 + Regression!$BZ$13)/$A4</f>
        <v>5.5096279529410284E-2</v>
      </c>
      <c r="L4" s="115">
        <f xml:space="preserve"> (Regression!$CE$14*6*'In Process Calc.'!$C4^5+Regression!$CD$14*5*'In Process Calc.'!$C4^4+Regression!$CC$14*4*'In Process Calc.'!$C4^3+Regression!$CB$14*3*'In Process Calc.'!$C4^2  + Regression!$CA$14*2*'In Process Calc.'!$C4 + Regression!$BZ$14)/$B4</f>
        <v>-6.86143953030039E-3</v>
      </c>
      <c r="M4" s="115">
        <f xml:space="preserve"> (Regression!$CE$15*6*'In Process Calc.'!$C4^6+Regression!$CD$15*5*'In Process Calc.'!$C4^5+Regression!$CC$15*4*'In Process Calc.'!$C4^3+Regression!$CB$15*3*'In Process Calc.'!$C4^2  + Regression!$CA$15*2*'In Process Calc.'!$C4 + Regression!$BZ$15)/$A4</f>
        <v>-0.4367868234980537</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2.8827663182812099E-2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-0.66968522814061238</v>
      </c>
      <c r="AE4" s="115">
        <f xml:space="preserve"> (Regression!$CE$33*6*'In Process Calc.'!$C4^5+Regression!$CD$33*5*'In Process Calc.'!$C4^4+Regression!$CC$33*4*'In Process Calc.'!$C4^3 +Regression!$CB$33*3*'In Process Calc.'!$C4^2 + Regression!$CA$33*2*'In Process Calc.'!$C4 + Regression!$BZ$33)/$A4</f>
        <v>-0.51965067790738861</v>
      </c>
      <c r="AF4" s="115">
        <f xml:space="preserve"> (Regression!$CE$34*6*'In Process Calc.'!$C4^5+Regression!$CD$34*5*'In Process Calc.'!$C4^4+Regression!$CC$34*4*'In Process Calc.'!$C4^3 +Regression!$CB$34*3*'In Process Calc.'!$C4^2 + Regression!$CA$34*2*'In Process Calc.'!$C4 + Regression!$BZ$34)/$A4</f>
        <v>-3.3743498743375069</v>
      </c>
      <c r="AG4" s="116">
        <f t="shared" ref="AG4:AG15" si="0">$Q4/$K4</f>
        <v>0.52322340871354023</v>
      </c>
      <c r="AH4" s="116">
        <f>$D4/$K4</f>
        <v>0</v>
      </c>
      <c r="AI4" s="116">
        <f t="shared" ref="AI4:AI15" si="1">$L4/$K4</f>
        <v>-0.12453544211887786</v>
      </c>
      <c r="AJ4" s="116">
        <f t="shared" ref="AJ4:AJ15" si="2">$U4/$L4</f>
        <v>0</v>
      </c>
      <c r="AK4" s="76">
        <f>'In Process Calc.'!C4</f>
        <v>21.199999999953434</v>
      </c>
      <c r="AL4" s="122">
        <f>((Regression!CL37-Regression!CL38)*1000+'Post Process Calc.'!AL3*'In Process Calc.'!$E4+'In Process Calc.'!$G3*'Measured Data'!AS7+'In Process Calc.'!$F3*'Measured Data'!AS7)/'In Process Calc.'!$J3</f>
        <v>-0.90212530278063818</v>
      </c>
      <c r="AM4" s="122">
        <f>((Regression!CM37-Regression!CM38)*1000+'Post Process Calc.'!AM3*'In Process Calc.'!$E4+'In Process Calc.'!$G3*'Measured Data'!AT7+'In Process Calc.'!$F3*'Measured Data'!AT7)/'In Process Calc.'!$J3</f>
        <v>2.0662957862230571</v>
      </c>
      <c r="AN4" s="122">
        <f>((Regression!CN37-Regression!CN38)*1000+'Post Process Calc.'!AN3*'In Process Calc.'!$E4+'In Process Calc.'!$G3*'Measured Data'!AU7+'In Process Calc.'!$F3*'Measured Data'!AU7)/'In Process Calc.'!$J3</f>
        <v>5.806743197796604</v>
      </c>
      <c r="AO4" s="122">
        <f>((Regression!CO37-Regression!CO38)*1000+'Post Process Calc.'!AO3*'In Process Calc.'!$E4+'In Process Calc.'!$G3*'Measured Data'!AV7+'In Process Calc.'!$F3*'Measured Data'!AV7)/'In Process Calc.'!$J3</f>
        <v>1.0298965947530876</v>
      </c>
      <c r="AP4" s="122">
        <f>((Regression!CP37-Regression!CP38)*1000+'Post Process Calc.'!AP3*'In Process Calc.'!$E4+'In Process Calc.'!$G3*'Measured Data'!AW7+'In Process Calc.'!$F3*'Measured Data'!AW7)/'In Process Calc.'!$J3</f>
        <v>1.0467047365316235</v>
      </c>
      <c r="AQ4" s="122">
        <f>((Regression!CQ37-Regression!CQ38)*1000+'Post Process Calc.'!AQ3*'In Process Calc.'!$E4+'In Process Calc.'!$G3*'Measured Data'!AX7+'In Process Calc.'!$F3*'Measured Data'!AX7)/'In Process Calc.'!$J3</f>
        <v>32.924900862203941</v>
      </c>
      <c r="AR4" s="122">
        <f>((Regression!CR37-Regression!CR38)*1000+'Post Process Calc.'!AR3*'In Process Calc.'!$E4+'In Process Calc.'!$G3*'Measured Data'!AY7+'In Process Calc.'!$F3*'Measured Data'!AY7)/'In Process Calc.'!$J3</f>
        <v>0.32491418213597362</v>
      </c>
      <c r="AS4" s="122">
        <f>((Regression!CS37-Regression!CS38)*1000+'Post Process Calc.'!AS3*'In Process Calc.'!$E4+'In Process Calc.'!$G3*'Measured Data'!AZ7+'In Process Calc.'!$F3*'Measured Data'!AZ7)/'In Process Calc.'!$J3</f>
        <v>4.165011373072427</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0.82910054962871538</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0.79</v>
      </c>
      <c r="B5" s="115">
        <f>'Measured Data'!H9*'In Process Calc.'!E5/1000</f>
        <v>1.50495</v>
      </c>
      <c r="C5" s="295">
        <f>'Growth Regression'!$P4</f>
        <v>2.5535064670795828E-2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-3.6774507545455859</v>
      </c>
      <c r="F5" s="115">
        <f xml:space="preserve"> (Regression!$CE$8*6*'In Process Calc.'!$C5^6+Regression!$CD$8*5*'In Process Calc.'!$C5^5+Regression!$CC$8*4*'In Process Calc.'!$C5^3+Regression!$CB$8*3*'In Process Calc.'!$C5^2  + Regression!$CA$8*2*'In Process Calc.'!$C5 + Regression!$BZ$8)/$A5</f>
        <v>-2.5403978270953313E-3</v>
      </c>
      <c r="G5" s="115">
        <f xml:space="preserve"> (Regression!$CE$9*6*'In Process Calc.'!$C5^6+Regression!$CD$9*5*'In Process Calc.'!$C5^5+Regression!$CC$9*4*'In Process Calc.'!$C5^3+Regression!$CB$9*3*'In Process Calc.'!$C5^2  + Regression!$CA$9*2*'In Process Calc.'!$C5 + Regression!$BZ$9)/$B5</f>
        <v>-8.5402151887304777E-3</v>
      </c>
      <c r="H5" s="115">
        <f xml:space="preserve"> (Regression!$CE$10*6*'In Process Calc.'!$C5^6+Regression!$CD$10*5*'In Process Calc.'!$C5^5+Regression!$CC$10*4*'In Process Calc.'!$C5^3+Regression!$CB$10*3*'In Process Calc.'!$C5^2  + Regression!$CA$10*2*'In Process Calc.'!$C5 + Regression!$BZ$10)/$B5</f>
        <v>-3.3469966757559864E-3</v>
      </c>
      <c r="I5" s="115">
        <f xml:space="preserve"> (Regression!$CE$11*6*'In Process Calc.'!$C5^6+Regression!$CD$11*5*'In Process Calc.'!$C5^5+Regression!$CC$11*4*'In Process Calc.'!$C5^3+Regression!$CB$11*3*'In Process Calc.'!$C5^2  + Regression!$CA$11*2*'In Process Calc.'!$C5 + Regression!$BZ$11)/$A5</f>
        <v>-8.5129385370001087E-3</v>
      </c>
      <c r="J5" s="115">
        <f>(Regression!$CE$12*6*'In Process Calc.'!$C5^6+Regression!$CD$12*5*'In Process Calc.'!$C5^5+Regression!$CC$12*4*'In Process Calc.'!$C5^3+Regression!$CB$12*3*'In Process Calc.'!$C5^2  + Regression!$CA$12*2*'In Process Calc.'!$C5 + Regression!$BZ$12)/$A5</f>
        <v>3.8290766566026983E-3</v>
      </c>
      <c r="K5" s="115">
        <f xml:space="preserve"> (Regression!$CE$13*6*'In Process Calc.'!$C5^5+Regression!$CD$13*5*'In Process Calc.'!$C5^4+Regression!$CC$13*4*'In Process Calc.'!$C5^3+Regression!$CB$13*3*'In Process Calc.'!$C5^2  + Regression!$CA$13*2*'In Process Calc.'!$C5 + Regression!$BZ$13)/$A5</f>
        <v>9.3465513653296001E-2</v>
      </c>
      <c r="L5" s="115">
        <f xml:space="preserve"> (Regression!$CE$14*6*'In Process Calc.'!$C5^5+Regression!$CD$14*5*'In Process Calc.'!$C5^4+Regression!$CC$14*4*'In Process Calc.'!$C5^3+Regression!$CB$14*3*'In Process Calc.'!$C5^2  + Regression!$CA$14*2*'In Process Calc.'!$C5 + Regression!$BZ$14)/$B5</f>
        <v>3.4893971256530283E-3</v>
      </c>
      <c r="M5" s="115">
        <f xml:space="preserve"> (Regression!$CE$15*6*'In Process Calc.'!$C5^6+Regression!$CD$15*5*'In Process Calc.'!$C5^5+Regression!$CC$15*4*'In Process Calc.'!$C5^3+Regression!$CB$15*3*'In Process Calc.'!$C5^2  + Regression!$CA$15*2*'In Process Calc.'!$C5 + Regression!$BZ$15)/$A5</f>
        <v>-0.21349849918675431</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6.7210332266750106E-2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-0.35716822875106069</v>
      </c>
      <c r="AE5" s="115">
        <f xml:space="preserve"> (Regression!$CE$33*6*'In Process Calc.'!$C5^5+Regression!$CD$33*5*'In Process Calc.'!$C5^4+Regression!$CC$33*4*'In Process Calc.'!$C5^3 +Regression!$CB$33*3*'In Process Calc.'!$C5^2 + Regression!$CA$33*2*'In Process Calc.'!$C5 + Regression!$BZ$33)/$A5</f>
        <v>-0.35970862657815611</v>
      </c>
      <c r="AF5" s="115">
        <f xml:space="preserve"> (Regression!$CE$34*6*'In Process Calc.'!$C5^5+Regression!$CD$34*5*'In Process Calc.'!$C5^4+Regression!$CC$34*4*'In Process Calc.'!$C5^3 +Regression!$CB$34*3*'In Process Calc.'!$C5^2 + Regression!$CA$34*2*'In Process Calc.'!$C5 + Regression!$BZ$34)/$A5</f>
        <v>-1.3501643485856152</v>
      </c>
      <c r="AG5" s="116">
        <f t="shared" si="0"/>
        <v>0.71909231158844622</v>
      </c>
      <c r="AH5" s="116">
        <f t="shared" ref="AH5:AH15" si="3">$D5/$K5</f>
        <v>0</v>
      </c>
      <c r="AI5" s="116">
        <f t="shared" si="1"/>
        <v>3.7333525374896148E-2</v>
      </c>
      <c r="AJ5" s="116">
        <f t="shared" si="2"/>
        <v>0</v>
      </c>
      <c r="AK5" s="76">
        <f>'In Process Calc.'!C5</f>
        <v>48.46666666661622</v>
      </c>
      <c r="AL5" s="122">
        <f>((Regression!CL38-Regression!CL39)*1000+'Post Process Calc.'!AL4*'In Process Calc.'!$E5+'In Process Calc.'!$G4*'Measured Data'!AS8+'In Process Calc.'!$F4*'Measured Data'!AS8)/'In Process Calc.'!$J4</f>
        <v>-1.2978033571329601</v>
      </c>
      <c r="AM5" s="122">
        <f>((Regression!CM38-Regression!CM39)*1000+'Post Process Calc.'!AM4*'In Process Calc.'!$E5+'In Process Calc.'!$G4*'Measured Data'!AT8+'In Process Calc.'!$F4*'Measured Data'!AT8)/'In Process Calc.'!$J4</f>
        <v>2.2213900237280932</v>
      </c>
      <c r="AN5" s="122">
        <f>((Regression!CN38-Regression!CN39)*1000+'Post Process Calc.'!AN4*'In Process Calc.'!$E5+'In Process Calc.'!$G4*'Measured Data'!AU8+'In Process Calc.'!$F4*'Measured Data'!AU8)/'In Process Calc.'!$J4</f>
        <v>5.74890794056485</v>
      </c>
      <c r="AO5" s="122">
        <f>((Regression!CO38-Regression!CO39)*1000+'Post Process Calc.'!AO4*'In Process Calc.'!$E5+'In Process Calc.'!$G4*'Measured Data'!AV8+'In Process Calc.'!$F4*'Measured Data'!AV8)/'In Process Calc.'!$J4</f>
        <v>0.82822566864359937</v>
      </c>
      <c r="AP5" s="122">
        <f>((Regression!CP38-Regression!CP39)*1000+'Post Process Calc.'!AP4*'In Process Calc.'!$E5+'In Process Calc.'!$G4*'Measured Data'!AW8+'In Process Calc.'!$F4*'Measured Data'!AW8)/'In Process Calc.'!$J4</f>
        <v>1.0278064199939367</v>
      </c>
      <c r="AQ5" s="122">
        <f>((Regression!CQ38-Regression!CQ39)*1000+'Post Process Calc.'!AQ4*'In Process Calc.'!$E5+'In Process Calc.'!$G4*'Measured Data'!AX8+'In Process Calc.'!$F4*'Measured Data'!AX8)/'In Process Calc.'!$J4</f>
        <v>32.014957839574308</v>
      </c>
      <c r="AR5" s="122">
        <f>((Regression!CR38-Regression!CR39)*1000+'Post Process Calc.'!AR4*'In Process Calc.'!$E5+'In Process Calc.'!$G4*'Measured Data'!AY8+'In Process Calc.'!$F4*'Measured Data'!AY8)/'In Process Calc.'!$J4</f>
        <v>0.25785212377043654</v>
      </c>
      <c r="AS5" s="122">
        <f>((Regression!CS38-Regression!CS39)*1000+'Post Process Calc.'!AS4*'In Process Calc.'!$E5+'In Process Calc.'!$G4*'Measured Data'!AZ8+'In Process Calc.'!$F4*'Measured Data'!AZ8)/'In Process Calc.'!$J4</f>
        <v>6.6058688807437305</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-2.9263717978803547E-2</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1.3430000377655029</v>
      </c>
      <c r="B6" s="115">
        <f>'Measured Data'!H10*'In Process Calc.'!E6/1000</f>
        <v>2.5194680708480837</v>
      </c>
      <c r="C6" s="295">
        <f>'Growth Regression'!$P5</f>
        <v>2.4573937262705133E-2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2.3857928039471576</v>
      </c>
      <c r="F6" s="115">
        <f xml:space="preserve"> (Regression!$CE$8*6*'In Process Calc.'!$C6^6+Regression!$CD$8*5*'In Process Calc.'!$C6^5+Regression!$CC$8*4*'In Process Calc.'!$C6^3+Regression!$CB$8*3*'In Process Calc.'!$C6^2  + Regression!$CA$8*2*'In Process Calc.'!$C6 + Regression!$BZ$8)/$A6</f>
        <v>-3.175328322007797E-2</v>
      </c>
      <c r="G6" s="115">
        <f xml:space="preserve"> (Regression!$CE$9*6*'In Process Calc.'!$C6^6+Regression!$CD$9*5*'In Process Calc.'!$C6^5+Regression!$CC$9*4*'In Process Calc.'!$C6^3+Regression!$CB$9*3*'In Process Calc.'!$C6^2  + Regression!$CA$9*2*'In Process Calc.'!$C6 + Regression!$BZ$9)/$B6</f>
        <v>-5.2557660673670506E-3</v>
      </c>
      <c r="H6" s="115">
        <f xml:space="preserve"> (Regression!$CE$10*6*'In Process Calc.'!$C6^6+Regression!$CD$10*5*'In Process Calc.'!$C6^5+Regression!$CC$10*4*'In Process Calc.'!$C6^3+Regression!$CB$10*3*'In Process Calc.'!$C6^2  + Regression!$CA$10*2*'In Process Calc.'!$C6 + Regression!$BZ$10)/$B6</f>
        <v>-9.7366568913388361E-4</v>
      </c>
      <c r="I6" s="115">
        <f xml:space="preserve"> (Regression!$CE$11*6*'In Process Calc.'!$C6^6+Regression!$CD$11*5*'In Process Calc.'!$C6^5+Regression!$CC$11*4*'In Process Calc.'!$C6^3+Regression!$CB$11*3*'In Process Calc.'!$C6^2  + Regression!$CA$11*2*'In Process Calc.'!$C6 + Regression!$BZ$11)/$A6</f>
        <v>-2.047180183250974E-2</v>
      </c>
      <c r="J6" s="115">
        <f>(Regression!$CE$12*6*'In Process Calc.'!$C6^6+Regression!$CD$12*5*'In Process Calc.'!$C6^5+Regression!$CC$12*4*'In Process Calc.'!$C6^3+Regression!$CB$12*3*'In Process Calc.'!$C6^2  + Regression!$CA$12*2*'In Process Calc.'!$C6 + Regression!$BZ$12)/$A6</f>
        <v>4.54155917119163E-3</v>
      </c>
      <c r="K6" s="115">
        <f xml:space="preserve"> (Regression!$CE$13*6*'In Process Calc.'!$C6^5+Regression!$CD$13*5*'In Process Calc.'!$C6^4+Regression!$CC$13*4*'In Process Calc.'!$C6^3+Regression!$CB$13*3*'In Process Calc.'!$C6^2  + Regression!$CA$13*2*'In Process Calc.'!$C6 + Regression!$BZ$13)/$A6</f>
        <v>9.9503746540952273E-2</v>
      </c>
      <c r="L6" s="115">
        <f xml:space="preserve"> (Regression!$CE$14*6*'In Process Calc.'!$C6^5+Regression!$CD$14*5*'In Process Calc.'!$C6^4+Regression!$CC$14*4*'In Process Calc.'!$C6^3+Regression!$CB$14*3*'In Process Calc.'!$C6^2  + Regression!$CA$14*2*'In Process Calc.'!$C6 + Regression!$BZ$14)/$B6</f>
        <v>-5.3373829133951962E-3</v>
      </c>
      <c r="M6" s="115">
        <f xml:space="preserve"> (Regression!$CE$15*6*'In Process Calc.'!$C6^6+Regression!$CD$15*5*'In Process Calc.'!$C6^5+Regression!$CC$15*4*'In Process Calc.'!$C6^3+Regression!$CB$15*3*'In Process Calc.'!$C6^2  + Regression!$CA$15*2*'In Process Calc.'!$C6 + Regression!$BZ$15)/$A6</f>
        <v>-0.1154150358805462</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6.6383455431723526E-2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-0.20277692472682335</v>
      </c>
      <c r="AE6" s="115">
        <f xml:space="preserve"> (Regression!$CE$33*6*'In Process Calc.'!$C6^5+Regression!$CD$33*5*'In Process Calc.'!$C6^4+Regression!$CC$33*4*'In Process Calc.'!$C6^3 +Regression!$CB$33*3*'In Process Calc.'!$C6^2 + Regression!$CA$33*2*'In Process Calc.'!$C6 + Regression!$BZ$33)/$A6</f>
        <v>-0.23453020794690138</v>
      </c>
      <c r="AF6" s="115">
        <f xml:space="preserve"> (Regression!$CE$34*6*'In Process Calc.'!$C6^5+Regression!$CD$34*5*'In Process Calc.'!$C6^4+Regression!$CC$34*4*'In Process Calc.'!$C6^3 +Regression!$CB$34*3*'In Process Calc.'!$C6^2 + Regression!$CA$34*2*'In Process Calc.'!$C6 + Regression!$BZ$34)/$A6</f>
        <v>-0.60579934392742407</v>
      </c>
      <c r="AG6" s="116">
        <f t="shared" si="0"/>
        <v>0.66714528587526511</v>
      </c>
      <c r="AH6" s="116">
        <f t="shared" si="3"/>
        <v>0</v>
      </c>
      <c r="AI6" s="116">
        <f t="shared" si="1"/>
        <v>-5.3640019586584264E-2</v>
      </c>
      <c r="AJ6" s="116">
        <f t="shared" si="2"/>
        <v>0</v>
      </c>
      <c r="AK6" s="76">
        <f>'In Process Calc.'!C6</f>
        <v>70.96666666661622</v>
      </c>
      <c r="AL6" s="122">
        <f>((Regression!CL39-Regression!CL40)*1000+'Post Process Calc.'!AL5*'In Process Calc.'!$E6+'In Process Calc.'!$G5*'Measured Data'!AS9+'In Process Calc.'!$F5*'Measured Data'!AS9)/'In Process Calc.'!$J5</f>
        <v>-1.0040387552673922</v>
      </c>
      <c r="AM6" s="122">
        <f>((Regression!CM39-Regression!CM40)*1000+'Post Process Calc.'!AM5*'In Process Calc.'!$E6+'In Process Calc.'!$G5*'Measured Data'!AT9+'In Process Calc.'!$F5*'Measured Data'!AT9)/'In Process Calc.'!$J5</f>
        <v>2.3426785371802388</v>
      </c>
      <c r="AN6" s="122">
        <f>((Regression!CN39-Regression!CN40)*1000+'Post Process Calc.'!AN5*'In Process Calc.'!$E6+'In Process Calc.'!$G5*'Measured Data'!AU9+'In Process Calc.'!$F5*'Measured Data'!AU9)/'In Process Calc.'!$J5</f>
        <v>5.7174463499457859</v>
      </c>
      <c r="AO6" s="122">
        <f>((Regression!CO39-Regression!CO40)*1000+'Post Process Calc.'!AO5*'In Process Calc.'!$E6+'In Process Calc.'!$G5*'Measured Data'!AV9+'In Process Calc.'!$F5*'Measured Data'!AV9)/'In Process Calc.'!$J5</f>
        <v>1.0305924817098857</v>
      </c>
      <c r="AP6" s="122">
        <f>((Regression!CP39-Regression!CP40)*1000+'Post Process Calc.'!AP5*'In Process Calc.'!$E6+'In Process Calc.'!$G5*'Measured Data'!AW9+'In Process Calc.'!$F5*'Measured Data'!AW9)/'In Process Calc.'!$J5</f>
        <v>0.95754467983959912</v>
      </c>
      <c r="AQ6" s="122">
        <f>((Regression!CQ39-Regression!CQ40)*1000+'Post Process Calc.'!AQ5*'In Process Calc.'!$E6+'In Process Calc.'!$G5*'Measured Data'!AX9+'In Process Calc.'!$F5*'Measured Data'!AX9)/'In Process Calc.'!$J5</f>
        <v>30.315477206803397</v>
      </c>
      <c r="AR6" s="122">
        <f>((Regression!CR39-Regression!CR40)*1000+'Post Process Calc.'!AR5*'In Process Calc.'!$E6+'In Process Calc.'!$G5*'Measured Data'!AY9+'In Process Calc.'!$F5*'Measured Data'!AY9)/'In Process Calc.'!$J5</f>
        <v>0.28993994945698193</v>
      </c>
      <c r="AS6" s="122">
        <f>((Regression!CS39-Regression!CS40)*1000+'Post Process Calc.'!AS5*'In Process Calc.'!$E6+'In Process Calc.'!$G5*'Measured Data'!AZ9+'In Process Calc.'!$F5*'Measured Data'!AZ9)/'In Process Calc.'!$J5</f>
        <v>8.4217097647126629</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-1.6264446491104689</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2.6090999675750735</v>
      </c>
      <c r="B7" s="115">
        <f>'Measured Data'!H11*'In Process Calc.'!E7/1000</f>
        <v>4.8555350396572123</v>
      </c>
      <c r="C7" s="295">
        <f>'Growth Regression'!$P6</f>
        <v>2.2815212816208186E-2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3.5065038854593049</v>
      </c>
      <c r="F7" s="115">
        <f xml:space="preserve"> (Regression!$CE$8*6*'In Process Calc.'!$C7^6+Regression!$CD$8*5*'In Process Calc.'!$C7^5+Regression!$CC$8*4*'In Process Calc.'!$C7^3+Regression!$CB$8*3*'In Process Calc.'!$C7^2  + Regression!$CA$8*2*'In Process Calc.'!$C7 + Regression!$BZ$8)/$A7</f>
        <v>-2.8728329475562017E-2</v>
      </c>
      <c r="G7" s="115">
        <f xml:space="preserve"> (Regression!$CE$9*6*'In Process Calc.'!$C7^6+Regression!$CD$9*5*'In Process Calc.'!$C7^5+Regression!$CC$9*4*'In Process Calc.'!$C7^3+Regression!$CB$9*3*'In Process Calc.'!$C7^2  + Regression!$CA$9*2*'In Process Calc.'!$C7 + Regression!$BZ$9)/$B7</f>
        <v>-2.5755388885567985E-3</v>
      </c>
      <c r="H7" s="115">
        <f xml:space="preserve"> (Regression!$CE$10*6*'In Process Calc.'!$C7^6+Regression!$CD$10*5*'In Process Calc.'!$C7^5+Regression!$CC$10*4*'In Process Calc.'!$C7^3+Regression!$CB$10*3*'In Process Calc.'!$C7^2  + Regression!$CA$10*2*'In Process Calc.'!$C7 + Regression!$BZ$10)/$B7</f>
        <v>2.4315697743294358E-3</v>
      </c>
      <c r="I7" s="115">
        <f xml:space="preserve"> (Regression!$CE$11*6*'In Process Calc.'!$C7^6+Regression!$CD$11*5*'In Process Calc.'!$C7^5+Regression!$CC$11*4*'In Process Calc.'!$C7^3+Regression!$CB$11*3*'In Process Calc.'!$C7^2  + Regression!$CA$11*2*'In Process Calc.'!$C7 + Regression!$BZ$11)/$A7</f>
        <v>-1.4053567781549267E-2</v>
      </c>
      <c r="J7" s="115">
        <f>(Regression!$CE$12*6*'In Process Calc.'!$C7^6+Regression!$CD$12*5*'In Process Calc.'!$C7^5+Regression!$CC$12*4*'In Process Calc.'!$C7^3+Regression!$CB$12*3*'In Process Calc.'!$C7^2  + Regression!$CA$12*2*'In Process Calc.'!$C7 + Regression!$BZ$12)/$A7</f>
        <v>3.2961488239212126E-3</v>
      </c>
      <c r="K7" s="115">
        <f xml:space="preserve"> (Regression!$CE$13*6*'In Process Calc.'!$C7^5+Regression!$CD$13*5*'In Process Calc.'!$C7^4+Regression!$CC$13*4*'In Process Calc.'!$C7^3+Regression!$CB$13*3*'In Process Calc.'!$C7^2  + Regression!$CA$13*2*'In Process Calc.'!$C7 + Regression!$BZ$13)/$A7</f>
        <v>8.0967790857635766E-2</v>
      </c>
      <c r="L7" s="115">
        <f xml:space="preserve"> (Regression!$CE$14*6*'In Process Calc.'!$C7^5+Regression!$CD$14*5*'In Process Calc.'!$C7^4+Regression!$CC$14*4*'In Process Calc.'!$C7^3+Regression!$CB$14*3*'In Process Calc.'!$C7^2  + Regression!$CA$14*2*'In Process Calc.'!$C7 + Regression!$BZ$14)/$B7</f>
        <v>-8.0147364350930637E-3</v>
      </c>
      <c r="M7" s="115">
        <f xml:space="preserve"> (Regression!$CE$15*6*'In Process Calc.'!$C7^6+Regression!$CD$15*5*'In Process Calc.'!$C7^5+Regression!$CC$15*4*'In Process Calc.'!$C7^3+Regression!$CB$15*3*'In Process Calc.'!$C7^2  + Regression!$CA$15*2*'In Process Calc.'!$C7 + Regression!$BZ$15)/$A7</f>
        <v>-5.1504022615961133E-2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4.3994922326562366E-2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-9.3610832169223973E-2</v>
      </c>
      <c r="AE7" s="115">
        <f xml:space="preserve"> (Regression!$CE$33*6*'In Process Calc.'!$C7^5+Regression!$CD$33*5*'In Process Calc.'!$C7^4+Regression!$CC$33*4*'In Process Calc.'!$C7^3 +Regression!$CB$33*3*'In Process Calc.'!$C7^2 + Regression!$CA$33*2*'In Process Calc.'!$C7 + Regression!$BZ$33)/$A7</f>
        <v>-0.122339161644786</v>
      </c>
      <c r="AF7" s="115">
        <f xml:space="preserve"> (Regression!$CE$34*6*'In Process Calc.'!$C7^5+Regression!$CD$34*5*'In Process Calc.'!$C7^4+Regression!$CC$34*4*'In Process Calc.'!$C7^3 +Regression!$CB$34*3*'In Process Calc.'!$C7^2 + Regression!$CA$34*2*'In Process Calc.'!$C7 + Regression!$BZ$34)/$A7</f>
        <v>-0.20796531970591664</v>
      </c>
      <c r="AG7" s="116">
        <f t="shared" si="0"/>
        <v>0.54336325420953946</v>
      </c>
      <c r="AH7" s="116">
        <f t="shared" si="3"/>
        <v>0</v>
      </c>
      <c r="AI7" s="116">
        <f t="shared" si="1"/>
        <v>-9.8986724846985549E-2</v>
      </c>
      <c r="AJ7" s="116">
        <f t="shared" si="2"/>
        <v>0</v>
      </c>
      <c r="AK7" s="76">
        <f>'In Process Calc.'!C7</f>
        <v>95.449999999953434</v>
      </c>
      <c r="AL7" s="122">
        <f>((Regression!CL40-Regression!CL41)*1000+'Post Process Calc.'!AL6*'In Process Calc.'!$E7+'In Process Calc.'!$G6*'Measured Data'!AS10+'In Process Calc.'!$F6*'Measured Data'!AS10)/'In Process Calc.'!$J6</f>
        <v>-0.2151252174970989</v>
      </c>
      <c r="AM7" s="122">
        <f>((Regression!CM40-Regression!CM41)*1000+'Post Process Calc.'!AM6*'In Process Calc.'!$E7+'In Process Calc.'!$G6*'Measured Data'!AT10+'In Process Calc.'!$F6*'Measured Data'!AT10)/'In Process Calc.'!$J6</f>
        <v>2.4932734373526189</v>
      </c>
      <c r="AN7" s="122">
        <f>((Regression!CN40-Regression!CN41)*1000+'Post Process Calc.'!AN6*'In Process Calc.'!$E7+'In Process Calc.'!$G6*'Measured Data'!AU10+'In Process Calc.'!$F6*'Measured Data'!AU10)/'In Process Calc.'!$J6</f>
        <v>5.6212508493683728</v>
      </c>
      <c r="AO7" s="122">
        <f>((Regression!CO40-Regression!CO41)*1000+'Post Process Calc.'!AO6*'In Process Calc.'!$E7+'In Process Calc.'!$G6*'Measured Data'!AV10+'In Process Calc.'!$F6*'Measured Data'!AV10)/'In Process Calc.'!$J6</f>
        <v>1.4546371825219571</v>
      </c>
      <c r="AP7" s="122">
        <f>((Regression!CP40-Regression!CP41)*1000+'Post Process Calc.'!AP6*'In Process Calc.'!$E7+'In Process Calc.'!$G6*'Measured Data'!AW10+'In Process Calc.'!$F6*'Measured Data'!AW10)/'In Process Calc.'!$J6</f>
        <v>0.85301207348516839</v>
      </c>
      <c r="AQ7" s="122">
        <f>((Regression!CQ40-Regression!CQ41)*1000+'Post Process Calc.'!AQ6*'In Process Calc.'!$E7+'In Process Calc.'!$G6*'Measured Data'!AX10+'In Process Calc.'!$F6*'Measured Data'!AX10)/'In Process Calc.'!$J6</f>
        <v>27.833941626151354</v>
      </c>
      <c r="AR7" s="122">
        <f>((Regression!CR40-Regression!CR41)*1000+'Post Process Calc.'!AR6*'In Process Calc.'!$E7+'In Process Calc.'!$G6*'Measured Data'!AY10+'In Process Calc.'!$F6*'Measured Data'!AY10)/'In Process Calc.'!$J6</f>
        <v>0.63233205576925133</v>
      </c>
      <c r="AS7" s="122">
        <f>((Regression!CS40-Regression!CS41)*1000+'Post Process Calc.'!AS6*'In Process Calc.'!$E7+'In Process Calc.'!$G6*'Measured Data'!AZ10+'In Process Calc.'!$F6*'Measured Data'!AZ10)/'In Process Calc.'!$J6</f>
        <v>10.249230942516149</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-4.1384989003835253</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3.9289001060485846</v>
      </c>
      <c r="B8" s="115">
        <f>'Measured Data'!H12*'In Process Calc.'!E8/1000</f>
        <v>7.3567926911666035</v>
      </c>
      <c r="C8" s="295">
        <f>'Growth Regression'!$P7</f>
        <v>2.058288572864507E-2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3.4485853315140464</v>
      </c>
      <c r="F8" s="115">
        <f xml:space="preserve"> (Regression!$CE$8*6*'In Process Calc.'!$C8^6+Regression!$CD$8*5*'In Process Calc.'!$C8^5+Regression!$CC$8*4*'In Process Calc.'!$C8^3+Regression!$CB$8*3*'In Process Calc.'!$C8^2  + Regression!$CA$8*2*'In Process Calc.'!$C8 + Regression!$BZ$8)/$A8</f>
        <v>-2.3522753717361469E-2</v>
      </c>
      <c r="G8" s="115">
        <f xml:space="preserve"> (Regression!$CE$9*6*'In Process Calc.'!$C8^6+Regression!$CD$9*5*'In Process Calc.'!$C8^5+Regression!$CC$9*4*'In Process Calc.'!$C8^3+Regression!$CB$9*3*'In Process Calc.'!$C8^2  + Regression!$CA$9*2*'In Process Calc.'!$C8 + Regression!$BZ$9)/$B8</f>
        <v>-1.4906083022295689E-3</v>
      </c>
      <c r="H8" s="115">
        <f xml:space="preserve"> (Regression!$CE$10*6*'In Process Calc.'!$C8^6+Regression!$CD$10*5*'In Process Calc.'!$C8^5+Regression!$CC$10*4*'In Process Calc.'!$C8^3+Regression!$CB$10*3*'In Process Calc.'!$C8^2  + Regression!$CA$10*2*'In Process Calc.'!$C8 + Regression!$BZ$10)/$B8</f>
        <v>4.0145403770987173E-3</v>
      </c>
      <c r="I8" s="115">
        <f xml:space="preserve"> (Regression!$CE$11*6*'In Process Calc.'!$C8^6+Regression!$CD$11*5*'In Process Calc.'!$C8^5+Regression!$CC$11*4*'In Process Calc.'!$C8^3+Regression!$CB$11*3*'In Process Calc.'!$C8^2  + Regression!$CA$11*2*'In Process Calc.'!$C8 + Regression!$BZ$11)/$A8</f>
        <v>-9.1139346601547874E-3</v>
      </c>
      <c r="J8" s="115">
        <f>(Regression!$CE$12*6*'In Process Calc.'!$C8^6+Regression!$CD$12*5*'In Process Calc.'!$C8^5+Regression!$CC$12*4*'In Process Calc.'!$C8^3+Regression!$CB$12*3*'In Process Calc.'!$C8^2  + Regression!$CA$12*2*'In Process Calc.'!$C8 + Regression!$BZ$12)/$A8</f>
        <v>2.5485637189177858E-3</v>
      </c>
      <c r="K8" s="115">
        <f xml:space="preserve"> (Regression!$CE$13*6*'In Process Calc.'!$C8^5+Regression!$CD$13*5*'In Process Calc.'!$C8^4+Regression!$CC$13*4*'In Process Calc.'!$C8^3+Regression!$CB$13*3*'In Process Calc.'!$C8^2  + Regression!$CA$13*2*'In Process Calc.'!$C8 + Regression!$BZ$13)/$A8</f>
        <v>7.1817658299274681E-2</v>
      </c>
      <c r="L8" s="115">
        <f xml:space="preserve"> (Regression!$CE$14*6*'In Process Calc.'!$C8^5+Regression!$CD$14*5*'In Process Calc.'!$C8^4+Regression!$CC$14*4*'In Process Calc.'!$C8^3+Regression!$CB$14*3*'In Process Calc.'!$C8^2  + Regression!$CA$14*2*'In Process Calc.'!$C8 + Regression!$BZ$14)/$B8</f>
        <v>-7.3736015101016055E-3</v>
      </c>
      <c r="M8" s="115">
        <f xml:space="preserve"> (Regression!$CE$15*6*'In Process Calc.'!$C8^6+Regression!$CD$15*5*'In Process Calc.'!$C8^5+Regression!$CC$15*4*'In Process Calc.'!$C8^3+Regression!$CB$15*3*'In Process Calc.'!$C8^2  + Regression!$CA$15*2*'In Process Calc.'!$C8 + Regression!$BZ$15)/$A8</f>
        <v>-2.8652684533508384E-2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2.9857828146996605E-2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-5.2666870494398797E-2</v>
      </c>
      <c r="AE8" s="115">
        <f xml:space="preserve"> (Regression!$CE$33*6*'In Process Calc.'!$C8^5+Regression!$CD$33*5*'In Process Calc.'!$C8^4+Regression!$CC$33*4*'In Process Calc.'!$C8^3 +Regression!$CB$33*3*'In Process Calc.'!$C8^2 + Regression!$CA$33*2*'In Process Calc.'!$C8 + Regression!$BZ$33)/$A8</f>
        <v>-7.6189624211760273E-2</v>
      </c>
      <c r="AF8" s="115">
        <f xml:space="preserve"> (Regression!$CE$34*6*'In Process Calc.'!$C8^5+Regression!$CD$34*5*'In Process Calc.'!$C8^4+Regression!$CC$34*4*'In Process Calc.'!$C8^3 +Regression!$CB$34*3*'In Process Calc.'!$C8^2 + Regression!$CA$34*2*'In Process Calc.'!$C8 + Regression!$BZ$34)/$A8</f>
        <v>-8.1427652828326161E-2</v>
      </c>
      <c r="AG8" s="116">
        <f t="shared" si="0"/>
        <v>0.41574494148186608</v>
      </c>
      <c r="AH8" s="116">
        <f t="shared" si="3"/>
        <v>0</v>
      </c>
      <c r="AI8" s="116">
        <f t="shared" si="1"/>
        <v>-0.10267114919529581</v>
      </c>
      <c r="AJ8" s="116">
        <f t="shared" si="2"/>
        <v>0</v>
      </c>
      <c r="AK8" s="76">
        <f>'In Process Calc.'!C8</f>
        <v>115.8833333333605</v>
      </c>
      <c r="AL8" s="122">
        <f>((Regression!CL41-Regression!CL42)*1000+'Post Process Calc.'!AL7*'In Process Calc.'!$E8+'In Process Calc.'!$G7*'Measured Data'!AS11+'In Process Calc.'!$F7*'Measured Data'!AS11)/'In Process Calc.'!$J7</f>
        <v>0.71031911286096894</v>
      </c>
      <c r="AM8" s="122">
        <f>((Regression!CM41-Regression!CM42)*1000+'Post Process Calc.'!AM7*'In Process Calc.'!$E8+'In Process Calc.'!$G7*'Measured Data'!AT11+'In Process Calc.'!$F7*'Measured Data'!AT11)/'In Process Calc.'!$J7</f>
        <v>2.6382828344631579</v>
      </c>
      <c r="AN8" s="122">
        <f>((Regression!CN41-Regression!CN42)*1000+'Post Process Calc.'!AN7*'In Process Calc.'!$E8+'In Process Calc.'!$G7*'Measured Data'!AU11+'In Process Calc.'!$F7*'Measured Data'!AU11)/'In Process Calc.'!$J7</f>
        <v>5.4324091981344083</v>
      </c>
      <c r="AO8" s="122">
        <f>((Regression!CO41-Regression!CO42)*1000+'Post Process Calc.'!AO7*'In Process Calc.'!$E8+'In Process Calc.'!$G7*'Measured Data'!AV11+'In Process Calc.'!$F7*'Measured Data'!AV11)/'In Process Calc.'!$J7</f>
        <v>1.8676379583899723</v>
      </c>
      <c r="AP8" s="122">
        <f>((Regression!CP41-Regression!CP42)*1000+'Post Process Calc.'!AP7*'In Process Calc.'!$E8+'In Process Calc.'!$G7*'Measured Data'!AW11+'In Process Calc.'!$F7*'Measured Data'!AW11)/'In Process Calc.'!$J7</f>
        <v>0.75553038645359627</v>
      </c>
      <c r="AQ8" s="122">
        <f>((Regression!CQ41-Regression!CQ42)*1000+'Post Process Calc.'!AQ7*'In Process Calc.'!$E8+'In Process Calc.'!$G7*'Measured Data'!AX11+'In Process Calc.'!$F7*'Measured Data'!AX11)/'In Process Calc.'!$J7</f>
        <v>25.300301216292095</v>
      </c>
      <c r="AR8" s="122">
        <f>((Regression!CR41-Regression!CR42)*1000+'Post Process Calc.'!AR7*'In Process Calc.'!$E8+'In Process Calc.'!$G7*'Measured Data'!AY11+'In Process Calc.'!$F7*'Measured Data'!AY11)/'In Process Calc.'!$J7</f>
        <v>1.1553777155512948</v>
      </c>
      <c r="AS8" s="122">
        <f>((Regression!CS41-Regression!CS42)*1000+'Post Process Calc.'!AS7*'In Process Calc.'!$E8+'In Process Calc.'!$G7*'Measured Data'!AZ11+'In Process Calc.'!$F7*'Measured Data'!AZ11)/'In Process Calc.'!$J7</f>
        <v>11.672028639190666</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-6.5732234599561883</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6.4754999710083014</v>
      </c>
      <c r="B9" s="115">
        <f>'Measured Data'!H13*'In Process Calc.'!E9/1000</f>
        <v>12.198402945386082</v>
      </c>
      <c r="C9" s="295">
        <f>'Growth Regression'!$P8</f>
        <v>1.6817943095409092E-2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2.8218765987348244</v>
      </c>
      <c r="F9" s="115">
        <f xml:space="preserve"> (Regression!$CE$8*6*'In Process Calc.'!$C9^6+Regression!$CD$8*5*'In Process Calc.'!$C9^5+Regression!$CC$8*4*'In Process Calc.'!$C9^3+Regression!$CB$8*3*'In Process Calc.'!$C9^2  + Regression!$CA$8*2*'In Process Calc.'!$C9 + Regression!$BZ$8)/$A9</f>
        <v>-1.5759403765422782E-2</v>
      </c>
      <c r="G9" s="115">
        <f xml:space="preserve"> (Regression!$CE$9*6*'In Process Calc.'!$C9^6+Regression!$CD$9*5*'In Process Calc.'!$C9^5+Regression!$CC$9*4*'In Process Calc.'!$C9^3+Regression!$CB$9*3*'In Process Calc.'!$C9^2  + Regression!$CA$9*2*'In Process Calc.'!$C9 + Regression!$BZ$9)/$B9</f>
        <v>-6.4830052867142303E-4</v>
      </c>
      <c r="H9" s="115">
        <f xml:space="preserve"> (Regression!$CE$10*6*'In Process Calc.'!$C9^6+Regression!$CD$10*5*'In Process Calc.'!$C9^5+Regression!$CC$10*4*'In Process Calc.'!$C9^3+Regression!$CB$10*3*'In Process Calc.'!$C9^2  + Regression!$CA$10*2*'In Process Calc.'!$C9 + Regression!$BZ$10)/$B9</f>
        <v>4.4586084135094647E-3</v>
      </c>
      <c r="I9" s="115">
        <f xml:space="preserve"> (Regression!$CE$11*6*'In Process Calc.'!$C9^6+Regression!$CD$11*5*'In Process Calc.'!$C9^5+Regression!$CC$11*4*'In Process Calc.'!$C9^3+Regression!$CB$11*3*'In Process Calc.'!$C9^2  + Regression!$CA$11*2*'In Process Calc.'!$C9 + Regression!$BZ$11)/$A9</f>
        <v>-4.1603717861920268E-3</v>
      </c>
      <c r="J9" s="115">
        <f>(Regression!$CE$12*6*'In Process Calc.'!$C9^6+Regression!$CD$12*5*'In Process Calc.'!$C9^5+Regression!$CC$12*4*'In Process Calc.'!$C9^3+Regression!$CB$12*3*'In Process Calc.'!$C9^2  + Regression!$CA$12*2*'In Process Calc.'!$C9 + Regression!$BZ$12)/$A9</f>
        <v>1.6850196524592525E-3</v>
      </c>
      <c r="K9" s="115">
        <f xml:space="preserve"> (Regression!$CE$13*6*'In Process Calc.'!$C9^5+Regression!$CD$13*5*'In Process Calc.'!$C9^4+Regression!$CC$13*4*'In Process Calc.'!$C9^3+Regression!$CB$13*3*'In Process Calc.'!$C9^2  + Regression!$CA$13*2*'In Process Calc.'!$C9 + Regression!$BZ$13)/$A9</f>
        <v>5.7484212717558075E-2</v>
      </c>
      <c r="L9" s="115">
        <f xml:space="preserve"> (Regression!$CE$14*6*'In Process Calc.'!$C9^5+Regression!$CD$14*5*'In Process Calc.'!$C9^4+Regression!$CC$14*4*'In Process Calc.'!$C9^3+Regression!$CB$14*3*'In Process Calc.'!$C9^2  + Regression!$CA$14*2*'In Process Calc.'!$C9 + Regression!$BZ$14)/$B9</f>
        <v>-4.8906321548188641E-3</v>
      </c>
      <c r="M9" s="115">
        <f xml:space="preserve"> (Regression!$CE$15*6*'In Process Calc.'!$C9^6+Regression!$CD$15*5*'In Process Calc.'!$C9^5+Regression!$CC$15*4*'In Process Calc.'!$C9^3+Regression!$CB$15*3*'In Process Calc.'!$C9^2  + Regression!$CA$15*2*'In Process Calc.'!$C9 + Regression!$BZ$15)/$A9</f>
        <v>-1.2342718576888869E-2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1.4707185509965399E-2</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-2.2163011463928156E-2</v>
      </c>
      <c r="AE9" s="115">
        <f xml:space="preserve"> (Regression!$CE$33*6*'In Process Calc.'!$C9^5+Regression!$CD$33*5*'In Process Calc.'!$C9^4+Regression!$CC$33*4*'In Process Calc.'!$C9^3 +Regression!$CB$33*3*'In Process Calc.'!$C9^2 + Regression!$CA$33*2*'In Process Calc.'!$C9 + Regression!$BZ$33)/$A9</f>
        <v>-3.7922415229350935E-2</v>
      </c>
      <c r="AF9" s="115">
        <f xml:space="preserve"> (Regression!$CE$34*6*'In Process Calc.'!$C9^5+Regression!$CD$34*5*'In Process Calc.'!$C9^4+Regression!$CC$34*4*'In Process Calc.'!$C9^3 +Regression!$CB$34*3*'In Process Calc.'!$C9^2 + Regression!$CA$34*2*'In Process Calc.'!$C9 + Regression!$BZ$34)/$A9</f>
        <v>-7.6676616593805494E-3</v>
      </c>
      <c r="AG9" s="116">
        <f t="shared" si="0"/>
        <v>0.25584738512863398</v>
      </c>
      <c r="AH9" s="116">
        <f t="shared" si="3"/>
        <v>0</v>
      </c>
      <c r="AI9" s="116">
        <f t="shared" si="1"/>
        <v>-8.5077831349076843E-2</v>
      </c>
      <c r="AJ9" s="116">
        <f t="shared" si="2"/>
        <v>0</v>
      </c>
      <c r="AK9" s="76">
        <f>'In Process Calc.'!C9</f>
        <v>141.08333333325572</v>
      </c>
      <c r="AL9" s="122">
        <f>((Regression!CL42-Regression!CL43)*1000+'Post Process Calc.'!AL8*'In Process Calc.'!$E9+'In Process Calc.'!$G8*'Measured Data'!AS12+'In Process Calc.'!$F8*'Measured Data'!AS12)/'In Process Calc.'!$J8</f>
        <v>2.0379380464521595</v>
      </c>
      <c r="AM9" s="122">
        <f>((Regression!CM42-Regression!CM43)*1000+'Post Process Calc.'!AM8*'In Process Calc.'!$E9+'In Process Calc.'!$G8*'Measured Data'!AT12+'In Process Calc.'!$F8*'Measured Data'!AT12)/'In Process Calc.'!$J8</f>
        <v>2.7826409813698452</v>
      </c>
      <c r="AN9" s="122">
        <f>((Regression!CN42-Regression!CN43)*1000+'Post Process Calc.'!AN8*'In Process Calc.'!$E9+'In Process Calc.'!$G8*'Measured Data'!AU12+'In Process Calc.'!$F8*'Measured Data'!AU12)/'In Process Calc.'!$J8</f>
        <v>4.901656572270749</v>
      </c>
      <c r="AO9" s="122">
        <f>((Regression!CO42-Regression!CO43)*1000+'Post Process Calc.'!AO8*'In Process Calc.'!$E9+'In Process Calc.'!$G8*'Measured Data'!AV12+'In Process Calc.'!$F8*'Measured Data'!AV12)/'In Process Calc.'!$J8</f>
        <v>2.309140619758673</v>
      </c>
      <c r="AP9" s="122">
        <f>((Regression!CP42-Regression!CP43)*1000+'Post Process Calc.'!AP8*'In Process Calc.'!$E9+'In Process Calc.'!$G8*'Measured Data'!AW12+'In Process Calc.'!$F8*'Measured Data'!AW12)/'In Process Calc.'!$J8</f>
        <v>0.61824133155252714</v>
      </c>
      <c r="AQ9" s="122">
        <f>((Regression!CQ42-Regression!CQ43)*1000+'Post Process Calc.'!AQ8*'In Process Calc.'!$E9+'In Process Calc.'!$G8*'Measured Data'!AX12+'In Process Calc.'!$F8*'Measured Data'!AX12)/'In Process Calc.'!$J8</f>
        <v>21.049719988119346</v>
      </c>
      <c r="AR9" s="122">
        <f>((Regression!CR42-Regression!CR43)*1000+'Post Process Calc.'!AR8*'In Process Calc.'!$E9+'In Process Calc.'!$G8*'Measured Data'!AY12+'In Process Calc.'!$F8*'Measured Data'!AY12)/'In Process Calc.'!$J8</f>
        <v>1.9468987984987862</v>
      </c>
      <c r="AS9" s="122">
        <f>((Regression!CS42-Regression!CS43)*1000+'Post Process Calc.'!AS8*'In Process Calc.'!$E9+'In Process Calc.'!$G8*'Measured Data'!AZ12+'In Process Calc.'!$F8*'Measured Data'!AZ12)/'In Process Calc.'!$J8</f>
        <v>13.044905015951098</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-9.3578351139139535</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9.8106001449584959</v>
      </c>
      <c r="B10" s="115">
        <f>'Measured Data'!H14*'In Process Calc.'!E10/1000</f>
        <v>18.599081097036688</v>
      </c>
      <c r="C10" s="295">
        <f>'Growth Regression'!$P9</f>
        <v>1.2648729841143288E-2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2.2424963528156172</v>
      </c>
      <c r="F10" s="115">
        <f xml:space="preserve"> (Regression!$CE$8*6*'In Process Calc.'!$C10^6+Regression!$CD$8*5*'In Process Calc.'!$C10^5+Regression!$CC$8*4*'In Process Calc.'!$C10^3+Regression!$CB$8*3*'In Process Calc.'!$C10^2  + Regression!$CA$8*2*'In Process Calc.'!$C10 + Regression!$BZ$8)/$A10</f>
        <v>-1.0104163443930858E-2</v>
      </c>
      <c r="G10" s="115">
        <f xml:space="preserve"> (Regression!$CE$9*6*'In Process Calc.'!$C10^6+Regression!$CD$9*5*'In Process Calc.'!$C10^5+Regression!$CC$9*4*'In Process Calc.'!$C10^3+Regression!$CB$9*3*'In Process Calc.'!$C10^2  + Regression!$CA$9*2*'In Process Calc.'!$C10 + Regression!$BZ$9)/$B10</f>
        <v>-2.0828231290731349E-4</v>
      </c>
      <c r="H10" s="115">
        <f xml:space="preserve"> (Regression!$CE$10*6*'In Process Calc.'!$C10^6+Regression!$CD$10*5*'In Process Calc.'!$C10^5+Regression!$CC$10*4*'In Process Calc.'!$C10^3+Regression!$CB$10*3*'In Process Calc.'!$C10^2  + Regression!$CA$10*2*'In Process Calc.'!$C10 + Regression!$BZ$10)/$B10</f>
        <v>4.1098342225424885E-3</v>
      </c>
      <c r="I10" s="115">
        <f xml:space="preserve"> (Regression!$CE$11*6*'In Process Calc.'!$C10^6+Regression!$CD$11*5*'In Process Calc.'!$C10^5+Regression!$CC$11*4*'In Process Calc.'!$C10^3+Regression!$CB$11*3*'In Process Calc.'!$C10^2  + Regression!$CA$11*2*'In Process Calc.'!$C10 + Regression!$BZ$11)/$A10</f>
        <v>-1.3879212715268701E-3</v>
      </c>
      <c r="J10" s="115">
        <f>(Regression!$CE$12*6*'In Process Calc.'!$C10^6+Regression!$CD$12*5*'In Process Calc.'!$C10^5+Regression!$CC$12*4*'In Process Calc.'!$C10^3+Regression!$CB$12*3*'In Process Calc.'!$C10^2  + Regression!$CA$12*2*'In Process Calc.'!$C10 + Regression!$BZ$12)/$A10</f>
        <v>1.1116592498701741E-3</v>
      </c>
      <c r="K10" s="115">
        <f xml:space="preserve"> (Regression!$CE$13*6*'In Process Calc.'!$C10^5+Regression!$CD$13*5*'In Process Calc.'!$C10^4+Regression!$CC$13*4*'In Process Calc.'!$C10^3+Regression!$CB$13*3*'In Process Calc.'!$C10^2  + Regression!$CA$13*2*'In Process Calc.'!$C10 + Regression!$BZ$13)/$A10</f>
        <v>4.6315429675966649E-2</v>
      </c>
      <c r="L10" s="115">
        <f xml:space="preserve"> (Regression!$CE$14*6*'In Process Calc.'!$C10^5+Regression!$CD$14*5*'In Process Calc.'!$C10^4+Regression!$CC$14*4*'In Process Calc.'!$C10^3+Regression!$CB$14*3*'In Process Calc.'!$C10^2  + Regression!$CA$14*2*'In Process Calc.'!$C10 + Regression!$BZ$14)/$B10</f>
        <v>-2.7210955859687963E-3</v>
      </c>
      <c r="M10" s="115">
        <f xml:space="preserve"> (Regression!$CE$15*6*'In Process Calc.'!$C10^6+Regression!$CD$15*5*'In Process Calc.'!$C10^5+Regression!$CC$15*4*'In Process Calc.'!$C10^3+Regression!$CB$15*3*'In Process Calc.'!$C10^2  + Regression!$CA$15*2*'In Process Calc.'!$C10 + Regression!$BZ$15)/$A10</f>
        <v>-4.4342379307815557E-3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5.1732638699410888E-3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-6.7830379681919446E-3</v>
      </c>
      <c r="AE10" s="115">
        <f xml:space="preserve"> (Regression!$CE$33*6*'In Process Calc.'!$C10^5+Regression!$CD$33*5*'In Process Calc.'!$C10^4+Regression!$CC$33*4*'In Process Calc.'!$C10^3 +Regression!$CB$33*3*'In Process Calc.'!$C10^2 + Regression!$CA$33*2*'In Process Calc.'!$C10 + Regression!$BZ$33)/$A10</f>
        <v>-1.6887201412122799E-2</v>
      </c>
      <c r="AF10" s="115">
        <f xml:space="preserve"> (Regression!$CE$34*6*'In Process Calc.'!$C10^5+Regression!$CD$34*5*'In Process Calc.'!$C10^4+Regression!$CC$34*4*'In Process Calc.'!$C10^3 +Regression!$CB$34*3*'In Process Calc.'!$C10^2 + Regression!$CA$34*2*'In Process Calc.'!$C10 + Regression!$BZ$34)/$A10</f>
        <v>2.0346810075951273E-2</v>
      </c>
      <c r="AG10" s="116">
        <f t="shared" si="0"/>
        <v>0.11169633761652277</v>
      </c>
      <c r="AH10" s="116">
        <f t="shared" si="3"/>
        <v>0</v>
      </c>
      <c r="AI10" s="116">
        <f t="shared" si="1"/>
        <v>-5.8751383826215239E-2</v>
      </c>
      <c r="AJ10" s="116">
        <f t="shared" si="2"/>
        <v>0</v>
      </c>
      <c r="AK10" s="76">
        <f>'In Process Calc.'!C10</f>
        <v>164.73333333333721</v>
      </c>
      <c r="AL10" s="122">
        <f>((Regression!CL43-Regression!CL44)*1000+'Post Process Calc.'!AL9*'In Process Calc.'!$E10+'In Process Calc.'!$G9*'Measured Data'!AS13+'In Process Calc.'!$F9*'Measured Data'!AS13)/'In Process Calc.'!$J9</f>
        <v>3.3259271222123137</v>
      </c>
      <c r="AM10" s="122">
        <f>((Regression!CM43-Regression!CM44)*1000+'Post Process Calc.'!AM9*'In Process Calc.'!$E10+'In Process Calc.'!$G9*'Measured Data'!AT13+'In Process Calc.'!$F9*'Measured Data'!AT13)/'In Process Calc.'!$J9</f>
        <v>2.8755608374006152</v>
      </c>
      <c r="AN10" s="122">
        <f>((Regression!CN43-Regression!CN44)*1000+'Post Process Calc.'!AN9*'In Process Calc.'!$E10+'In Process Calc.'!$G9*'Measured Data'!AU13+'In Process Calc.'!$F9*'Measured Data'!AU13)/'In Process Calc.'!$J9</f>
        <v>4.1081328761107851</v>
      </c>
      <c r="AO10" s="122">
        <f>((Regression!CO43-Regression!CO44)*1000+'Post Process Calc.'!AO9*'In Process Calc.'!$E10+'In Process Calc.'!$G9*'Measured Data'!AV13+'In Process Calc.'!$F9*'Measured Data'!AV13)/'In Process Calc.'!$J9</f>
        <v>2.5820114659911648</v>
      </c>
      <c r="AP10" s="122">
        <f>((Regression!CP43-Regression!CP44)*1000+'Post Process Calc.'!AP9*'In Process Calc.'!$E10+'In Process Calc.'!$G9*'Measured Data'!AW13+'In Process Calc.'!$F9*'Measured Data'!AW13)/'In Process Calc.'!$J9</f>
        <v>0.48437855688642906</v>
      </c>
      <c r="AQ10" s="122">
        <f>((Regression!CQ43-Regression!CQ44)*1000+'Post Process Calc.'!AQ9*'In Process Calc.'!$E10+'In Process Calc.'!$G9*'Measured Data'!AX13+'In Process Calc.'!$F9*'Measured Data'!AX13)/'In Process Calc.'!$J9</f>
        <v>15.990149640912744</v>
      </c>
      <c r="AR10" s="122">
        <f>((Regression!CR43-Regression!CR44)*1000+'Post Process Calc.'!AR9*'In Process Calc.'!$E10+'In Process Calc.'!$G9*'Measured Data'!AY13+'In Process Calc.'!$F9*'Measured Data'!AY13)/'In Process Calc.'!$J9</f>
        <v>2.6646800126048769</v>
      </c>
      <c r="AS10" s="122">
        <f>((Regression!CS43-Regression!CS44)*1000+'Post Process Calc.'!AS9*'In Process Calc.'!$E10+'In Process Calc.'!$G9*'Measured Data'!AZ13+'In Process Calc.'!$F9*'Measured Data'!AZ13)/'In Process Calc.'!$J9</f>
        <v>13.908908618360909</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-11.189317998833358</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12.582400186157226</v>
      </c>
      <c r="B11" s="115">
        <f>'Measured Data'!H15*'In Process Calc.'!E11/1000</f>
        <v>24.170324742786324</v>
      </c>
      <c r="C11" s="295">
        <f>'Growth Regression'!$P10</f>
        <v>8.5060930826518655E-3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1.9970014317936808</v>
      </c>
      <c r="F11" s="115">
        <f xml:space="preserve"> (Regression!$CE$8*6*'In Process Calc.'!$C11^6+Regression!$CD$8*5*'In Process Calc.'!$C11^5+Regression!$CC$8*4*'In Process Calc.'!$C11^3+Regression!$CB$8*3*'In Process Calc.'!$C11^2  + Regression!$CA$8*2*'In Process Calc.'!$C11 + Regression!$BZ$8)/$A11</f>
        <v>-6.675141041872305E-3</v>
      </c>
      <c r="G11" s="115">
        <f xml:space="preserve"> (Regression!$CE$9*6*'In Process Calc.'!$C11^6+Regression!$CD$9*5*'In Process Calc.'!$C11^5+Regression!$CC$9*4*'In Process Calc.'!$C11^3+Regression!$CB$9*3*'In Process Calc.'!$C11^2  + Regression!$CA$9*2*'In Process Calc.'!$C11 + Regression!$BZ$9)/$B11</f>
        <v>6.066265299499687E-5</v>
      </c>
      <c r="H11" s="115">
        <f xml:space="preserve"> (Regression!$CE$10*6*'In Process Calc.'!$C11^6+Regression!$CD$10*5*'In Process Calc.'!$C11^5+Regression!$CC$10*4*'In Process Calc.'!$C11^3+Regression!$CB$10*3*'In Process Calc.'!$C11^2  + Regression!$CA$10*2*'In Process Calc.'!$C11 + Regression!$BZ$10)/$B11</f>
        <v>3.860028245921565E-3</v>
      </c>
      <c r="I11" s="115">
        <f xml:space="preserve"> (Regression!$CE$11*6*'In Process Calc.'!$C11^6+Regression!$CD$11*5*'In Process Calc.'!$C11^5+Regression!$CC$11*4*'In Process Calc.'!$C11^3+Regression!$CB$11*3*'In Process Calc.'!$C11^2  + Regression!$CA$11*2*'In Process Calc.'!$C11 + Regression!$BZ$11)/$A11</f>
        <v>1.7067395332874847E-4</v>
      </c>
      <c r="J11" s="115">
        <f>(Regression!$CE$12*6*'In Process Calc.'!$C11^6+Regression!$CD$12*5*'In Process Calc.'!$C11^5+Regression!$CC$12*4*'In Process Calc.'!$C11^3+Regression!$CB$12*3*'In Process Calc.'!$C11^2  + Regression!$CA$12*2*'In Process Calc.'!$C11 + Regression!$BZ$12)/$A11</f>
        <v>7.9798416819841143E-4</v>
      </c>
      <c r="K11" s="115">
        <f xml:space="preserve"> (Regression!$CE$13*6*'In Process Calc.'!$C11^5+Regression!$CD$13*5*'In Process Calc.'!$C11^4+Regression!$CC$13*4*'In Process Calc.'!$C11^3+Regression!$CB$13*3*'In Process Calc.'!$C11^2  + Regression!$CA$13*2*'In Process Calc.'!$C11 + Regression!$BZ$13)/$A11</f>
        <v>4.222280263055788E-2</v>
      </c>
      <c r="L11" s="115">
        <f xml:space="preserve"> (Regression!$CE$14*6*'In Process Calc.'!$C11^5+Regression!$CD$14*5*'In Process Calc.'!$C11^4+Regression!$CC$14*4*'In Process Calc.'!$C11^3+Regression!$CB$14*3*'In Process Calc.'!$C11^2  + Regression!$CA$14*2*'In Process Calc.'!$C11 + Regression!$BZ$14)/$B11</f>
        <v>-1.261838209222753E-3</v>
      </c>
      <c r="M11" s="115">
        <f xml:space="preserve"> (Regression!$CE$15*6*'In Process Calc.'!$C11^6+Regression!$CD$15*5*'In Process Calc.'!$C11^5+Regression!$CC$15*4*'In Process Calc.'!$C11^3+Regression!$CB$15*3*'In Process Calc.'!$C11^2  + Regression!$CA$15*2*'In Process Calc.'!$C11 + Regression!$BZ$15)/$A11</f>
        <v>-7.0074137988797702E-6</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-9.5114007830296833E-4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2.4253756197627502E-3</v>
      </c>
      <c r="AE11" s="115">
        <f xml:space="preserve"> (Regression!$CE$33*6*'In Process Calc.'!$C11^5+Regression!$CD$33*5*'In Process Calc.'!$C11^4+Regression!$CC$33*4*'In Process Calc.'!$C11^3 +Regression!$CB$33*3*'In Process Calc.'!$C11^2 + Regression!$CA$33*2*'In Process Calc.'!$C11 + Regression!$BZ$33)/$A11</f>
        <v>-4.2497654221095443E-3</v>
      </c>
      <c r="AF11" s="115">
        <f xml:space="preserve"> (Regression!$CE$34*6*'In Process Calc.'!$C11^5+Regression!$CD$34*5*'In Process Calc.'!$C11^4+Regression!$CC$34*4*'In Process Calc.'!$C11^3 +Regression!$CB$34*3*'In Process Calc.'!$C11^2 + Regression!$CA$34*2*'In Process Calc.'!$C11 + Regression!$BZ$34)/$A11</f>
        <v>3.5936748404197208E-2</v>
      </c>
      <c r="AG11" s="116">
        <f t="shared" si="0"/>
        <v>-2.2526692191072138E-2</v>
      </c>
      <c r="AH11" s="116">
        <f t="shared" si="3"/>
        <v>0</v>
      </c>
      <c r="AI11" s="116">
        <f t="shared" si="1"/>
        <v>-2.9885230979658457E-2</v>
      </c>
      <c r="AJ11" s="116">
        <f t="shared" si="2"/>
        <v>0</v>
      </c>
      <c r="AK11" s="76">
        <f>'In Process Calc.'!C11</f>
        <v>189.11666666652309</v>
      </c>
      <c r="AL11" s="122">
        <f>((Regression!CL44-Regression!CL45)*1000+'Post Process Calc.'!AL10*'In Process Calc.'!$E11+'In Process Calc.'!$G10*'Measured Data'!AS14+'In Process Calc.'!$F10*'Measured Data'!AS14)/'In Process Calc.'!$J10</f>
        <v>4.5608368304699365</v>
      </c>
      <c r="AM11" s="122">
        <f>((Regression!CM44-Regression!CM45)*1000+'Post Process Calc.'!AM10*'In Process Calc.'!$E11+'In Process Calc.'!$G10*'Measured Data'!AT14+'In Process Calc.'!$F10*'Measured Data'!AT14)/'In Process Calc.'!$J10</f>
        <v>2.9304731465554053</v>
      </c>
      <c r="AN11" s="122">
        <f>((Regression!CN44-Regression!CN45)*1000+'Post Process Calc.'!AN10*'In Process Calc.'!$E11+'In Process Calc.'!$G10*'Measured Data'!AU14+'In Process Calc.'!$F10*'Measured Data'!AU14)/'In Process Calc.'!$J10</f>
        <v>3.0622399833910237</v>
      </c>
      <c r="AO11" s="122">
        <f>((Regression!CO44-Regression!CO45)*1000+'Post Process Calc.'!AO10*'In Process Calc.'!$E11+'In Process Calc.'!$G10*'Measured Data'!AV14+'In Process Calc.'!$F10*'Measured Data'!AV14)/'In Process Calc.'!$J10</f>
        <v>2.6906000529654523</v>
      </c>
      <c r="AP11" s="122">
        <f>((Regression!CP44-Regression!CP45)*1000+'Post Process Calc.'!AP10*'In Process Calc.'!$E11+'In Process Calc.'!$G10*'Measured Data'!AW14+'In Process Calc.'!$F10*'Measured Data'!AW14)/'In Process Calc.'!$J10</f>
        <v>0.3551639596264044</v>
      </c>
      <c r="AQ11" s="122">
        <f>((Regression!CQ44-Regression!CQ45)*1000+'Post Process Calc.'!AQ10*'In Process Calc.'!$E11+'In Process Calc.'!$G10*'Measured Data'!AX14+'In Process Calc.'!$F10*'Measured Data'!AX14)/'In Process Calc.'!$J10</f>
        <v>9.8523701495223737</v>
      </c>
      <c r="AR11" s="122">
        <f>((Regression!CR44-Regression!CR45)*1000+'Post Process Calc.'!AR10*'In Process Calc.'!$E11+'In Process Calc.'!$G10*'Measured Data'!AY14+'In Process Calc.'!$F10*'Measured Data'!AY14)/'In Process Calc.'!$J10</f>
        <v>3.2304299679619057</v>
      </c>
      <c r="AS11" s="122">
        <f>((Regression!CS44-Regression!CS45)*1000+'Post Process Calc.'!AS10*'In Process Calc.'!$E11+'In Process Calc.'!$G10*'Measured Data'!AZ14+'In Process Calc.'!$F10*'Measured Data'!AZ14)/'In Process Calc.'!$J10</f>
        <v>14.380115110042819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-11.834868215305676</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15.968199594116211</v>
      </c>
      <c r="B12" s="115">
        <f>'Measured Data'!H16*'In Process Calc.'!E12/1000</f>
        <v>30.639870093410153</v>
      </c>
      <c r="C12" s="295">
        <f>'Growth Regression'!$P11</f>
        <v>5.2688161294544029E-3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1.7215942654564096</v>
      </c>
      <c r="F12" s="115">
        <f xml:space="preserve"> (Regression!$CE$8*6*'In Process Calc.'!$C12^6+Regression!$CD$8*5*'In Process Calc.'!$C12^5+Regression!$CC$8*4*'In Process Calc.'!$C12^3+Regression!$CB$8*3*'In Process Calc.'!$C12^2  + Regression!$CA$8*2*'In Process Calc.'!$C12 + Regression!$BZ$8)/$A12</f>
        <v>-3.5780452477968136E-3</v>
      </c>
      <c r="G12" s="115">
        <f xml:space="preserve"> (Regression!$CE$9*6*'In Process Calc.'!$C12^6+Regression!$CD$9*5*'In Process Calc.'!$C12^5+Regression!$CC$9*4*'In Process Calc.'!$C12^3+Regression!$CB$9*3*'In Process Calc.'!$C12^2  + Regression!$CA$9*2*'In Process Calc.'!$C12 + Regression!$BZ$9)/$B12</f>
        <v>2.5712633479172737E-4</v>
      </c>
      <c r="H12" s="115">
        <f xml:space="preserve"> (Regression!$CE$10*6*'In Process Calc.'!$C12^6+Regression!$CD$10*5*'In Process Calc.'!$C12^5+Regression!$CC$10*4*'In Process Calc.'!$C12^3+Regression!$CB$10*3*'In Process Calc.'!$C12^2  + Regression!$CA$10*2*'In Process Calc.'!$C12 + Regression!$BZ$10)/$B12</f>
        <v>3.2505344397707292E-3</v>
      </c>
      <c r="I12" s="115">
        <f xml:space="preserve"> (Regression!$CE$11*6*'In Process Calc.'!$C12^6+Regression!$CD$11*5*'In Process Calc.'!$C12^5+Regression!$CC$11*4*'In Process Calc.'!$C12^3+Regression!$CB$11*3*'In Process Calc.'!$C12^2  + Regression!$CA$11*2*'In Process Calc.'!$C12 + Regression!$BZ$11)/$A12</f>
        <v>1.0443411158599983E-3</v>
      </c>
      <c r="J12" s="115">
        <f>(Regression!$CE$12*6*'In Process Calc.'!$C12^6+Regression!$CD$12*5*'In Process Calc.'!$C12^5+Regression!$CC$12*4*'In Process Calc.'!$C12^3+Regression!$CB$12*3*'In Process Calc.'!$C12^2  + Regression!$CA$12*2*'In Process Calc.'!$C12 + Regression!$BZ$12)/$A12</f>
        <v>5.2231521669676858E-4</v>
      </c>
      <c r="K12" s="115">
        <f xml:space="preserve"> (Regression!$CE$13*6*'In Process Calc.'!$C12^5+Regression!$CD$13*5*'In Process Calc.'!$C12^4+Regression!$CC$13*4*'In Process Calc.'!$C12^3+Regression!$CB$13*3*'In Process Calc.'!$C12^2  + Regression!$CA$13*2*'In Process Calc.'!$C12 + Regression!$BZ$13)/$A12</f>
        <v>3.7188412926494746E-2</v>
      </c>
      <c r="L12" s="115">
        <f xml:space="preserve"> (Regression!$CE$14*6*'In Process Calc.'!$C12^5+Regression!$CD$14*5*'In Process Calc.'!$C12^4+Regression!$CC$14*4*'In Process Calc.'!$C12^3+Regression!$CB$14*3*'In Process Calc.'!$C12^2  + Regression!$CA$14*2*'In Process Calc.'!$C12 + Regression!$BZ$14)/$B12</f>
        <v>-1.9625647499637043E-4</v>
      </c>
      <c r="M12" s="115">
        <f xml:space="preserve"> (Regression!$CE$15*6*'In Process Calc.'!$C12^6+Regression!$CD$15*5*'In Process Calc.'!$C12^5+Regression!$CC$15*4*'In Process Calc.'!$C12^3+Regression!$CB$15*3*'In Process Calc.'!$C12^2  + Regression!$CA$15*2*'In Process Calc.'!$C12 + Regression!$BZ$15)/$A12</f>
        <v>3.0278096191329231E-3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-4.9256428064741418E-3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8.9774604351062996E-3</v>
      </c>
      <c r="AE12" s="115">
        <f xml:space="preserve"> (Regression!$CE$33*6*'In Process Calc.'!$C12^5+Regression!$CD$33*5*'In Process Calc.'!$C12^4+Regression!$CC$33*4*'In Process Calc.'!$C12^3 +Regression!$CB$33*3*'In Process Calc.'!$C12^2 + Regression!$CA$33*2*'In Process Calc.'!$C12 + Regression!$BZ$33)/$A12</f>
        <v>5.3994151873094937E-3</v>
      </c>
      <c r="AF12" s="115">
        <f xml:space="preserve"> (Regression!$CE$34*6*'In Process Calc.'!$C12^5+Regression!$CD$34*5*'In Process Calc.'!$C12^4+Regression!$CC$34*4*'In Process Calc.'!$C12^3 +Regression!$CB$34*3*'In Process Calc.'!$C12^2 + Regression!$CA$34*2*'In Process Calc.'!$C12 + Regression!$BZ$34)/$A12</f>
        <v>4.3577271734189904E-2</v>
      </c>
      <c r="AG12" s="116">
        <f t="shared" si="0"/>
        <v>-0.1324510087647458</v>
      </c>
      <c r="AH12" s="116">
        <f t="shared" si="3"/>
        <v>0</v>
      </c>
      <c r="AI12" s="116">
        <f t="shared" si="1"/>
        <v>-5.2773554866211627E-3</v>
      </c>
      <c r="AJ12" s="116">
        <f t="shared" si="2"/>
        <v>0</v>
      </c>
      <c r="AK12" s="76">
        <f>'In Process Calc.'!C12</f>
        <v>213.06666666653473</v>
      </c>
      <c r="AL12" s="122">
        <f>((Regression!CL45-Regression!CL46)*1000+'Post Process Calc.'!AL11*'In Process Calc.'!$E12+'In Process Calc.'!$G11*'Measured Data'!AS15+'In Process Calc.'!$F11*'Measured Data'!AS15)/'In Process Calc.'!$J11</f>
        <v>5.4478025655552047</v>
      </c>
      <c r="AM12" s="122">
        <f>((Regression!CM45-Regression!CM46)*1000+'Post Process Calc.'!AM11*'In Process Calc.'!$E12+'In Process Calc.'!$G11*'Measured Data'!AT15+'In Process Calc.'!$F11*'Measured Data'!AT15)/'In Process Calc.'!$J11</f>
        <v>2.8701309014259699</v>
      </c>
      <c r="AN12" s="122">
        <f>((Regression!CN45-Regression!CN46)*1000+'Post Process Calc.'!AN11*'In Process Calc.'!$E12+'In Process Calc.'!$G11*'Measured Data'!AU15+'In Process Calc.'!$F11*'Measured Data'!AU15)/'In Process Calc.'!$J11</f>
        <v>1.8434451848562037</v>
      </c>
      <c r="AO12" s="122">
        <f>((Regression!CO45-Regression!CO46)*1000+'Post Process Calc.'!AO11*'In Process Calc.'!$E12+'In Process Calc.'!$G11*'Measured Data'!AV15+'In Process Calc.'!$F11*'Measured Data'!AV15)/'In Process Calc.'!$J11</f>
        <v>2.5677123294254112</v>
      </c>
      <c r="AP12" s="122">
        <f>((Regression!CP45-Regression!CP46)*1000+'Post Process Calc.'!AP11*'In Process Calc.'!$E12+'In Process Calc.'!$G11*'Measured Data'!AW15+'In Process Calc.'!$F11*'Measured Data'!AW15)/'In Process Calc.'!$J11</f>
        <v>0.23930547118651174</v>
      </c>
      <c r="AQ12" s="122">
        <f>((Regression!CQ45-Regression!CQ46)*1000+'Post Process Calc.'!AQ11*'In Process Calc.'!$E12+'In Process Calc.'!$G11*'Measured Data'!AX15+'In Process Calc.'!$F11*'Measured Data'!AX15)/'In Process Calc.'!$J11</f>
        <v>2.811568934044232</v>
      </c>
      <c r="AR12" s="122">
        <f>((Regression!CR45-Regression!CR46)*1000+'Post Process Calc.'!AR11*'In Process Calc.'!$E12+'In Process Calc.'!$G11*'Measured Data'!AY15+'In Process Calc.'!$F11*'Measured Data'!AY15)/'In Process Calc.'!$J11</f>
        <v>3.4558027854538791</v>
      </c>
      <c r="AS12" s="122">
        <f>((Regression!CS45-Regression!CS46)*1000+'Post Process Calc.'!AS11*'In Process Calc.'!$E12+'In Process Calc.'!$G11*'Measured Data'!AZ15+'In Process Calc.'!$F11*'Measured Data'!AZ15)/'In Process Calc.'!$J11</f>
        <v>14.069082038494683</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-10.733812632639857</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16.753300531005859</v>
      </c>
      <c r="B13" s="115">
        <f>'Measured Data'!H17*'In Process Calc.'!E13/1000</f>
        <v>31.208141303049555</v>
      </c>
      <c r="C13" s="295">
        <f>'Growth Regression'!$P12</f>
        <v>2.9739976768820516E-3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1.7439123769845268</v>
      </c>
      <c r="F13" s="115">
        <f xml:space="preserve"> (Regression!$CE$8*6*'In Process Calc.'!$C13^6+Regression!$CD$8*5*'In Process Calc.'!$C13^5+Regression!$CC$8*4*'In Process Calc.'!$C13^3+Regression!$CB$8*3*'In Process Calc.'!$C13^2  + Regression!$CA$8*2*'In Process Calc.'!$C13 + Regression!$BZ$8)/$A13</f>
        <v>-9.6775866209559069E-4</v>
      </c>
      <c r="G13" s="115">
        <f xml:space="preserve"> (Regression!$CE$9*6*'In Process Calc.'!$C13^6+Regression!$CD$9*5*'In Process Calc.'!$C13^5+Regression!$CC$9*4*'In Process Calc.'!$C13^3+Regression!$CB$9*3*'In Process Calc.'!$C13^2  + Regression!$CA$9*2*'In Process Calc.'!$C13 + Regression!$BZ$9)/$B13</f>
        <v>5.0772154185427937E-4</v>
      </c>
      <c r="H13" s="115">
        <f xml:space="preserve"> (Regression!$CE$10*6*'In Process Calc.'!$C13^6+Regression!$CD$10*5*'In Process Calc.'!$C13^5+Regression!$CC$10*4*'In Process Calc.'!$C13^3+Regression!$CB$10*3*'In Process Calc.'!$C13^2  + Regression!$CA$10*2*'In Process Calc.'!$C13 + Regression!$BZ$10)/$B13</f>
        <v>2.8978800804004908E-3</v>
      </c>
      <c r="I13" s="115">
        <f xml:space="preserve"> (Regression!$CE$11*6*'In Process Calc.'!$C13^6+Regression!$CD$11*5*'In Process Calc.'!$C13^5+Regression!$CC$11*4*'In Process Calc.'!$C13^3+Regression!$CB$11*3*'In Process Calc.'!$C13^2  + Regression!$CA$11*2*'In Process Calc.'!$C13 + Regression!$BZ$11)/$A13</f>
        <v>1.6523868299114322E-3</v>
      </c>
      <c r="J13" s="115">
        <f>(Regression!$CE$12*6*'In Process Calc.'!$C13^6+Regression!$CD$12*5*'In Process Calc.'!$C13^5+Regression!$CC$12*4*'In Process Calc.'!$C13^3+Regression!$CB$12*3*'In Process Calc.'!$C13^2  + Regression!$CA$12*2*'In Process Calc.'!$C13 + Regression!$BZ$12)/$A13</f>
        <v>3.3739899668851811E-4</v>
      </c>
      <c r="K13" s="115">
        <f xml:space="preserve"> (Regression!$CE$13*6*'In Process Calc.'!$C13^5+Regression!$CD$13*5*'In Process Calc.'!$C13^4+Regression!$CC$13*4*'In Process Calc.'!$C13^3+Regression!$CB$13*3*'In Process Calc.'!$C13^2  + Regression!$CA$13*2*'In Process Calc.'!$C13 + Regression!$BZ$13)/$A13</f>
        <v>3.8200287551901899E-2</v>
      </c>
      <c r="L13" s="115">
        <f xml:space="preserve"> (Regression!$CE$14*6*'In Process Calc.'!$C13^5+Regression!$CD$14*5*'In Process Calc.'!$C13^4+Regression!$CC$14*4*'In Process Calc.'!$C13^3+Regression!$CB$14*3*'In Process Calc.'!$C13^2  + Regression!$CA$14*2*'In Process Calc.'!$C13 + Regression!$BZ$14)/$B13</f>
        <v>5.6024663916141469E-4</v>
      </c>
      <c r="M13" s="115">
        <f xml:space="preserve"> (Regression!$CE$15*6*'In Process Calc.'!$C13^6+Regression!$CD$15*5*'In Process Calc.'!$C13^5+Regression!$CC$15*4*'In Process Calc.'!$C13^3+Regression!$CB$15*3*'In Process Calc.'!$C13^2  + Regression!$CA$15*2*'In Process Calc.'!$C13 + Regression!$BZ$15)/$A13</f>
        <v>6.2861311649147801E-3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-8.3847754917642913E-3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1.673206027186934E-2</v>
      </c>
      <c r="AE13" s="115">
        <f xml:space="preserve"> (Regression!$CE$33*6*'In Process Calc.'!$C13^5+Regression!$CD$33*5*'In Process Calc.'!$C13^4+Regression!$CC$33*4*'In Process Calc.'!$C13^3 +Regression!$CB$33*3*'In Process Calc.'!$C13^2 + Regression!$CA$33*2*'In Process Calc.'!$C13 + Regression!$BZ$33)/$A13</f>
        <v>1.5764301609773764E-2</v>
      </c>
      <c r="AF13" s="115">
        <f xml:space="preserve"> (Regression!$CE$34*6*'In Process Calc.'!$C13^5+Regression!$CD$34*5*'In Process Calc.'!$C13^4+Regression!$CC$34*4*'In Process Calc.'!$C13^3 +Regression!$CB$34*3*'In Process Calc.'!$C13^2 + Regression!$CA$34*2*'In Process Calc.'!$C13 + Regression!$BZ$34)/$A13</f>
        <v>5.6510033296993521E-2</v>
      </c>
      <c r="AG13" s="116">
        <f t="shared" si="0"/>
        <v>-0.21949508836476897</v>
      </c>
      <c r="AH13" s="116">
        <f t="shared" si="3"/>
        <v>0</v>
      </c>
      <c r="AI13" s="116">
        <f t="shared" si="1"/>
        <v>1.4666031987330456E-2</v>
      </c>
      <c r="AJ13" s="116">
        <f t="shared" si="2"/>
        <v>0</v>
      </c>
      <c r="AK13" s="76">
        <f>'In Process Calc.'!C13</f>
        <v>238.18333333334886</v>
      </c>
      <c r="AL13" s="122">
        <f>((Regression!CL46-Regression!CL47)*1000+'Post Process Calc.'!AL12*'In Process Calc.'!$E13+'In Process Calc.'!$G12*'Measured Data'!AS16+'In Process Calc.'!$F12*'Measured Data'!AS16)/'In Process Calc.'!$J12</f>
        <v>5.7831120700816898</v>
      </c>
      <c r="AM13" s="122">
        <f>((Regression!CM46-Regression!CM47)*1000+'Post Process Calc.'!AM12*'In Process Calc.'!$E13+'In Process Calc.'!$G12*'Measured Data'!AT16+'In Process Calc.'!$F12*'Measured Data'!AT16)/'In Process Calc.'!$J12</f>
        <v>2.632487640551687</v>
      </c>
      <c r="AN13" s="122">
        <f>((Regression!CN46-Regression!CN47)*1000+'Post Process Calc.'!AN12*'In Process Calc.'!$E13+'In Process Calc.'!$G12*'Measured Data'!AU16+'In Process Calc.'!$F12*'Measured Data'!AU16)/'In Process Calc.'!$J12</f>
        <v>0.52561149048582634</v>
      </c>
      <c r="AO13" s="122">
        <f>((Regression!CO46-Regression!CO47)*1000+'Post Process Calc.'!AO12*'In Process Calc.'!$E13+'In Process Calc.'!$G12*'Measured Data'!AV16+'In Process Calc.'!$F12*'Measured Data'!AV16)/'In Process Calc.'!$J12</f>
        <v>2.19594182157303</v>
      </c>
      <c r="AP13" s="122">
        <f>((Regression!CP46-Regression!CP47)*1000+'Post Process Calc.'!AP12*'In Process Calc.'!$E13+'In Process Calc.'!$G12*'Measured Data'!AW16+'In Process Calc.'!$F12*'Measured Data'!AW16)/'In Process Calc.'!$J12</f>
        <v>0.13972854481565838</v>
      </c>
      <c r="AQ13" s="122">
        <f>((Regression!CQ46-Regression!CQ47)*1000+'Post Process Calc.'!AQ12*'In Process Calc.'!$E13+'In Process Calc.'!$G12*'Measured Data'!AX16+'In Process Calc.'!$F12*'Measured Data'!AX16)/'In Process Calc.'!$J12</f>
        <v>-5.3705249541990145</v>
      </c>
      <c r="AR13" s="122">
        <f>((Regression!CR46-Regression!CR47)*1000+'Post Process Calc.'!AR12*'In Process Calc.'!$E13+'In Process Calc.'!$G12*'Measured Data'!AY16+'In Process Calc.'!$F12*'Measured Data'!AY16)/'In Process Calc.'!$J12</f>
        <v>3.2736251788312867</v>
      </c>
      <c r="AS13" s="122">
        <f>((Regression!CS46-Regression!CS47)*1000+'Post Process Calc.'!AS12*'In Process Calc.'!$E13+'In Process Calc.'!$G12*'Measured Data'!AZ16+'In Process Calc.'!$F12*'Measured Data'!AZ16)/'In Process Calc.'!$J12</f>
        <v>12.659668395922958</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-7.6708018416014934</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16.191300256347656</v>
      </c>
      <c r="B14" s="115">
        <f>'Measured Data'!H18*'In Process Calc.'!E14/1000</f>
        <v>30.003378891693114</v>
      </c>
      <c r="C14" s="295">
        <f>'Growth Regression'!$P13</f>
        <v>1.6645386568215918E-3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1.8612511549235631</v>
      </c>
      <c r="F14" s="115">
        <f xml:space="preserve"> (Regression!$CE$8*6*'In Process Calc.'!$C14^6+Regression!$CD$8*5*'In Process Calc.'!$C14^5+Regression!$CC$8*4*'In Process Calc.'!$C14^3+Regression!$CB$8*3*'In Process Calc.'!$C14^2  + Regression!$CA$8*2*'In Process Calc.'!$C14 + Regression!$BZ$8)/$A14</f>
        <v>2.1159392486033062E-3</v>
      </c>
      <c r="G14" s="115">
        <f xml:space="preserve"> (Regression!$CE$9*6*'In Process Calc.'!$C14^6+Regression!$CD$9*5*'In Process Calc.'!$C14^5+Regression!$CC$9*4*'In Process Calc.'!$C14^3+Regression!$CB$9*3*'In Process Calc.'!$C14^2  + Regression!$CA$9*2*'In Process Calc.'!$C14 + Regression!$BZ$9)/$B14</f>
        <v>8.1688019205107217E-4</v>
      </c>
      <c r="H14" s="115">
        <f xml:space="preserve"> (Regression!$CE$10*6*'In Process Calc.'!$C14^6+Regression!$CD$10*5*'In Process Calc.'!$C14^5+Regression!$CC$10*4*'In Process Calc.'!$C14^3+Regression!$CB$10*3*'In Process Calc.'!$C14^2  + Regression!$CA$10*2*'In Process Calc.'!$C14 + Regression!$BZ$10)/$B14</f>
        <v>2.0857343993721917E-3</v>
      </c>
      <c r="I14" s="115">
        <f xml:space="preserve"> (Regression!$CE$11*6*'In Process Calc.'!$C14^6+Regression!$CD$11*5*'In Process Calc.'!$C14^5+Regression!$CC$11*4*'In Process Calc.'!$C14^3+Regression!$CB$11*3*'In Process Calc.'!$C14^2  + Regression!$CA$11*2*'In Process Calc.'!$C14 + Regression!$BZ$11)/$A14</f>
        <v>1.9214891534916879E-3</v>
      </c>
      <c r="J14" s="115">
        <f>(Regression!$CE$12*6*'In Process Calc.'!$C14^6+Regression!$CD$12*5*'In Process Calc.'!$C14^5+Regression!$CC$12*4*'In Process Calc.'!$C14^3+Regression!$CB$12*3*'In Process Calc.'!$C14^2  + Regression!$CA$12*2*'In Process Calc.'!$C14 + Regression!$BZ$12)/$A14</f>
        <v>1.404904703466454E-4</v>
      </c>
      <c r="K14" s="115">
        <f xml:space="preserve"> (Regression!$CE$13*6*'In Process Calc.'!$C14^5+Regression!$CD$13*5*'In Process Calc.'!$C14^4+Regression!$CC$13*4*'In Process Calc.'!$C14^3+Regression!$CB$13*3*'In Process Calc.'!$C14^2  + Regression!$CA$13*2*'In Process Calc.'!$C14 + Regression!$BZ$13)/$A14</f>
        <v>4.075970141112055E-2</v>
      </c>
      <c r="L14" s="115">
        <f xml:space="preserve"> (Regression!$CE$14*6*'In Process Calc.'!$C14^5+Regression!$CD$14*5*'In Process Calc.'!$C14^4+Regression!$CC$14*4*'In Process Calc.'!$C14^3+Regression!$CB$14*3*'In Process Calc.'!$C14^2  + Regression!$CA$14*2*'In Process Calc.'!$C14 + Regression!$BZ$14)/$B14</f>
        <v>1.0634132702051465E-3</v>
      </c>
      <c r="M14" s="115">
        <f xml:space="preserve"> (Regression!$CE$15*6*'In Process Calc.'!$C14^6+Regression!$CD$15*5*'In Process Calc.'!$C14^5+Regression!$CC$15*4*'In Process Calc.'!$C14^3+Regression!$CB$15*3*'In Process Calc.'!$C14^2  + Regression!$CA$15*2*'In Process Calc.'!$C14 + Regression!$BZ$15)/$A14</f>
        <v>1.0173645572428247E-2</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-1.0053208903358403E-2</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2.6354741911771215E-2</v>
      </c>
      <c r="AE14" s="115">
        <f xml:space="preserve"> (Regression!$CE$33*6*'In Process Calc.'!$C14^5+Regression!$CD$33*5*'In Process Calc.'!$C14^4+Regression!$CC$33*4*'In Process Calc.'!$C14^3 +Regression!$CB$33*3*'In Process Calc.'!$C14^2 + Regression!$CA$33*2*'In Process Calc.'!$C14 + Regression!$BZ$33)/$A14</f>
        <v>2.8470681160374545E-2</v>
      </c>
      <c r="AF14" s="115">
        <f xml:space="preserve"> (Regression!$CE$34*6*'In Process Calc.'!$C14^5+Regression!$CD$34*5*'In Process Calc.'!$C14^4+Regression!$CC$34*4*'In Process Calc.'!$C14^3 +Regression!$CB$34*3*'In Process Calc.'!$C14^2 + Regression!$CA$34*2*'In Process Calc.'!$C14 + Regression!$BZ$34)/$A14</f>
        <v>7.2791378135307269E-2</v>
      </c>
      <c r="AG14" s="116">
        <f t="shared" si="0"/>
        <v>-0.24664579364694675</v>
      </c>
      <c r="AH14" s="116">
        <f t="shared" si="3"/>
        <v>0</v>
      </c>
      <c r="AI14" s="116">
        <f t="shared" si="1"/>
        <v>2.6089819929716495E-2</v>
      </c>
      <c r="AJ14" s="116">
        <f t="shared" si="2"/>
        <v>0</v>
      </c>
      <c r="AK14" s="76">
        <f>'In Process Calc.'!C14</f>
        <v>261.83333333325572</v>
      </c>
      <c r="AL14" s="122">
        <f>((Regression!CL47-Regression!CL48)*1000+'Post Process Calc.'!AL13*'In Process Calc.'!$E14+'In Process Calc.'!$G13*'Measured Data'!AS17+'In Process Calc.'!$F13*'Measured Data'!AS17)/'In Process Calc.'!$J13</f>
        <v>5.6505370085072242</v>
      </c>
      <c r="AM14" s="122">
        <f>((Regression!CM47-Regression!CM48)*1000+'Post Process Calc.'!AM13*'In Process Calc.'!$E14+'In Process Calc.'!$G13*'Measured Data'!AT17+'In Process Calc.'!$F13*'Measured Data'!AT17)/'In Process Calc.'!$J13</f>
        <v>2.3637355318685564</v>
      </c>
      <c r="AN14" s="122">
        <f>((Regression!CN47-Regression!CN48)*1000+'Post Process Calc.'!AN13*'In Process Calc.'!$E14+'In Process Calc.'!$G13*'Measured Data'!AU17+'In Process Calc.'!$F13*'Measured Data'!AU17)/'In Process Calc.'!$J13</f>
        <v>-0.47055620926171482</v>
      </c>
      <c r="AO14" s="122">
        <f>((Regression!CO47-Regression!CO48)*1000+'Post Process Calc.'!AO13*'In Process Calc.'!$E14+'In Process Calc.'!$G13*'Measured Data'!AV17+'In Process Calc.'!$F13*'Measured Data'!AV17)/'In Process Calc.'!$J13</f>
        <v>1.8025555435871188</v>
      </c>
      <c r="AP14" s="122">
        <f>((Regression!CP47-Regression!CP48)*1000+'Post Process Calc.'!AP13*'In Process Calc.'!$E14+'In Process Calc.'!$G13*'Measured Data'!AW17+'In Process Calc.'!$F13*'Measured Data'!AW17)/'In Process Calc.'!$J13</f>
        <v>8.7806211498311568E-2</v>
      </c>
      <c r="AQ14" s="122">
        <f>((Regression!CQ47-Regression!CQ48)*1000+'Post Process Calc.'!AQ13*'In Process Calc.'!$E14+'In Process Calc.'!$G13*'Measured Data'!AX17+'In Process Calc.'!$F13*'Measured Data'!AX17)/'In Process Calc.'!$J13</f>
        <v>-13.621171921389388</v>
      </c>
      <c r="AR14" s="122">
        <f>((Regression!CR47-Regression!CR48)*1000+'Post Process Calc.'!AR13*'In Process Calc.'!$E14+'In Process Calc.'!$G13*'Measured Data'!AY17+'In Process Calc.'!$F13*'Measured Data'!AY17)/'In Process Calc.'!$J13</f>
        <v>2.9328614894218119</v>
      </c>
      <c r="AS14" s="122">
        <f>((Regression!CS47-Regression!CS48)*1000+'Post Process Calc.'!AS13*'In Process Calc.'!$E14+'In Process Calc.'!$G13*'Measured Data'!AZ17+'In Process Calc.'!$F13*'Measured Data'!AZ17)/'In Process Calc.'!$J13</f>
        <v>10.885142812260492</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-3.96338340694804</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16.129900796508789</v>
      </c>
      <c r="B15" s="115">
        <f>'Measured Data'!H19*'In Process Calc.'!E15/1000</f>
        <v>29.166445062487117</v>
      </c>
      <c r="C15" s="295">
        <f>'Growth Regression'!$P14</f>
        <v>9.2506131667759368E-4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1.8831324766339526</v>
      </c>
      <c r="F15" s="115">
        <f xml:space="preserve"> (Regression!$CE$8*6*'In Process Calc.'!$C15^6+Regression!$CD$8*5*'In Process Calc.'!$C15^5+Regression!$CC$8*4*'In Process Calc.'!$C15^3+Regression!$CB$8*3*'In Process Calc.'!$C15^2  + Regression!$CA$8*2*'In Process Calc.'!$C15 + Regression!$BZ$8)/$A15</f>
        <v>5.8558395614676005E-3</v>
      </c>
      <c r="G15" s="115">
        <f xml:space="preserve"> (Regression!$CE$9*6*'In Process Calc.'!$C15^6+Regression!$CD$9*5*'In Process Calc.'!$C15^5+Regression!$CC$9*4*'In Process Calc.'!$C15^3+Regression!$CB$9*3*'In Process Calc.'!$C15^2  + Regression!$CA$9*2*'In Process Calc.'!$C15 + Regression!$BZ$9)/$B15</f>
        <v>1.1662969197725342E-3</v>
      </c>
      <c r="H15" s="115">
        <f xml:space="preserve"> (Regression!$CE$10*6*'In Process Calc.'!$C15^6+Regression!$CD$10*5*'In Process Calc.'!$C15^5+Regression!$CC$10*4*'In Process Calc.'!$C15^3+Regression!$CB$10*3*'In Process Calc.'!$C15^2  + Regression!$CA$10*2*'In Process Calc.'!$C15 + Regression!$BZ$10)/$B15</f>
        <v>4.6205087507694622E-4</v>
      </c>
      <c r="I15" s="115">
        <f xml:space="preserve"> (Regression!$CE$11*6*'In Process Calc.'!$C15^6+Regression!$CD$11*5*'In Process Calc.'!$C15^5+Regression!$CC$11*4*'In Process Calc.'!$C15^3+Regression!$CB$11*3*'In Process Calc.'!$C15^2  + Regression!$CA$11*2*'In Process Calc.'!$C15 + Regression!$BZ$11)/$A15</f>
        <v>1.5660468505655179E-3</v>
      </c>
      <c r="J15" s="115">
        <f>(Regression!$CE$12*6*'In Process Calc.'!$C15^6+Regression!$CD$12*5*'In Process Calc.'!$C15^5+Regression!$CC$12*4*'In Process Calc.'!$C15^3+Regression!$CB$12*3*'In Process Calc.'!$C15^2  + Regression!$CA$12*2*'In Process Calc.'!$C15 + Regression!$BZ$12)/$A15</f>
        <v>-1.1147821122068187E-4</v>
      </c>
      <c r="K15" s="115">
        <f xml:space="preserve"> (Regression!$CE$13*6*'In Process Calc.'!$C15^5+Regression!$CD$13*5*'In Process Calc.'!$C15^4+Regression!$CC$13*4*'In Process Calc.'!$C15^3+Regression!$CB$13*3*'In Process Calc.'!$C15^2  + Regression!$CA$13*2*'In Process Calc.'!$C15 + Regression!$BZ$13)/$A15</f>
        <v>4.0464969614902244E-2</v>
      </c>
      <c r="L15" s="115">
        <f xml:space="preserve"> (Regression!$CE$14*6*'In Process Calc.'!$C15^5+Regression!$CD$14*5*'In Process Calc.'!$C15^4+Regression!$CC$14*4*'In Process Calc.'!$C15^3+Regression!$CB$14*3*'In Process Calc.'!$C15^2  + Regression!$CA$14*2*'In Process Calc.'!$C15 + Regression!$BZ$14)/$B15</f>
        <v>1.2367299010639639E-3</v>
      </c>
      <c r="M15" s="115">
        <f xml:space="preserve"> (Regression!$CE$15*6*'In Process Calc.'!$C15^6+Regression!$CD$15*5*'In Process Calc.'!$C15^5+Regression!$CC$15*4*'In Process Calc.'!$C15^3+Regression!$CB$15*3*'In Process Calc.'!$C15^2  + Regression!$CA$15*2*'In Process Calc.'!$C15 + Regression!$BZ$15)/$A15</f>
        <v>1.4127377639042283E-2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-7.9755282549017568E-3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3.6287504417713022E-2</v>
      </c>
      <c r="AE15" s="115">
        <f xml:space="preserve"> (Regression!$CE$33*6*'In Process Calc.'!$C15^5+Regression!$CD$33*5*'In Process Calc.'!$C15^4+Regression!$CC$33*4*'In Process Calc.'!$C15^3 +Regression!$CB$33*3*'In Process Calc.'!$C15^2 + Regression!$CA$33*2*'In Process Calc.'!$C15 + Regression!$BZ$33)/$A15</f>
        <v>4.214334397918066E-2</v>
      </c>
      <c r="AF15" s="115">
        <f xml:space="preserve"> (Regression!$CE$34*6*'In Process Calc.'!$C15^5+Regression!$CD$34*5*'In Process Calc.'!$C15^4+Regression!$CC$34*4*'In Process Calc.'!$C15^3 +Regression!$CB$34*3*'In Process Calc.'!$C15^2 + Regression!$CA$34*2*'In Process Calc.'!$C15 + Regression!$BZ$34)/$A15</f>
        <v>8.6795647575622165E-2</v>
      </c>
      <c r="AG15" s="116">
        <f t="shared" si="0"/>
        <v>-0.19709710227891949</v>
      </c>
      <c r="AH15" s="116">
        <f t="shared" si="3"/>
        <v>0</v>
      </c>
      <c r="AI15" s="116">
        <f t="shared" si="1"/>
        <v>3.056297614538445E-2</v>
      </c>
      <c r="AJ15" s="116">
        <f t="shared" si="2"/>
        <v>0</v>
      </c>
      <c r="AK15" s="76">
        <f>'In Process Calc.'!C15</f>
        <v>284.83333333331393</v>
      </c>
      <c r="AL15" s="122">
        <f>((Regression!CL48-Regression!CL49)*1000+'Post Process Calc.'!AL14*'In Process Calc.'!$E15+'In Process Calc.'!$G14*'Measured Data'!AS18+'In Process Calc.'!$F14*'Measured Data'!AS18)/'In Process Calc.'!$J14</f>
        <v>4.7263619354903952</v>
      </c>
      <c r="AM15" s="122">
        <f>((Regression!CM48-Regression!CM49)*1000+'Post Process Calc.'!AM14*'In Process Calc.'!$E15+'In Process Calc.'!$G14*'Measured Data'!AT18+'In Process Calc.'!$F14*'Measured Data'!AT18)/'In Process Calc.'!$J14</f>
        <v>1.944440024082198</v>
      </c>
      <c r="AN15" s="122">
        <f>((Regression!CN48-Regression!CN49)*1000+'Post Process Calc.'!AN14*'In Process Calc.'!$E15+'In Process Calc.'!$G14*'Measured Data'!AU18+'In Process Calc.'!$F14*'Measured Data'!AU18)/'In Process Calc.'!$J14</f>
        <v>-0.9556734259121884</v>
      </c>
      <c r="AO15" s="122">
        <f>((Regression!CO48-Regression!CO49)*1000+'Post Process Calc.'!AO14*'In Process Calc.'!$E15+'In Process Calc.'!$G14*'Measured Data'!AV18+'In Process Calc.'!$F14*'Measured Data'!AV18)/'In Process Calc.'!$J14</f>
        <v>1.3983700339006135</v>
      </c>
      <c r="AP15" s="122">
        <f>((Regression!CP48-Regression!CP49)*1000+'Post Process Calc.'!AP14*'In Process Calc.'!$E15+'In Process Calc.'!$G14*'Measured Data'!AW18+'In Process Calc.'!$F14*'Measured Data'!AW18)/'In Process Calc.'!$J14</f>
        <v>8.1920536872680694E-2</v>
      </c>
      <c r="AQ15" s="122">
        <f>((Regression!CQ48-Regression!CQ49)*1000+'Post Process Calc.'!AQ14*'In Process Calc.'!$E15+'In Process Calc.'!$G14*'Measured Data'!AX18+'In Process Calc.'!$F14*'Measured Data'!AX18)/'In Process Calc.'!$J14</f>
        <v>-21.467495012798974</v>
      </c>
      <c r="AR15" s="122">
        <f>((Regression!CR48-Regression!CR49)*1000+'Post Process Calc.'!AR14*'In Process Calc.'!$E15+'In Process Calc.'!$G14*'Measured Data'!AY18+'In Process Calc.'!$F14*'Measured Data'!AY18)/'In Process Calc.'!$J14</f>
        <v>2.4297927355784261</v>
      </c>
      <c r="AS15" s="122">
        <f>((Regression!CS48-Regression!CS49)*1000+'Post Process Calc.'!AS14*'In Process Calc.'!$E15+'In Process Calc.'!$G14*'Measured Data'!AZ18+'In Process Calc.'!$F14*'Measured Data'!AZ18)/'In Process Calc.'!$J14</f>
        <v>8.1908137150747837</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-0.41506478214546272</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c r="B16" s="115"/>
      <c r="C16" s="29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6"/>
      <c r="AH16" s="116"/>
      <c r="AI16" s="116"/>
      <c r="AJ16" s="116"/>
      <c r="AK16" s="76"/>
    </row>
    <row r="17" spans="1:61">
      <c r="A17" s="115"/>
      <c r="B17" s="115"/>
      <c r="C17" s="29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6"/>
      <c r="AH17" s="116"/>
      <c r="AI17" s="116"/>
      <c r="AJ17" s="116"/>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0.32924999957084655</v>
      </c>
      <c r="B20" s="119">
        <f>('Measured Data'!H7*'In Process Calc.'!J3+'In Process Calc.'!E4*'Measured Data'!H8)/2/1000</f>
        <v>0.63403499917602535</v>
      </c>
      <c r="C20" s="118">
        <f xml:space="preserve"> (Regression!$CE$13*6*'Growth Regression'!S2^5+Regression!$CD$13*5*'Growth Regression'!S2^4+Regression!$CC$13*4*'Growth Regression'!S2^3+Regression!$CB$13*3*'Growth Regression'!S2^2  + Regression!$CA$13*2*'Growth Regression'!S2 + Regression!$BZ$13)/$A20</f>
        <v>3.2104395037506034E-2</v>
      </c>
      <c r="D20" s="117">
        <f xml:space="preserve"> (Regression!$CE$19*6*'Growth Regression'!S2^5+Regression!$CD$19*5*'Growth Regression'!S2^4+Regression!$CC$19*4*'Growth Regression'!S2^3 +Regression!$CB$19*3*'Growth Regression'!S2^2 + Regression!$CA$19*2*'Growth Regression'!S2 + Regression!$BZ$19)/$B20</f>
        <v>4.8589801521378671E-3</v>
      </c>
      <c r="E20" s="117">
        <f xml:space="preserve"> (Regression!$CE$14*6*'Growth Regression'!S2^5+Regression!$CD$14*5*'Growth Regression'!S2^4+Regression!$CC$14*4*'Growth Regression'!S2^3+Regression!$CB$14*3*'Growth Regression'!S2^2  + Regression!$CA$14*2*'Growth Regression'!S2 + Regression!$BZ$14)/$B20</f>
        <v>-4.3997318398012915E-2</v>
      </c>
      <c r="F20" s="117">
        <f xml:space="preserve"> (Regression!$CE$10*6*'Growth Regression'!S2^6+Regression!$CD$10*5*'Growth Regression'!S2^5+Regression!$CC$10*4*'Growth Regression'!S2^3+Regression!$CB$10*3*'Growth Regression'!S2^2  + Regression!$CA$10*2*'Growth Regression'!S2 + Regression!$BZ$10)/$B20</f>
        <v>3.6828969147388785E-2</v>
      </c>
      <c r="G20" s="117">
        <f xml:space="preserve"> (Regression!$CE$11*6*'Growth Regression'!S2^6+Regression!$CD$11*5*'Growth Regression'!S2^5+Regression!$CC$11*4*'Growth Regression'!S2^3+Regression!$CB$11*3*'Growth Regression'!S2^2  + Regression!$CA$11*2*'Growth Regression'!S2 + Regression!$BZ$11)/$B20</f>
        <v>9.6430413678712981E-2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0.59924999957084657</v>
      </c>
      <c r="B21" s="119">
        <f>('Measured Data'!H8*'In Process Calc.'!J4+'In Process Calc.'!E5*'Measured Data'!H9)/2/1000</f>
        <v>1.1446349991760254</v>
      </c>
      <c r="C21" s="118">
        <f xml:space="preserve"> (Regression!$CE$13*6*'Growth Regression'!S3^5+Regression!$CD$13*5*'Growth Regression'!S3^4+Regression!$CC$13*4*'Growth Regression'!S3^3+Regression!$CB$13*3*'Growth Regression'!S3^2  + Regression!$CA$13*2*'Growth Regression'!S3 + Regression!$BZ$13)/$A21</f>
        <v>7.4853757248542888E-2</v>
      </c>
      <c r="D21" s="117">
        <f xml:space="preserve"> (Regression!$CE$19*6*'Growth Regression'!S3^5+Regression!$CD$19*5*'Growth Regression'!S3^4+Regression!$CC$19*4*'Growth Regression'!S3^3 +Regression!$CB$19*3*'Growth Regression'!S3^2 + Regression!$CA$19*2*'Growth Regression'!S3 + Regression!$BZ$19)/$B21</f>
        <v>5.1586916974178672E-2</v>
      </c>
      <c r="E21" s="117">
        <f xml:space="preserve"> (Regression!$CE$14*6*'Growth Regression'!S3^5+Regression!$CD$14*5*'Growth Regression'!S3^4+Regression!$CC$14*4*'Growth Regression'!S3^3+Regression!$CB$14*3*'Growth Regression'!S3^2  + Regression!$CA$14*2*'Growth Regression'!S3 + Regression!$BZ$14)/$B21</f>
        <v>5.9736459475640503E-3</v>
      </c>
      <c r="F21" s="117">
        <f xml:space="preserve"> (Regression!$CE$10*6*'Growth Regression'!S3^6+Regression!$CD$10*5*'Growth Regression'!S3^5+Regression!$CC$10*4*'Growth Regression'!S3^3+Regression!$CB$10*3*'Growth Regression'!S3^2  + Regression!$CA$10*2*'Growth Regression'!S3 + Regression!$BZ$10)/$B21</f>
        <v>-9.0904810043970942E-5</v>
      </c>
      <c r="G21" s="117">
        <f xml:space="preserve"> (Regression!$CE$11*6*'Growth Regression'!S3^6+Regression!$CD$11*5*'Growth Regression'!S3^5+Regression!$CC$11*4*'Growth Regression'!S3^3+Regression!$CB$11*3*'Growth Regression'!S3^2  + Regression!$CA$11*2*'Growth Regression'!S3 + Regression!$BZ$11)/$B21</f>
        <v>1.1067591840009371E-2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1.0665000188827514</v>
      </c>
      <c r="B22" s="119">
        <f>('Measured Data'!H9*'In Process Calc.'!J5+'In Process Calc.'!E6*'Measured Data'!H10)/2/1000</f>
        <v>2.0122090354240418</v>
      </c>
      <c r="C22" s="118">
        <f xml:space="preserve"> (Regression!$CE$13*6*'Growth Regression'!S4^5+Regression!$CD$13*5*'Growth Regression'!S4^4+Regression!$CC$13*4*'Growth Regression'!S4^3+Regression!$CB$13*3*'Growth Regression'!S4^2  + Regression!$CA$13*2*'Growth Regression'!S4 + Regression!$BZ$13)/$A22</f>
        <v>9.5706170287010089E-2</v>
      </c>
      <c r="D22" s="117">
        <f xml:space="preserve"> (Regression!$CE$19*6*'Growth Regression'!S4^5+Regression!$CD$19*5*'Growth Regression'!S4^4+Regression!$CC$19*4*'Growth Regression'!S4^3 +Regression!$CB$19*3*'Growth Regression'!S4^2 + Regression!$CA$19*2*'Growth Regression'!S4 + Regression!$BZ$19)/$B22</f>
        <v>6.7489362516996207E-2</v>
      </c>
      <c r="E22" s="117">
        <f xml:space="preserve"> (Regression!$CE$14*6*'Growth Regression'!S4^5+Regression!$CD$14*5*'Growth Regression'!S4^4+Regression!$CC$14*4*'Growth Regression'!S4^3+Regression!$CB$14*3*'Growth Regression'!S4^2  + Regression!$CA$14*2*'Growth Regression'!S4 + Regression!$BZ$14)/$B22</f>
        <v>-1.2566537523588665E-3</v>
      </c>
      <c r="F22" s="117">
        <f xml:space="preserve"> (Regression!$CE$10*6*'Growth Regression'!S4^6+Regression!$CD$10*5*'Growth Regression'!S4^5+Regression!$CC$10*4*'Growth Regression'!S4^3+Regression!$CB$10*3*'Growth Regression'!S4^2  + Regression!$CA$10*2*'Growth Regression'!S4 + Regression!$BZ$10)/$B22</f>
        <v>-2.6072777157438113E-3</v>
      </c>
      <c r="G22" s="117">
        <f xml:space="preserve"> (Regression!$CE$11*6*'Growth Regression'!S4^6+Regression!$CD$11*5*'Growth Regression'!S4^5+Regression!$CC$11*4*'Growth Regression'!S4^3+Regression!$CB$11*3*'Growth Regression'!S4^2  + Regression!$CA$11*2*'Growth Regression'!S4 + Regression!$BZ$11)/$B22</f>
        <v>-9.3166804255870959E-3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1.9760500026702883</v>
      </c>
      <c r="B23" s="119">
        <f>('Measured Data'!H10*'In Process Calc.'!J6+'In Process Calc.'!E7*'Measured Data'!H11)/2/1000</f>
        <v>3.687501555252648</v>
      </c>
      <c r="C23" s="118">
        <f xml:space="preserve"> (Regression!$CE$13*6*'Growth Regression'!S5^5+Regression!$CD$13*5*'Growth Regression'!S5^4+Regression!$CC$13*4*'Growth Regression'!S5^3+Regression!$CB$13*3*'Growth Regression'!S5^2  + Regression!$CA$13*2*'Growth Regression'!S5 + Regression!$BZ$13)/$A23</f>
        <v>8.6604471299917329E-2</v>
      </c>
      <c r="D23" s="117">
        <f xml:space="preserve"> (Regression!$CE$19*6*'Growth Regression'!S5^5+Regression!$CD$19*5*'Growth Regression'!S5^4+Regression!$CC$19*4*'Growth Regression'!S5^3 +Regression!$CB$19*3*'Growth Regression'!S5^2 + Regression!$CA$19*2*'Growth Regression'!S5 + Regression!$BZ$19)/$B23</f>
        <v>5.2883106584454796E-2</v>
      </c>
      <c r="E23" s="117">
        <f xml:space="preserve"> (Regression!$CE$14*6*'Growth Regression'!S5^5+Regression!$CD$14*5*'Growth Regression'!S5^4+Regression!$CC$14*4*'Growth Regression'!S5^3+Regression!$CB$14*3*'Growth Regression'!S5^2  + Regression!$CA$14*2*'Growth Regression'!S5 + Regression!$BZ$14)/$B23</f>
        <v>-7.1954531825508599E-3</v>
      </c>
      <c r="F23" s="117">
        <f xml:space="preserve"> (Regression!$CE$10*6*'Growth Regression'!S5^6+Regression!$CD$10*5*'Growth Regression'!S5^5+Regression!$CC$10*4*'Growth Regression'!S5^3+Regression!$CB$10*3*'Growth Regression'!S5^2  + Regression!$CA$10*2*'Growth Regression'!S5 + Regression!$BZ$10)/$B23</f>
        <v>9.3928315076893039E-4</v>
      </c>
      <c r="G23" s="117">
        <f xml:space="preserve"> (Regression!$CE$11*6*'Growth Regression'!S5^6+Regression!$CD$11*5*'Growth Regression'!S5^5+Regression!$CC$11*4*'Growth Regression'!S5^3+Regression!$CB$11*3*'Growth Regression'!S5^2  + Regression!$CA$11*2*'Growth Regression'!S5 + Regression!$BZ$11)/$B23</f>
        <v>-9.1239625228728399E-3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3.2690000368118293</v>
      </c>
      <c r="B24" s="119">
        <f>('Measured Data'!H11*'In Process Calc.'!J7+'In Process Calc.'!E8*'Measured Data'!H12)/2/1000</f>
        <v>6.1061638654119079</v>
      </c>
      <c r="C24" s="118">
        <f xml:space="preserve"> (Regression!$CE$13*6*'Growth Regression'!S6^5+Regression!$CD$13*5*'Growth Regression'!S6^4+Regression!$CC$13*4*'Growth Regression'!S6^3+Regression!$CB$13*3*'Growth Regression'!S6^2  + Regression!$CA$13*2*'Growth Regression'!S6 + Regression!$BZ$13)/$A24</f>
        <v>7.5325407257936558E-2</v>
      </c>
      <c r="D24" s="117">
        <f xml:space="preserve"> (Regression!$CE$19*6*'Growth Regression'!S6^5+Regression!$CD$19*5*'Growth Regression'!S6^4+Regression!$CC$19*4*'Growth Regression'!S6^3 +Regression!$CB$19*3*'Growth Regression'!S6^2 + Regression!$CA$19*2*'Growth Regression'!S6 + Regression!$BZ$19)/$B24</f>
        <v>3.6162685614812624E-2</v>
      </c>
      <c r="E24" s="117">
        <f xml:space="preserve"> (Regression!$CE$14*6*'Growth Regression'!S6^5+Regression!$CD$14*5*'Growth Regression'!S6^4+Regression!$CC$14*4*'Growth Regression'!S6^3+Regression!$CB$14*3*'Growth Regression'!S6^2  + Regression!$CA$14*2*'Growth Regression'!S6 + Regression!$BZ$14)/$B24</f>
        <v>-7.8010140067021495E-3</v>
      </c>
      <c r="F24" s="117">
        <f xml:space="preserve"> (Regression!$CE$10*6*'Growth Regression'!S6^6+Regression!$CD$10*5*'Growth Regression'!S6^5+Regression!$CC$10*4*'Growth Regression'!S6^3+Regression!$CB$10*3*'Growth Regression'!S6^2  + Regression!$CA$10*2*'Growth Regression'!S6 + Regression!$BZ$10)/$B24</f>
        <v>3.3083444115931532E-3</v>
      </c>
      <c r="G24" s="117">
        <f xml:space="preserve"> (Regression!$CE$11*6*'Growth Regression'!S6^6+Regression!$CD$11*5*'Growth Regression'!S6^5+Regression!$CC$11*4*'Growth Regression'!S6^3+Regression!$CB$11*3*'Growth Regression'!S6^2  + Regression!$CA$11*2*'Growth Regression'!S6 + Regression!$BZ$11)/$B24</f>
        <v>-6.0721165722529809E-3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5.202200038528443</v>
      </c>
      <c r="B25" s="119">
        <f>('Measured Data'!H12*'In Process Calc.'!J8+'In Process Calc.'!E9*'Measured Data'!H13)/2/1000</f>
        <v>9.7775978182763428</v>
      </c>
      <c r="C25" s="118">
        <f xml:space="preserve"> (Regression!$CE$13*6*'Growth Regression'!S7^5+Regression!$CD$13*5*'Growth Regression'!S7^4+Regression!$CC$13*4*'Growth Regression'!S7^3+Regression!$CB$13*3*'Growth Regression'!S7^2  + Regression!$CA$13*2*'Growth Regression'!S7 + Regression!$BZ$13)/$A25</f>
        <v>6.289051606076719E-2</v>
      </c>
      <c r="D25" s="117">
        <f xml:space="preserve"> (Regression!$CE$19*6*'Growth Regression'!S7^5+Regression!$CD$19*5*'Growth Regression'!S7^4+Regression!$CC$19*4*'Growth Regression'!S7^3 +Regression!$CB$19*3*'Growth Regression'!S7^2 + Regression!$CA$19*2*'Growth Regression'!S7 + Regression!$BZ$19)/$B25</f>
        <v>2.1087590806991536E-2</v>
      </c>
      <c r="E25" s="117">
        <f xml:space="preserve"> (Regression!$CE$14*6*'Growth Regression'!S7^5+Regression!$CD$14*5*'Growth Regression'!S7^4+Regression!$CC$14*4*'Growth Regression'!S7^3+Regression!$CB$14*3*'Growth Regression'!S7^2  + Regression!$CA$14*2*'Growth Regression'!S7 + Regression!$BZ$14)/$B25</f>
        <v>-6.0312422651329521E-3</v>
      </c>
      <c r="F25" s="117">
        <f xml:space="preserve"> (Regression!$CE$10*6*'Growth Regression'!S7^6+Regression!$CD$10*5*'Growth Regression'!S7^5+Regression!$CC$10*4*'Growth Regression'!S7^3+Regression!$CB$10*3*'Growth Regression'!S7^2  + Regression!$CA$10*2*'Growth Regression'!S7 + Regression!$BZ$10)/$B25</f>
        <v>4.2779885486106369E-3</v>
      </c>
      <c r="G25" s="117">
        <f xml:space="preserve"> (Regression!$CE$11*6*'Growth Regression'!S7^6+Regression!$CD$11*5*'Growth Regression'!S7^5+Regression!$CC$11*4*'Growth Regression'!S7^3+Regression!$CB$11*3*'Growth Regression'!S7^2  + Regression!$CA$11*2*'Growth Regression'!S7 + Regression!$BZ$11)/$B25</f>
        <v>-3.2999731679041956E-3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8.1430500579833982</v>
      </c>
      <c r="B26" s="119">
        <f>('Measured Data'!H13*'In Process Calc.'!J9+'In Process Calc.'!E10*'Measured Data'!H14)/2/1000</f>
        <v>15.398742021211385</v>
      </c>
      <c r="C26" s="118">
        <f xml:space="preserve"> (Regression!$CE$13*6*'Growth Regression'!S8^5+Regression!$CD$13*5*'Growth Regression'!S8^4+Regression!$CC$13*4*'Growth Regression'!S8^3+Regression!$CB$13*3*'Growth Regression'!S8^2  + Regression!$CA$13*2*'Growth Regression'!S8 + Regression!$BZ$13)/$A26</f>
        <v>5.0831688889231307E-2</v>
      </c>
      <c r="D26" s="117">
        <f xml:space="preserve"> (Regression!$CE$19*6*'Growth Regression'!S8^5+Regression!$CD$19*5*'Growth Regression'!S8^4+Regression!$CC$19*4*'Growth Regression'!S8^3 +Regression!$CB$19*3*'Growth Regression'!S8^2 + Regression!$CA$19*2*'Growth Regression'!S8 + Regression!$BZ$19)/$B26</f>
        <v>9.2720495847371937E-3</v>
      </c>
      <c r="E26" s="117">
        <f xml:space="preserve"> (Regression!$CE$14*6*'Growth Regression'!S8^5+Regression!$CD$14*5*'Growth Regression'!S8^4+Regression!$CC$14*4*'Growth Regression'!S8^3+Regression!$CB$14*3*'Growth Regression'!S8^2  + Regression!$CA$14*2*'Growth Regression'!S8 + Regression!$BZ$14)/$B26</f>
        <v>-3.6826215607348605E-3</v>
      </c>
      <c r="F26" s="117">
        <f xml:space="preserve"> (Regression!$CE$10*6*'Growth Regression'!S8^6+Regression!$CD$10*5*'Growth Regression'!S8^5+Regression!$CC$10*4*'Growth Regression'!S8^3+Regression!$CB$10*3*'Growth Regression'!S8^2  + Regression!$CA$10*2*'Growth Regression'!S8 + Regression!$BZ$10)/$B26</f>
        <v>4.275961448406195E-3</v>
      </c>
      <c r="G26" s="117">
        <f xml:space="preserve"> (Regression!$CE$11*6*'Growth Regression'!S8^6+Regression!$CD$11*5*'Growth Regression'!S8^5+Regression!$CC$11*4*'Growth Regression'!S8^3+Regression!$CB$11*3*'Growth Regression'!S8^2  + Regression!$CA$11*2*'Growth Regression'!S8 + Regression!$BZ$11)/$B26</f>
        <v>-1.344271123342767E-3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0.53333333332557231</v>
      </c>
      <c r="AL26" s="290">
        <f>'Measured Data'!U7</f>
        <v>5.6000000000000001E-2</v>
      </c>
      <c r="AM26" s="290">
        <f>'Measured Data'!V7</f>
        <v>1.976</v>
      </c>
      <c r="AN26" s="290">
        <f>'Measured Data'!W7</f>
        <v>6.1109999999999998</v>
      </c>
      <c r="AO26" s="290">
        <f>'Measured Data'!X7</f>
        <v>1.7030000000000001</v>
      </c>
      <c r="AP26" s="290">
        <f>'Measured Data'!Y7</f>
        <v>1.014</v>
      </c>
      <c r="AQ26" s="290">
        <f>'Measured Data'!Z7</f>
        <v>33.304469459801503</v>
      </c>
      <c r="AR26" s="290">
        <f>'Measured Data'!AA7</f>
        <v>0</v>
      </c>
      <c r="AS26" s="290">
        <f>'Measured Data'!AB7</f>
        <v>2.2599999999999998</v>
      </c>
      <c r="AT26" s="290">
        <f>'Measured Data'!AC7</f>
        <v>0</v>
      </c>
      <c r="AU26" s="290">
        <f>'Measured Data'!AD7</f>
        <v>0</v>
      </c>
      <c r="AV26" s="290">
        <f>'Measured Data'!AE7</f>
        <v>0</v>
      </c>
      <c r="AW26" s="290">
        <f>'Measured Data'!AF7</f>
        <v>0.88809946714031973</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11.196500165557861</v>
      </c>
      <c r="B27" s="119">
        <f>('Measured Data'!H14*'In Process Calc.'!J10+'In Process Calc.'!E11*'Measured Data'!H15)/2/1000</f>
        <v>21.384702919911504</v>
      </c>
      <c r="C27" s="118">
        <f xml:space="preserve"> (Regression!$CE$13*6*'Growth Regression'!S9^5+Regression!$CD$13*5*'Growth Regression'!S9^4+Regression!$CC$13*4*'Growth Regression'!S9^3+Regression!$CB$13*3*'Growth Regression'!S9^2  + Regression!$CA$13*2*'Growth Regression'!S9 + Regression!$BZ$13)/$A27</f>
        <v>4.4134194462242884E-2</v>
      </c>
      <c r="D27" s="117">
        <f xml:space="preserve"> (Regression!$CE$19*6*'Growth Regression'!S9^5+Regression!$CD$19*5*'Growth Regression'!S9^4+Regression!$CC$19*4*'Growth Regression'!S9^3 +Regression!$CB$19*3*'Growth Regression'!S9^2 + Regression!$CA$19*2*'Growth Regression'!S9 + Regression!$BZ$19)/$B27</f>
        <v>1.8553255093505024E-3</v>
      </c>
      <c r="E27" s="117">
        <f xml:space="preserve"> (Regression!$CE$14*6*'Growth Regression'!S9^5+Regression!$CD$14*5*'Growth Regression'!S9^4+Regression!$CC$14*4*'Growth Regression'!S9^3+Regression!$CB$14*3*'Growth Regression'!S9^2  + Regression!$CA$14*2*'Growth Regression'!S9 + Regression!$BZ$14)/$B27</f>
        <v>-1.9444841825072014E-3</v>
      </c>
      <c r="F27" s="117">
        <f xml:space="preserve"> (Regression!$CE$10*6*'Growth Regression'!S9^6+Regression!$CD$10*5*'Growth Regression'!S9^5+Regression!$CC$10*4*'Growth Regression'!S9^3+Regression!$CB$10*3*'Growth Regression'!S9^2  + Regression!$CA$10*2*'Growth Regression'!S9 + Regression!$BZ$10)/$B27</f>
        <v>4.0168483828002984E-3</v>
      </c>
      <c r="G27" s="117">
        <f xml:space="preserve"> (Regression!$CE$11*6*'Growth Regression'!S9^6+Regression!$CD$11*5*'Growth Regression'!S9^5+Regression!$CC$11*4*'Growth Regression'!S9^3+Regression!$CB$11*3*'Growth Regression'!S9^2  + Regression!$CA$11*2*'Growth Regression'!S9 + Regression!$BZ$11)/$B27</f>
        <v>-2.7133893558094966E-4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21.199999999953434</v>
      </c>
      <c r="AL27" s="290">
        <f>'Measured Data'!U8</f>
        <v>6.3E-2</v>
      </c>
      <c r="AM27" s="290">
        <f>'Measured Data'!V8</f>
        <v>2.0150000000000001</v>
      </c>
      <c r="AN27" s="290">
        <f>'Measured Data'!W8</f>
        <v>5.968</v>
      </c>
      <c r="AO27" s="290">
        <f>'Measured Data'!X8</f>
        <v>1.7549999999999999</v>
      </c>
      <c r="AP27" s="290">
        <f>'Measured Data'!Y8</f>
        <v>1.083</v>
      </c>
      <c r="AQ27" s="290">
        <f>'Measured Data'!Z8</f>
        <v>33.415484358000839</v>
      </c>
      <c r="AR27" s="290">
        <f>'Measured Data'!AA8</f>
        <v>0</v>
      </c>
      <c r="AS27" s="290">
        <f>'Measured Data'!AB8</f>
        <v>2.31</v>
      </c>
      <c r="AT27" s="290">
        <f>'Measured Data'!AC8</f>
        <v>0</v>
      </c>
      <c r="AU27" s="290">
        <f>'Measured Data'!AD8</f>
        <v>0</v>
      </c>
      <c r="AV27" s="290">
        <f>'Measured Data'!AE8</f>
        <v>0</v>
      </c>
      <c r="AW27" s="290">
        <f>'Measured Data'!AF8</f>
        <v>1.3321492007104796</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14.275299890136719</v>
      </c>
      <c r="B28" s="119">
        <f>('Measured Data'!H15*'In Process Calc.'!J11+'In Process Calc.'!E12*'Measured Data'!H16)/2/1000</f>
        <v>27.405097418098237</v>
      </c>
      <c r="C28" s="118">
        <f xml:space="preserve"> (Regression!$CE$13*6*'Growth Regression'!S10^5+Regression!$CD$13*5*'Growth Regression'!S10^4+Regression!$CC$13*4*'Growth Regression'!S10^3+Regression!$CB$13*3*'Growth Regression'!S10^2  + Regression!$CA$13*2*'Growth Regression'!S10 + Regression!$BZ$13)/$A28</f>
        <v>3.9542381939957801E-2</v>
      </c>
      <c r="D28" s="117">
        <f xml:space="preserve"> (Regression!$CE$19*6*'Growth Regression'!S10^5+Regression!$CD$19*5*'Growth Regression'!S10^4+Regression!$CC$19*4*'Growth Regression'!S10^3 +Regression!$CB$19*3*'Growth Regression'!S10^2 + Regression!$CA$19*2*'Growth Regression'!S10 + Regression!$BZ$19)/$B28</f>
        <v>-3.1887177717506736E-3</v>
      </c>
      <c r="E28" s="117">
        <f xml:space="preserve"> (Regression!$CE$14*6*'Growth Regression'!S10^5+Regression!$CD$14*5*'Growth Regression'!S10^4+Regression!$CC$14*4*'Growth Regression'!S10^3+Regression!$CB$14*3*'Growth Regression'!S10^2  + Regression!$CA$14*2*'Growth Regression'!S10 + Regression!$BZ$14)/$B28</f>
        <v>-6.7225229040200954E-4</v>
      </c>
      <c r="F28" s="117">
        <f xml:space="preserve"> (Regression!$CE$10*6*'Growth Regression'!S10^6+Regression!$CD$10*5*'Growth Regression'!S10^5+Regression!$CC$10*4*'Growth Regression'!S10^3+Regression!$CB$10*3*'Growth Regression'!S10^2  + Regression!$CA$10*2*'Growth Regression'!S10 + Regression!$BZ$10)/$B28</f>
        <v>3.5758649260134688E-3</v>
      </c>
      <c r="G28" s="117">
        <f xml:space="preserve"> (Regression!$CE$11*6*'Growth Regression'!S10^6+Regression!$CD$11*5*'Growth Regression'!S10^5+Regression!$CC$11*4*'Growth Regression'!S10^3+Regression!$CB$11*3*'Growth Regression'!S10^2  + Regression!$CA$11*2*'Growth Regression'!S10 + Regression!$BZ$11)/$B28</f>
        <v>3.545047818560414E-4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48.46666666661622</v>
      </c>
      <c r="AL28" s="290">
        <f>'Measured Data'!U9</f>
        <v>6.3E-2</v>
      </c>
      <c r="AM28" s="290">
        <f>'Measured Data'!V9</f>
        <v>1.7390000000000001</v>
      </c>
      <c r="AN28" s="290">
        <f>'Measured Data'!W9</f>
        <v>5.2069999999999999</v>
      </c>
      <c r="AO28" s="290">
        <f>'Measured Data'!X9</f>
        <v>1.728</v>
      </c>
      <c r="AP28" s="290">
        <f>'Measured Data'!Y9</f>
        <v>1.04</v>
      </c>
      <c r="AQ28" s="290">
        <f>'Measured Data'!Z9</f>
        <v>31.972290681409444</v>
      </c>
      <c r="AR28" s="290">
        <f>'Measured Data'!AA9</f>
        <v>0.26600000000000001</v>
      </c>
      <c r="AS28" s="290">
        <f>'Measured Data'!AB9</f>
        <v>2.2650000000000001</v>
      </c>
      <c r="AT28" s="290">
        <f>'Measured Data'!AC9</f>
        <v>0</v>
      </c>
      <c r="AU28" s="290">
        <f>'Measured Data'!AD9</f>
        <v>0</v>
      </c>
      <c r="AV28" s="290">
        <f>'Measured Data'!AE9</f>
        <v>0</v>
      </c>
      <c r="AW28" s="290">
        <f>'Measured Data'!AF9</f>
        <v>2.5532859680284195</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16.360750062561035</v>
      </c>
      <c r="B29" s="119">
        <f>('Measured Data'!H16*'In Process Calc.'!J12+'In Process Calc.'!E13*'Measured Data'!H17)/2/1000</f>
        <v>30.924005698229855</v>
      </c>
      <c r="C29" s="118">
        <f xml:space="preserve"> (Regression!$CE$13*6*'Growth Regression'!S11^5+Regression!$CD$13*5*'Growth Regression'!S11^4+Regression!$CC$13*4*'Growth Regression'!S11^3+Regression!$CB$13*3*'Growth Regression'!S11^2  + Regression!$CA$13*2*'Growth Regression'!S11 + Regression!$BZ$13)/$A29</f>
        <v>3.7880847555194587E-2</v>
      </c>
      <c r="D29" s="117">
        <f xml:space="preserve"> (Regression!$CE$19*6*'Growth Regression'!S11^5+Regression!$CD$19*5*'Growth Regression'!S11^4+Regression!$CC$19*4*'Growth Regression'!S11^3 +Regression!$CB$19*3*'Growth Regression'!S11^2 + Regression!$CA$19*2*'Growth Regression'!S11 + Regression!$BZ$19)/$B29</f>
        <v>-6.8538510221468401E-3</v>
      </c>
      <c r="E29" s="117">
        <f xml:space="preserve"> (Regression!$CE$14*6*'Growth Regression'!S11^5+Regression!$CD$14*5*'Growth Regression'!S11^4+Regression!$CC$14*4*'Growth Regression'!S11^3+Regression!$CB$14*3*'Growth Regression'!S11^2  + Regression!$CA$14*2*'Growth Regression'!S11 + Regression!$BZ$14)/$B29</f>
        <v>2.086483329753267E-4</v>
      </c>
      <c r="F29" s="117">
        <f xml:space="preserve"> (Regression!$CE$10*6*'Growth Regression'!S11^6+Regression!$CD$10*5*'Growth Regression'!S11^5+Regression!$CC$10*4*'Growth Regression'!S11^3+Regression!$CB$10*3*'Growth Regression'!S11^2  + Regression!$CA$10*2*'Growth Regression'!S11 + Regression!$BZ$10)/$B29</f>
        <v>3.1477714773716346E-3</v>
      </c>
      <c r="G29" s="117">
        <f xml:space="preserve"> (Regression!$CE$11*6*'Growth Regression'!S11^6+Regression!$CD$11*5*'Growth Regression'!S11^5+Regression!$CC$11*4*'Growth Regression'!S11^3+Regression!$CB$11*3*'Growth Regression'!S11^2  + Regression!$CA$11*2*'Growth Regression'!S11 + Regression!$BZ$11)/$B29</f>
        <v>7.4134229657445638E-4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70.96666666661622</v>
      </c>
      <c r="AL29" s="290">
        <f>'Measured Data'!U10</f>
        <v>9.8000000000000004E-2</v>
      </c>
      <c r="AM29" s="290">
        <f>'Measured Data'!V10</f>
        <v>1.6719999999999999</v>
      </c>
      <c r="AN29" s="290">
        <f>'Measured Data'!W10</f>
        <v>4.51</v>
      </c>
      <c r="AO29" s="290">
        <f>'Measured Data'!X10</f>
        <v>1.716</v>
      </c>
      <c r="AP29" s="290">
        <f>'Measured Data'!Y10</f>
        <v>0.96499999999999997</v>
      </c>
      <c r="AQ29" s="290">
        <f>'Measured Data'!Z10</f>
        <v>30.251559759319701</v>
      </c>
      <c r="AR29" s="290">
        <f>'Measured Data'!AA10</f>
        <v>0.35799999999999998</v>
      </c>
      <c r="AS29" s="290">
        <f>'Measured Data'!AB10</f>
        <v>2.2429999999999999</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16.472300393676758</v>
      </c>
      <c r="B30" s="119">
        <f>('Measured Data'!H17*'In Process Calc.'!J13+'In Process Calc.'!E14*'Measured Data'!H18)/2/1000</f>
        <v>30.605760097371334</v>
      </c>
      <c r="C30" s="118">
        <f xml:space="preserve"> (Regression!$CE$13*6*'Growth Regression'!S12^5+Regression!$CD$13*5*'Growth Regression'!S12^4+Regression!$CC$13*4*'Growth Regression'!S12^3+Regression!$CB$13*3*'Growth Regression'!S12^2  + Regression!$CA$13*2*'Growth Regression'!S12 + Regression!$BZ$13)/$A30</f>
        <v>3.965068573274054E-2</v>
      </c>
      <c r="D30" s="117">
        <f xml:space="preserve"> (Regression!$CE$19*6*'Growth Regression'!S12^5+Regression!$CD$19*5*'Growth Regression'!S12^4+Regression!$CC$19*4*'Growth Regression'!S12^3 +Regression!$CB$19*3*'Growth Regression'!S12^2 + Regression!$CA$19*2*'Growth Regression'!S12 + Regression!$BZ$19)/$B30</f>
        <v>-9.5554263032342351E-3</v>
      </c>
      <c r="E30" s="117">
        <f xml:space="preserve"> (Regression!$CE$14*6*'Growth Regression'!S12^5+Regression!$CD$14*5*'Growth Regression'!S12^4+Regression!$CC$14*4*'Growth Regression'!S12^3+Regression!$CB$14*3*'Growth Regression'!S12^2  + Regression!$CA$14*2*'Growth Regression'!S12 + Regression!$BZ$14)/$B30</f>
        <v>8.4593502171075735E-4</v>
      </c>
      <c r="F30" s="117">
        <f xml:space="preserve"> (Regression!$CE$10*6*'Growth Regression'!S12^6+Regression!$CD$10*5*'Growth Regression'!S12^5+Regression!$CC$10*4*'Growth Regression'!S12^3+Regression!$CB$10*3*'Growth Regression'!S12^2  + Regression!$CA$10*2*'Growth Regression'!S12 + Regression!$BZ$10)/$B30</f>
        <v>2.5850165627287693E-3</v>
      </c>
      <c r="G30" s="117">
        <f xml:space="preserve"> (Regression!$CE$11*6*'Growth Regression'!S12^6+Regression!$CD$11*5*'Growth Regression'!S12^5+Regression!$CC$11*4*'Growth Regression'!S12^3+Regression!$CB$11*3*'Growth Regression'!S12^2  + Regression!$CA$11*2*'Growth Regression'!S12 + Regression!$BZ$11)/$B30</f>
        <v>9.9397617805387344E-4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95.449999999953434</v>
      </c>
      <c r="AL30" s="290">
        <f>'Measured Data'!U11</f>
        <v>0.25800000000000001</v>
      </c>
      <c r="AM30" s="290">
        <f>'Measured Data'!V11</f>
        <v>2.1360000000000001</v>
      </c>
      <c r="AN30" s="290">
        <f>'Measured Data'!W11</f>
        <v>5.6870000000000003</v>
      </c>
      <c r="AO30" s="290">
        <f>'Measured Data'!X11</f>
        <v>1.593</v>
      </c>
      <c r="AP30" s="290">
        <f>'Measured Data'!Y11</f>
        <v>0.84899999999999998</v>
      </c>
      <c r="AQ30" s="290">
        <f>'Measured Data'!Z11</f>
        <v>33.082439663402823</v>
      </c>
      <c r="AR30" s="290">
        <f>'Measured Data'!AA11</f>
        <v>0.64800000000000002</v>
      </c>
      <c r="AS30" s="290">
        <f>'Measured Data'!AB11</f>
        <v>6.2320000000000002</v>
      </c>
      <c r="AT30" s="290">
        <f>'Measured Data'!AC11</f>
        <v>0</v>
      </c>
      <c r="AU30" s="290">
        <f>'Measured Data'!AD11</f>
        <v>0</v>
      </c>
      <c r="AV30" s="290">
        <f>'Measured Data'!AE11</f>
        <v>0</v>
      </c>
      <c r="AW30" s="290">
        <f>'Measured Data'!AF11</f>
        <v>5.7726465364120783</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16.160600526428222</v>
      </c>
      <c r="B31" s="119">
        <f>('Measured Data'!H18*'In Process Calc.'!J14+'In Process Calc.'!E15*'Measured Data'!H19)/2/1000</f>
        <v>29.584911977090115</v>
      </c>
      <c r="C31" s="118">
        <f xml:space="preserve"> (Regression!$CE$13*6*'Growth Regression'!S13^5+Regression!$CD$13*5*'Growth Regression'!S13^4+Regression!$CC$13*4*'Growth Regression'!S13^3+Regression!$CB$13*3*'Growth Regression'!S13^2  + Regression!$CA$13*2*'Growth Regression'!S13 + Regression!$BZ$13)/$A31</f>
        <v>4.0834157794084711E-2</v>
      </c>
      <c r="D31" s="117">
        <f xml:space="preserve"> (Regression!$CE$19*6*'Growth Regression'!S13^5+Regression!$CD$19*5*'Growth Regression'!S13^4+Regression!$CC$19*4*'Growth Regression'!S13^3 +Regression!$CB$19*3*'Growth Regression'!S13^2 + Regression!$CA$19*2*'Growth Regression'!S13 + Regression!$BZ$19)/$B31</f>
        <v>-9.5881488510246547E-3</v>
      </c>
      <c r="E31" s="117">
        <f xml:space="preserve"> (Regression!$CE$14*6*'Growth Regression'!S13^5+Regression!$CD$14*5*'Growth Regression'!S13^4+Regression!$CC$14*4*'Growth Regression'!S13^3+Regression!$CB$14*3*'Growth Regression'!S13^2  + Regression!$CA$14*2*'Growth Regression'!S13 + Regression!$BZ$14)/$B31</f>
        <v>1.1907830958138061E-3</v>
      </c>
      <c r="F31" s="117">
        <f xml:space="preserve"> (Regression!$CE$10*6*'Growth Regression'!S13^6+Regression!$CD$10*5*'Growth Regression'!S13^5+Regression!$CC$10*4*'Growth Regression'!S13^3+Regression!$CB$10*3*'Growth Regression'!S13^2  + Regression!$CA$10*2*'Growth Regression'!S13 + Regression!$BZ$10)/$B31</f>
        <v>1.3854737489578247E-3</v>
      </c>
      <c r="G31" s="117">
        <f xml:space="preserve"> (Regression!$CE$11*6*'Growth Regression'!S13^6+Regression!$CD$11*5*'Growth Regression'!S13^5+Regression!$CC$11*4*'Growth Regression'!S13^3+Regression!$CB$11*3*'Growth Regression'!S13^2  + Regression!$CA$11*2*'Growth Regression'!S13 + Regression!$BZ$11)/$B31</f>
        <v>9.9655499862548371E-4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115.8833333333605</v>
      </c>
      <c r="AL31" s="290">
        <f>'Measured Data'!U12</f>
        <v>0.57899999999999996</v>
      </c>
      <c r="AM31" s="290">
        <f>'Measured Data'!V12</f>
        <v>2.411</v>
      </c>
      <c r="AN31" s="290">
        <f>'Measured Data'!W12</f>
        <v>6.4889999999999999</v>
      </c>
      <c r="AO31" s="290">
        <f>'Measured Data'!X12</f>
        <v>1.7989999999999999</v>
      </c>
      <c r="AP31" s="290">
        <f>'Measured Data'!Y12</f>
        <v>0.8</v>
      </c>
      <c r="AQ31" s="290">
        <f>'Measured Data'!Z12</f>
        <v>34.248096094495885</v>
      </c>
      <c r="AR31" s="290">
        <f>'Measured Data'!AA12</f>
        <v>0.96</v>
      </c>
      <c r="AS31" s="290">
        <f>'Measured Data'!AB12</f>
        <v>9.57</v>
      </c>
      <c r="AT31" s="290">
        <f>'Measured Data'!AC12</f>
        <v>0</v>
      </c>
      <c r="AU31" s="290">
        <f>'Measured Data'!AD12</f>
        <v>0</v>
      </c>
      <c r="AV31" s="290">
        <f>'Measured Data'!AE12</f>
        <v>0</v>
      </c>
      <c r="AW31" s="290">
        <f>'Measured Data'!AF12</f>
        <v>7.659857904085257</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15.808000428771972</v>
      </c>
      <c r="B32" s="119">
        <f>('Measured Data'!H19*'In Process Calc.'!J15+'In Process Calc.'!E16*'Measured Data'!H20)/2/1000</f>
        <v>28.539209872359212</v>
      </c>
      <c r="C32" s="118">
        <f xml:space="preserve"> (Regression!$CE$13*6*'Growth Regression'!S14^5+Regression!$CD$13*5*'Growth Regression'!S14^4+Regression!$CC$13*4*'Growth Regression'!S14^3+Regression!$CB$13*3*'Growth Regression'!S14^2  + Regression!$CA$13*2*'Growth Regression'!S14 + Regression!$BZ$13)/$A32</f>
        <v>4.0299860323077877E-2</v>
      </c>
      <c r="D32" s="117">
        <f xml:space="preserve"> (Regression!$CE$19*6*'Growth Regression'!S14^5+Regression!$CD$19*5*'Growth Regression'!S14^4+Regression!$CC$19*4*'Growth Regression'!S14^3 +Regression!$CB$19*3*'Growth Regression'!S14^2 + Regression!$CA$19*2*'Growth Regression'!S14 + Regression!$BZ$19)/$B32</f>
        <v>-4.8115362171210971E-3</v>
      </c>
      <c r="E32" s="117">
        <f xml:space="preserve"> (Regression!$CE$14*6*'Growth Regression'!S14^5+Regression!$CD$14*5*'Growth Regression'!S14^4+Regression!$CC$14*4*'Growth Regression'!S14^3+Regression!$CB$14*3*'Growth Regression'!S14^2  + Regression!$CA$14*2*'Growth Regression'!S14 + Regression!$BZ$14)/$B32</f>
        <v>1.2136623663437176E-3</v>
      </c>
      <c r="F32" s="117">
        <f xml:space="preserve"> (Regression!$CE$10*6*'Growth Regression'!S14^6+Regression!$CD$10*5*'Growth Regression'!S14^5+Regression!$CC$10*4*'Growth Regression'!S14^3+Regression!$CB$10*3*'Growth Regression'!S14^2  + Regression!$CA$10*2*'Growth Regression'!S14 + Regression!$BZ$10)/$B32</f>
        <v>-7.6395077537742308E-4</v>
      </c>
      <c r="G32" s="117">
        <f xml:space="preserve"> (Regression!$CE$11*6*'Growth Regression'!S14^6+Regression!$CD$11*5*'Growth Regression'!S14^5+Regression!$CC$11*4*'Growth Regression'!S14^3+Regression!$CB$11*3*'Growth Regression'!S14^2  + Regression!$CA$11*2*'Growth Regression'!S14 + Regression!$BZ$11)/$B32</f>
        <v>6.2375254335919551E-4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141.08333333325572</v>
      </c>
      <c r="AL32" s="290">
        <f>'Measured Data'!U13</f>
        <v>1.4039999999999999</v>
      </c>
      <c r="AM32" s="290">
        <f>'Measured Data'!V13</f>
        <v>2.9489999999999998</v>
      </c>
      <c r="AN32" s="290">
        <f>'Measured Data'!W13</f>
        <v>6.7220000000000004</v>
      </c>
      <c r="AO32" s="290">
        <f>'Measured Data'!X13</f>
        <v>2.1890000000000001</v>
      </c>
      <c r="AP32" s="290">
        <f>'Measured Data'!Y13</f>
        <v>0.70099999999999996</v>
      </c>
      <c r="AQ32" s="290">
        <f>'Measured Data'!Z13</f>
        <v>33.526499256200182</v>
      </c>
      <c r="AR32" s="290">
        <f>'Measured Data'!AA13</f>
        <v>1.5780000000000001</v>
      </c>
      <c r="AS32" s="290">
        <f>'Measured Data'!AB13</f>
        <v>12.855</v>
      </c>
      <c r="AT32" s="290">
        <f>'Measured Data'!AC13</f>
        <v>0</v>
      </c>
      <c r="AU32" s="290">
        <f>'Measured Data'!AD13</f>
        <v>0</v>
      </c>
      <c r="AV32" s="290">
        <f>'Measured Data'!AE13</f>
        <v>0</v>
      </c>
      <c r="AW32" s="290">
        <f>'Measured Data'!AF13</f>
        <v>10.768206039076377</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14.185200078582763</v>
      </c>
      <c r="B33" s="119">
        <f>('Measured Data'!H20*'In Process Calc.'!J16+'In Process Calc.'!E17*'Measured Data'!H21)/2/1000</f>
        <v>25.553289016532563</v>
      </c>
      <c r="C33" s="118">
        <f xml:space="preserve"> (Regression!$CE$13*6*'Growth Regression'!S15^5+Regression!$CD$13*5*'Growth Regression'!S15^4+Regression!$CC$13*4*'Growth Regression'!S15^3+Regression!$CB$13*3*'Growth Regression'!S15^2  + Regression!$CA$13*2*'Growth Regression'!S15 + Regression!$BZ$13)/$A33</f>
        <v>4.0709785377592005E-2</v>
      </c>
      <c r="D33" s="117">
        <f xml:space="preserve"> (Regression!$CE$19*6*'Growth Regression'!S15^5+Regression!$CD$19*5*'Growth Regression'!S15^4+Regression!$CC$19*4*'Growth Regression'!S15^3 +Regression!$CB$19*3*'Growth Regression'!S15^2 + Regression!$CA$19*2*'Growth Regression'!S15 + Regression!$BZ$19)/$B33</f>
        <v>8.6841707018281908E-3</v>
      </c>
      <c r="E33" s="117">
        <f xml:space="preserve"> (Regression!$CE$14*6*'Growth Regression'!S15^5+Regression!$CD$14*5*'Growth Regression'!S15^4+Regression!$CC$14*4*'Growth Regression'!S15^3+Regression!$CB$14*3*'Growth Regression'!S15^2  + Regression!$CA$14*2*'Growth Regression'!S15 + Regression!$BZ$14)/$B33</f>
        <v>1.0878421764874103E-3</v>
      </c>
      <c r="F33" s="117">
        <f xml:space="preserve"> (Regression!$CE$10*6*'Growth Regression'!S15^6+Regression!$CD$10*5*'Growth Regression'!S15^5+Regression!$CC$10*4*'Growth Regression'!S15^3+Regression!$CB$10*3*'Growth Regression'!S15^2  + Regression!$CA$10*2*'Growth Regression'!S15 + Regression!$BZ$10)/$B33</f>
        <v>-4.5541134074237035E-3</v>
      </c>
      <c r="G33" s="117">
        <f xml:space="preserve"> (Regression!$CE$11*6*'Growth Regression'!S15^6+Regression!$CD$11*5*'Growth Regression'!S15^5+Regression!$CC$11*4*'Growth Regression'!S15^3+Regression!$CB$11*3*'Growth Regression'!S15^2  + Regression!$CA$11*2*'Growth Regression'!S15 + Regression!$BZ$11)/$B33</f>
        <v>-3.2579216015671725E-4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164.73333333333721</v>
      </c>
      <c r="AL33" s="290">
        <f>'Measured Data'!U14</f>
        <v>3.0390000000000001</v>
      </c>
      <c r="AM33" s="290">
        <f>'Measured Data'!V14</f>
        <v>3.3559999999999999</v>
      </c>
      <c r="AN33" s="290">
        <f>'Measured Data'!W14</f>
        <v>5.673</v>
      </c>
      <c r="AO33" s="290">
        <f>'Measured Data'!X14</f>
        <v>2.976</v>
      </c>
      <c r="AP33" s="290">
        <f>'Measured Data'!Y14</f>
        <v>0.61899999999999999</v>
      </c>
      <c r="AQ33" s="290">
        <f>'Measured Data'!Z14</f>
        <v>29.974022513821357</v>
      </c>
      <c r="AR33" s="290">
        <f>'Measured Data'!AA14</f>
        <v>2.4569999999999999</v>
      </c>
      <c r="AS33" s="290">
        <f>'Measured Data'!AB14</f>
        <v>16.155999999999999</v>
      </c>
      <c r="AT33" s="290">
        <f>'Measured Data'!AC14</f>
        <v>0</v>
      </c>
      <c r="AU33" s="290">
        <f>'Measured Data'!AD14</f>
        <v>0</v>
      </c>
      <c r="AV33" s="290">
        <f>'Measured Data'!AE14</f>
        <v>0</v>
      </c>
      <c r="AW33" s="290">
        <f>'Measured Data'!AF14</f>
        <v>13.987566607460035</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12.884300096130371</v>
      </c>
      <c r="B34" s="119">
        <f>('Measured Data'!H21*'In Process Calc.'!J17+'In Process Calc.'!E18*'Measured Data'!H22)/2/1000</f>
        <v>11.597301675416906</v>
      </c>
      <c r="C34" s="118">
        <f xml:space="preserve"> (Regression!$CE$13*6*'Growth Regression'!S16^5+Regression!$CD$13*5*'Growth Regression'!S16^4+Regression!$CC$13*4*'Growth Regression'!S16^3+Regression!$CB$13*3*'Growth Regression'!S16^2  + Regression!$CA$13*2*'Growth Regression'!S16 + Regression!$BZ$13)/$A34</f>
        <v>2.464650022126654E-4</v>
      </c>
      <c r="D34" s="117">
        <f xml:space="preserve"> (Regression!$CE$19*6*'Growth Regression'!S16^5+Regression!$CD$19*5*'Growth Regression'!S16^4+Regression!$CC$19*4*'Growth Regression'!S16^3 +Regression!$CB$19*3*'Growth Regression'!S16^2 + Regression!$CA$19*2*'Growth Regression'!S16 + Regression!$BZ$19)/$B34</f>
        <v>-4.9434825083795721E-4</v>
      </c>
      <c r="E34" s="117">
        <f xml:space="preserve"> (Regression!$CE$14*6*'Growth Regression'!S16^5+Regression!$CD$14*5*'Growth Regression'!S16^4+Regression!$CC$14*4*'Growth Regression'!S16^3+Regression!$CB$14*3*'Growth Regression'!S16^2  + Regression!$CA$14*2*'Growth Regression'!S16 + Regression!$BZ$14)/$B34</f>
        <v>-5.863880389989899E-3</v>
      </c>
      <c r="F34" s="117">
        <f xml:space="preserve"> (Regression!$CE$10*6*'Growth Regression'!S16^6+Regression!$CD$10*5*'Growth Regression'!S16^5+Regression!$CC$10*4*'Growth Regression'!S16^3+Regression!$CB$10*3*'Growth Regression'!S16^2  + Regression!$CA$10*2*'Growth Regression'!S16 + Regression!$BZ$10)/$B34</f>
        <v>3.5504462674739584E-3</v>
      </c>
      <c r="G34" s="117">
        <f xml:space="preserve"> (Regression!$CE$11*6*'Growth Regression'!S16^6+Regression!$CD$11*5*'Growth Regression'!S16^5+Regression!$CC$11*4*'Growth Regression'!S16^3+Regression!$CB$11*3*'Growth Regression'!S16^2  + Regression!$CA$11*2*'Growth Regression'!S16 + Regression!$BZ$11)/$B34</f>
        <v>7.7439436707646076E-3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189.11666666652309</v>
      </c>
      <c r="AL34" s="290">
        <f>'Measured Data'!U15</f>
        <v>5.4450000000000003</v>
      </c>
      <c r="AM34" s="290">
        <f>'Measured Data'!V15</f>
        <v>3.2080000000000002</v>
      </c>
      <c r="AN34" s="290">
        <f>'Measured Data'!W15</f>
        <v>1.135</v>
      </c>
      <c r="AO34" s="290">
        <f>'Measured Data'!X15</f>
        <v>3.758</v>
      </c>
      <c r="AP34" s="290">
        <f>'Measured Data'!Y15</f>
        <v>0.44500000000000001</v>
      </c>
      <c r="AQ34" s="290">
        <f>'Measured Data'!Z15</f>
        <v>18.650502897488842</v>
      </c>
      <c r="AR34" s="290">
        <f>'Measured Data'!AA15</f>
        <v>3.4380000000000002</v>
      </c>
      <c r="AS34" s="290">
        <f>'Measured Data'!AB15</f>
        <v>15.374000000000001</v>
      </c>
      <c r="AT34" s="290">
        <f>'Measured Data'!AC15</f>
        <v>0</v>
      </c>
      <c r="AU34" s="290">
        <f>'Measured Data'!AD15</f>
        <v>0</v>
      </c>
      <c r="AV34" s="290">
        <f>'Measured Data'!AE15</f>
        <v>0</v>
      </c>
      <c r="AW34" s="290">
        <f>'Measured Data'!AF15</f>
        <v>15.430728241563054</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213.06666666653473</v>
      </c>
      <c r="AL35" s="290">
        <f>'Measured Data'!U16</f>
        <v>7.3079999999999998</v>
      </c>
      <c r="AM35" s="290">
        <f>'Measured Data'!V16</f>
        <v>2.6469999999999998</v>
      </c>
      <c r="AN35" s="290">
        <f>'Measured Data'!W16</f>
        <v>5.8000000000000003E-2</v>
      </c>
      <c r="AO35" s="290">
        <f>'Measured Data'!X16</f>
        <v>3.4060000000000001</v>
      </c>
      <c r="AP35" s="290">
        <f>'Measured Data'!Y16</f>
        <v>0.26100000000000001</v>
      </c>
      <c r="AQ35" s="290">
        <f>'Measured Data'!Z16</f>
        <v>9.5472812451430986</v>
      </c>
      <c r="AR35" s="290">
        <f>'Measured Data'!AA16</f>
        <v>3.2010000000000001</v>
      </c>
      <c r="AS35" s="290">
        <f>'Measured Data'!AB16</f>
        <v>12.234</v>
      </c>
      <c r="AT35" s="290">
        <f>'Measured Data'!AC16</f>
        <v>0</v>
      </c>
      <c r="AU35" s="290">
        <f>'Measured Data'!AD16</f>
        <v>0</v>
      </c>
      <c r="AV35" s="290">
        <f>'Measured Data'!AE16</f>
        <v>0</v>
      </c>
      <c r="AW35" s="290">
        <f>'Measured Data'!AF16</f>
        <v>11.323268206039078</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238.18333333334886</v>
      </c>
      <c r="AL36" s="290">
        <f>'Measured Data'!U17</f>
        <v>7.4710000000000001</v>
      </c>
      <c r="AM36" s="290">
        <f>'Measured Data'!V17</f>
        <v>2.246</v>
      </c>
      <c r="AN36" s="290">
        <f>'Measured Data'!W17</f>
        <v>5.8999999999999997E-2</v>
      </c>
      <c r="AO36" s="290">
        <f>'Measured Data'!X17</f>
        <v>2.5259999999999998</v>
      </c>
      <c r="AP36" s="290">
        <f>'Measured Data'!Y17</f>
        <v>0.14199999999999999</v>
      </c>
      <c r="AQ36" s="290">
        <f>'Measured Data'!Z17</f>
        <v>6.2723417482626154</v>
      </c>
      <c r="AR36" s="290">
        <f>'Measured Data'!AA17</f>
        <v>3.3319999999999999</v>
      </c>
      <c r="AS36" s="290">
        <f>'Measured Data'!AB17</f>
        <v>8.4719999999999995</v>
      </c>
      <c r="AT36" s="290">
        <f>'Measured Data'!AC17</f>
        <v>0</v>
      </c>
      <c r="AU36" s="290">
        <f>'Measured Data'!AD17</f>
        <v>0</v>
      </c>
      <c r="AV36" s="290">
        <f>'Measured Data'!AE17</f>
        <v>0</v>
      </c>
      <c r="AW36" s="290">
        <f>'Measured Data'!AF17</f>
        <v>8.6589698046181169</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261.83333333325572</v>
      </c>
      <c r="AL37" s="290">
        <f>'Measured Data'!U18</f>
        <v>6.4710000000000001</v>
      </c>
      <c r="AM37" s="290">
        <f>'Measured Data'!V18</f>
        <v>1.889</v>
      </c>
      <c r="AN37" s="290">
        <f>'Measured Data'!W18</f>
        <v>6.8000000000000005E-2</v>
      </c>
      <c r="AO37" s="290">
        <f>'Measured Data'!X18</f>
        <v>2.2080000000000002</v>
      </c>
      <c r="AP37" s="290">
        <f>'Measured Data'!Y18</f>
        <v>8.5999999999999993E-2</v>
      </c>
      <c r="AQ37" s="290">
        <f>'Measured Data'!Z18</f>
        <v>7.8820577721530221</v>
      </c>
      <c r="AR37" s="290">
        <f>'Measured Data'!AA18</f>
        <v>2.7109999999999999</v>
      </c>
      <c r="AS37" s="290">
        <f>'Measured Data'!AB18</f>
        <v>5.944</v>
      </c>
      <c r="AT37" s="290">
        <f>'Measured Data'!AC18</f>
        <v>0</v>
      </c>
      <c r="AU37" s="290">
        <f>'Measured Data'!AD18</f>
        <v>0</v>
      </c>
      <c r="AV37" s="290">
        <f>'Measured Data'!AE18</f>
        <v>0</v>
      </c>
      <c r="AW37" s="290">
        <f>'Measured Data'!AF18</f>
        <v>5.3285968028419184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284.83333333331393</v>
      </c>
      <c r="AL38" s="290">
        <f>'Measured Data'!U19</f>
        <v>4.76</v>
      </c>
      <c r="AM38" s="290">
        <f>'Measured Data'!V19</f>
        <v>1.5740000000000001</v>
      </c>
      <c r="AN38" s="290">
        <f>'Measured Data'!W19</f>
        <v>6.7000000000000004E-2</v>
      </c>
      <c r="AO38" s="290">
        <f>'Measured Data'!X19</f>
        <v>1.716</v>
      </c>
      <c r="AP38" s="290">
        <f>'Measured Data'!Y19</f>
        <v>9.9000000000000005E-2</v>
      </c>
      <c r="AQ38" s="290">
        <f>'Measured Data'!Z19</f>
        <v>8.8811918559470691</v>
      </c>
      <c r="AR38" s="290">
        <f>'Measured Data'!AA19</f>
        <v>2.5529999999999999</v>
      </c>
      <c r="AS38" s="290">
        <f>'Measured Data'!AB19</f>
        <v>3.5590000000000002</v>
      </c>
      <c r="AT38" s="290">
        <f>'Measured Data'!AC19</f>
        <v>0</v>
      </c>
      <c r="AU38" s="290">
        <f>'Measured Data'!AD19</f>
        <v>0</v>
      </c>
      <c r="AV38" s="290">
        <f>'Measured Data'!AE19</f>
        <v>0</v>
      </c>
      <c r="AW38" s="290">
        <f>'Measured Data'!AF19</f>
        <v>3.3303730017761985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A2" sqref="A2:XFD16"/>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583</v>
      </c>
      <c r="C2" s="324" t="s">
        <v>586</v>
      </c>
      <c r="D2">
        <v>1</v>
      </c>
      <c r="E2">
        <f>'Measured Data'!H7</f>
        <v>0.25</v>
      </c>
      <c r="F2" s="477">
        <f>'Measured Data'!K7</f>
        <v>98.2</v>
      </c>
      <c r="G2" t="s">
        <v>513</v>
      </c>
      <c r="H2" s="321">
        <f>'Measured Data'!B7</f>
        <v>2.2222222221898846E-2</v>
      </c>
      <c r="I2" s="322">
        <f>'Measured Data'!C7</f>
        <v>0.53333333332557231</v>
      </c>
      <c r="J2">
        <f>'In Process Calc.'!B3</f>
        <v>2.2222222221898846E-2</v>
      </c>
      <c r="K2">
        <f>'In Process Calc.'!C3</f>
        <v>0.53333333332557231</v>
      </c>
      <c r="L2">
        <f>'Measured Data'!Z7</f>
        <v>33.304469459801503</v>
      </c>
      <c r="M2">
        <f>'Measured Data'!AF7</f>
        <v>0.88809946714031973</v>
      </c>
      <c r="N2">
        <f>'Measured Data'!AA7</f>
        <v>0</v>
      </c>
      <c r="O2">
        <f>'Measured Data'!W7</f>
        <v>6.1109999999999998</v>
      </c>
      <c r="P2">
        <f>'Measured Data'!X7</f>
        <v>1.7030000000000001</v>
      </c>
      <c r="Q2">
        <f>'Growth Regression'!P2</f>
        <v>2.6438696334164732E-2</v>
      </c>
      <c r="R2">
        <f>Q2/'Growth Regression'!$O$24</f>
        <v>0.98645982718651115</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0.80840159635551412</v>
      </c>
      <c r="AL2">
        <f t="array" ref="AL2">INDEX(Transcriptome!E$2:E$28,MATCH(1,(Transcriptome!$A$2:$A$28=$B2)*(Transcriptome!$C$2:$C$28=$G2),0))</f>
        <v>1.5163732496679212</v>
      </c>
      <c r="AM2">
        <f t="array" ref="AM2">INDEX(Transcriptome!F$2:F$28,MATCH(1,(Transcriptome!$A$2:$A$28=$B2)*(Transcriptome!$C$2:$C$28=$G2),0))</f>
        <v>1.1218283788538985</v>
      </c>
      <c r="AN2">
        <f t="array" ref="AN2">INDEX(Transcriptome!G$2:G$28,MATCH(1,(Transcriptome!$A$2:$A$28=$B2)*(Transcriptome!$C$2:$C$28=$G2),0))</f>
        <v>0.54718463568993359</v>
      </c>
      <c r="AO2">
        <f t="array" ref="AO2">INDEX(Transcriptome!H$2:H$28,MATCH(1,(Transcriptome!$A$2:$A$28=$B2)*(Transcriptome!$C$2:$C$28=$G2),0))</f>
        <v>0</v>
      </c>
      <c r="AP2">
        <f t="array" ref="AP2">INDEX(Transcriptome!I$2:I$28,MATCH(1,(Transcriptome!$A$2:$A$28=$B2)*(Transcriptome!$C$2:$C$28=$G2),0))</f>
        <v>1.21326487788329</v>
      </c>
      <c r="AQ2">
        <f t="array" ref="AQ2">INDEX(Transcriptome!J$2:J$28,MATCH(1,(Transcriptome!$A$2:$A$28=$B2)*(Transcriptome!$C$2:$C$28=$G2),0))</f>
        <v>1.0655409214479317</v>
      </c>
      <c r="AR2">
        <f t="array" ref="AR2">INDEX(Transcriptome!K$2:K$28,MATCH(1,(Transcriptome!$A$2:$A$28=$B2)*(Transcriptome!$C$2:$C$28=$G2),0))</f>
        <v>0.99473906672325785</v>
      </c>
      <c r="AS2">
        <f t="array" ref="AS2">INDEX(Transcriptome!L$2:L$28,MATCH(1,(Transcriptome!$A$2:$A$28=$B2)*(Transcriptome!$C$2:$C$28=$G2),0))</f>
        <v>1.0003087268363742</v>
      </c>
      <c r="AT2">
        <f t="array" ref="AT2">INDEX(Transcriptome!M$2:M$28,MATCH(1,(Transcriptome!$A$2:$A$28=$B2)*(Transcriptome!$C$2:$C$28=$G2),0))</f>
        <v>1.3775577585380128</v>
      </c>
      <c r="AU2">
        <f t="array" ref="AU2">INDEX(Transcriptome!N$2:N$28,MATCH(1,(Transcriptome!$A$2:$A$28=$B2)*(Transcriptome!$C$2:$C$28=$G2),0))</f>
        <v>0.81114178526603686</v>
      </c>
      <c r="AV2">
        <f t="array" ref="AV2">INDEX(Transcriptome!O$2:O$28,MATCH(1,(Transcriptome!$A$2:$A$28=$B2)*(Transcriptome!$C$2:$C$28=$G2),0))</f>
        <v>1.1696661685593308</v>
      </c>
      <c r="AW2">
        <f t="array" ref="AW2">INDEX(Transcriptome!P$2:P$28,MATCH(1,(Transcriptome!$A$2:$A$28=$B2)*(Transcriptome!$C$2:$C$28=$G2),0))</f>
        <v>1.2073370579107578</v>
      </c>
      <c r="AX2">
        <f t="array" ref="AX2">INDEX(Transcriptome!Q$2:Q$28,MATCH(1,(Transcriptome!$A$2:$A$28=$B2)*(Transcriptome!$C$2:$C$28=$G2),0))</f>
        <v>0.58362943726722871</v>
      </c>
      <c r="AY2">
        <f t="array" ref="AY2">INDEX(Transcriptome!R$2:R$28,MATCH(1,(Transcriptome!$A$2:$A$28=$B2)*(Transcriptome!$C$2:$C$28=$G2),0))</f>
        <v>0.50376877903698547</v>
      </c>
      <c r="AZ2">
        <f t="array" ref="AZ2">INDEX(Transcriptome!S$2:S$28,MATCH(1,(Transcriptome!$A$2:$A$28=$B2)*(Transcriptome!$C$2:$C$28=$G2),0))</f>
        <v>0.46985710445636059</v>
      </c>
      <c r="BA2">
        <f t="array" ref="BA2">INDEX(Transcriptome!T$2:T$28,MATCH(1,(Transcriptome!$A$2:$A$28=$B2)*(Transcriptome!$C$2:$C$28=$G2),0))</f>
        <v>1.1189256123640647</v>
      </c>
      <c r="BB2">
        <f t="array" ref="BB2">INDEX(Transcriptome!U$2:U$28,MATCH(1,(Transcriptome!$A$2:$A$28=$B2)*(Transcriptome!$C$2:$C$28=$G2),0))</f>
        <v>3.5410137925199292</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0.88665697502311858</v>
      </c>
      <c r="BF2">
        <f t="array" ref="BF2">INDEX(Transcriptome!Y$2:Y$28,MATCH(1,(Transcriptome!$A$2:$A$28=$B2)*(Transcriptome!$C$2:$C$28=$G2),0))</f>
        <v>0</v>
      </c>
      <c r="BG2">
        <f t="array" ref="BG2">INDEX(Transcriptome!Z$2:Z$28,MATCH(1,(Transcriptome!$A$2:$A$28=$B2)*(Transcriptome!$C$2:$C$28=$G2),0))</f>
        <v>1.1899558091643074</v>
      </c>
      <c r="BH2">
        <f t="array" ref="BH2">INDEX(Transcriptome!AA$2:AA$28,MATCH(1,(Transcriptome!$A$2:$A$28=$B2)*(Transcriptome!$C$2:$C$28=$G2),0))</f>
        <v>1.2011425699950584</v>
      </c>
      <c r="BI2">
        <f t="array" ref="BI2">INDEX(Transcriptome!AB$2:AB$28,MATCH(1,(Transcriptome!$A$2:$A$28=$B2)*(Transcriptome!$C$2:$C$28=$G2),0))</f>
        <v>0.42782681289615299</v>
      </c>
      <c r="BJ2">
        <f t="array" ref="BJ2">INDEX(Transcriptome!AC$2:AC$28,MATCH(1,(Transcriptome!$A$2:$A$28=$B2)*(Transcriptome!$C$2:$C$28=$G2),0))</f>
        <v>0.99882183295258842</v>
      </c>
      <c r="BK2">
        <f t="array" ref="BK2">INDEX(Transcriptome!AD$2:AD$28,MATCH(1,(Transcriptome!$A$2:$A$28=$B2)*(Transcriptome!$C$2:$C$28=$G2),0))</f>
        <v>0.85625549574435611</v>
      </c>
      <c r="BL2">
        <f t="array" ref="BL2">INDEX(Transcriptome!AE$2:AE$28,MATCH(1,(Transcriptome!$A$2:$A$28=$B2)*(Transcriptome!$C$2:$C$28=$G2),0))</f>
        <v>1.432947670810945</v>
      </c>
      <c r="BM2">
        <f t="array" ref="BM2">INDEX(Transcriptome!AF$2:AF$28,MATCH(1,(Transcriptome!$A$2:$A$28=$B2)*(Transcriptome!$C$2:$C$28=$G2),0))</f>
        <v>0.59392555830865223</v>
      </c>
      <c r="BN2">
        <f t="array" ref="BN2">INDEX(Transcriptome!AG$2:AG$28,MATCH(1,(Transcriptome!$A$2:$A$28=$B2)*(Transcriptome!$C$2:$C$28=$G2),0))</f>
        <v>0.48730497239940024</v>
      </c>
      <c r="BO2">
        <f t="array" ref="BO2">INDEX(Transcriptome!AH$2:AH$28,MATCH(1,(Transcriptome!$A$2:$A$28=$B2)*(Transcriptome!$C$2:$C$28=$G2),0))</f>
        <v>1.8095179354972706</v>
      </c>
      <c r="BP2">
        <f t="array" ref="BP2">INDEX(Transcriptome!AI$2:AI$28,MATCH(1,(Transcriptome!$A$2:$A$28=$B2)*(Transcriptome!$C$2:$C$28=$G2),0))</f>
        <v>0.71240057843874782</v>
      </c>
      <c r="BQ2">
        <f t="array" ref="BQ2">INDEX(Transcriptome!AJ$2:AJ$28,MATCH(1,(Transcriptome!$A$2:$A$28=$B2)*(Transcriptome!$C$2:$C$28=$G2),0))</f>
        <v>0.87499852201140327</v>
      </c>
      <c r="BR2">
        <f t="array" ref="BR2">INDEX(Transcriptome!AK$2:AK$28,MATCH(1,(Transcriptome!$A$2:$A$28=$B2)*(Transcriptome!$C$2:$C$28=$G2),0))</f>
        <v>0.65277414413996737</v>
      </c>
      <c r="BS2">
        <f t="array" ref="BS2">INDEX(Transcriptome!AL$2:AL$28,MATCH(1,(Transcriptome!$A$2:$A$28=$B2)*(Transcriptome!$C$2:$C$28=$G2),0))</f>
        <v>1</v>
      </c>
      <c r="BT2">
        <f t="array" ref="BT2">INDEX(Transcriptome!AM$2:AM$28,MATCH(1,(Transcriptome!$A$2:$A$28=$B2)*(Transcriptome!$C$2:$C$28=$G2),0))</f>
        <v>0.71122483365382949</v>
      </c>
      <c r="BU2">
        <f t="array" ref="BU2">INDEX(Transcriptome!AN$2:AN$28,MATCH(1,(Transcriptome!$A$2:$A$28=$B2)*(Transcriptome!$C$2:$C$28=$G2),0))</f>
        <v>0.98918496260154987</v>
      </c>
      <c r="BV2">
        <f t="array" ref="BV2">INDEX(Transcriptome!AO$2:AO$28,MATCH(1,(Transcriptome!$A$2:$A$28=$B2)*(Transcriptome!$C$2:$C$28=$G2),0))</f>
        <v>1.0632881677534851</v>
      </c>
      <c r="BW2">
        <f t="array" ref="BW2">INDEX(Transcriptome!AP$2:AP$28,MATCH(1,(Transcriptome!$A$2:$A$28=$B2)*(Transcriptome!$C$2:$C$28=$G2),0))</f>
        <v>1.0207894409757674</v>
      </c>
      <c r="BX2">
        <f t="array" ref="BX2">INDEX(Transcriptome!AQ$2:AQ$28,MATCH(1,(Transcriptome!$A$2:$A$28=$B2)*(Transcriptome!$C$2:$C$28=$G2),0))</f>
        <v>1.3069351817787282</v>
      </c>
      <c r="BY2">
        <f t="array" ref="BY2">INDEX(Transcriptome!AR$2:AR$28,MATCH(1,(Transcriptome!$A$2:$A$28=$B2)*(Transcriptome!$C$2:$C$28=$G2),0))</f>
        <v>0.72172948001285797</v>
      </c>
      <c r="BZ2">
        <f t="array" ref="BZ2">INDEX(Transcriptome!AS$2:AS$28,MATCH(1,(Transcriptome!$A$2:$A$28=$B2)*(Transcriptome!$C$2:$C$28=$G2),0))</f>
        <v>0.88310890556595556</v>
      </c>
      <c r="CA2">
        <f t="array" ref="CA2">INDEX(Transcriptome!AT$2:AT$28,MATCH(1,(Transcriptome!$A$2:$A$28=$B2)*(Transcriptome!$C$2:$C$28=$G2),0))</f>
        <v>0.78068554124751866</v>
      </c>
      <c r="CB2">
        <f t="array" ref="CB2">INDEX(Transcriptome!AU$2:AU$28,MATCH(1,(Transcriptome!$A$2:$A$28=$B2)*(Transcriptome!$C$2:$C$28=$G2),0))</f>
        <v>1.6853604227569587</v>
      </c>
      <c r="CC2">
        <f t="array" ref="CC2">INDEX(Transcriptome!AV$2:AV$28,MATCH(1,(Transcriptome!$A$2:$A$28=$B2)*(Transcriptome!$C$2:$C$28=$G2),0))</f>
        <v>0.60019145421519393</v>
      </c>
      <c r="CD2">
        <f t="array" ref="CD2">INDEX(Transcriptome!AW$2:AW$28,MATCH(1,(Transcriptome!$A$2:$A$28=$B2)*(Transcriptome!$C$2:$C$28=$G2),0))</f>
        <v>0.81640008350667004</v>
      </c>
      <c r="CE2">
        <f t="array" ref="CE2">INDEX(Transcriptome!AX$2:AX$28,MATCH(1,(Transcriptome!$A$2:$A$28=$B2)*(Transcriptome!$C$2:$C$28=$G2),0))</f>
        <v>0.82787377286856667</v>
      </c>
      <c r="CF2">
        <f t="array" ref="CF2">INDEX(Transcriptome!AY$2:AY$28,MATCH(1,(Transcriptome!$A$2:$A$28=$B2)*(Transcriptome!$C$2:$C$28=$G2),0))</f>
        <v>0.89890108706972605</v>
      </c>
      <c r="CG2">
        <f t="array" ref="CG2">INDEX(Transcriptome!AZ$2:AZ$28,MATCH(1,(Transcriptome!$A$2:$A$28=$B2)*(Transcriptome!$C$2:$C$28=$G2),0))</f>
        <v>0.59861399415185224</v>
      </c>
      <c r="CH2">
        <f t="array" ref="CH2">INDEX(Transcriptome!BA$2:BA$28,MATCH(1,(Transcriptome!$A$2:$A$28=$B2)*(Transcriptome!$C$2:$C$28=$G2),0))</f>
        <v>1.8026104389010524</v>
      </c>
      <c r="CI2">
        <f t="array" ref="CI2">INDEX(Transcriptome!BB$2:BB$28,MATCH(1,(Transcriptome!$A$2:$A$28=$B2)*(Transcriptome!$C$2:$C$28=$G2),0))</f>
        <v>2.1137531601340016</v>
      </c>
      <c r="CJ2">
        <f t="array" ref="CJ2">INDEX(Transcriptome!BC$2:BC$28,MATCH(1,(Transcriptome!$A$2:$A$28=$B2)*(Transcriptome!$C$2:$C$28=$G2),0))</f>
        <v>0</v>
      </c>
      <c r="CK2">
        <f t="array" ref="CK2">INDEX(Transcriptome!BD$2:BD$28,MATCH(1,(Transcriptome!$A$2:$A$28=$B2)*(Transcriptome!$C$2:$C$28=$G2),0))</f>
        <v>1.4782234663879816</v>
      </c>
      <c r="CL2">
        <f t="array" ref="CL2">INDEX(Transcriptome!BE$2:BE$28,MATCH(1,(Transcriptome!$A$2:$A$28=$B2)*(Transcriptome!$C$2:$C$28=$G2),0))</f>
        <v>1.4666747772910123</v>
      </c>
      <c r="CM2">
        <f t="array" ref="CM2">INDEX(Transcriptome!BF$2:BF$28,MATCH(1,(Transcriptome!$A$2:$A$28=$B2)*(Transcriptome!$C$2:$C$28=$G2),0))</f>
        <v>1.507625498431161</v>
      </c>
      <c r="CN2">
        <f t="array" ref="CN2">INDEX(Transcriptome!BG$2:BG$28,MATCH(1,(Transcriptome!$A$2:$A$28=$B2)*(Transcriptome!$C$2:$C$28=$G2),0))</f>
        <v>2.5212399808112504</v>
      </c>
      <c r="CO2">
        <f t="array" ref="CO2">INDEX(Transcriptome!BH$2:BH$28,MATCH(1,(Transcriptome!$A$2:$A$28=$B2)*(Transcriptome!$C$2:$C$28=$G2),0))</f>
        <v>0.5793848749027265</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3.5568635172654277</v>
      </c>
      <c r="CS2">
        <f t="array" ref="CS2">INDEX(Transcriptome!BL$2:BL$28,MATCH(1,(Transcriptome!$A$2:$A$28=$B2)*(Transcriptome!$C$2:$C$28=$G2),0))</f>
        <v>2.3392666351837739</v>
      </c>
      <c r="CT2">
        <f t="array" ref="CT2">INDEX(Transcriptome!BM$2:BM$28,MATCH(1,(Transcriptome!$A$2:$A$28=$B2)*(Transcriptome!$C$2:$C$28=$G2),0))</f>
        <v>0.65806154225315017</v>
      </c>
      <c r="CU2">
        <f t="array" ref="CU2">INDEX(Transcriptome!BN$2:BN$28,MATCH(1,(Transcriptome!$A$2:$A$28=$B2)*(Transcriptome!$C$2:$C$28=$G2),0))</f>
        <v>36.47398676016153</v>
      </c>
      <c r="CV2">
        <f t="array" ref="CV2">INDEX(Transcriptome!BO$2:BO$28,MATCH(1,(Transcriptome!$A$2:$A$28=$B2)*(Transcriptome!$C$2:$C$28=$G2),0))</f>
        <v>1.4410124598864966</v>
      </c>
      <c r="CW2">
        <f t="array" ref="CW2">INDEX(Transcriptome!BP$2:BP$28,MATCH(1,(Transcriptome!$A$2:$A$28=$B2)*(Transcriptome!$C$2:$C$28=$G2),0))</f>
        <v>0.5793848749027265</v>
      </c>
      <c r="CX2">
        <f t="array" ref="CX2">INDEX(Transcriptome!BQ$2:BQ$28,MATCH(1,(Transcriptome!$A$2:$A$28=$B2)*(Transcriptome!$C$2:$C$28=$G2),0))</f>
        <v>1</v>
      </c>
      <c r="CY2">
        <f t="array" ref="CY2">INDEX(Transcriptome!BR$2:BR$28,MATCH(1,(Transcriptome!$A$2:$A$28=$B2)*(Transcriptome!$C$2:$C$28=$G2),0))</f>
        <v>1.3555456312582743</v>
      </c>
    </row>
    <row r="3" spans="1:103">
      <c r="A3">
        <f>'Measured Data'!A8</f>
        <v>1</v>
      </c>
      <c r="B3" t="s">
        <v>583</v>
      </c>
      <c r="C3" s="324" t="s">
        <v>586</v>
      </c>
      <c r="D3">
        <v>1</v>
      </c>
      <c r="E3">
        <f>'Measured Data'!H8</f>
        <v>0.40849999914169305</v>
      </c>
      <c r="F3" s="477">
        <f>'Measured Data'!K8</f>
        <v>99.253700256347656</v>
      </c>
      <c r="G3" t="s">
        <v>513</v>
      </c>
      <c r="H3" s="321">
        <f>'Measured Data'!B8</f>
        <v>0.88333333333139308</v>
      </c>
      <c r="I3" s="322">
        <f>'Measured Data'!C8</f>
        <v>21.199999999953434</v>
      </c>
      <c r="J3">
        <f>'In Process Calc.'!B4</f>
        <v>0.88333333333139308</v>
      </c>
      <c r="K3">
        <f>'In Process Calc.'!C4</f>
        <v>21.199999999953434</v>
      </c>
      <c r="L3">
        <f>'Measured Data'!Z8</f>
        <v>33.415484358000839</v>
      </c>
      <c r="M3">
        <f>'Measured Data'!AF8</f>
        <v>1.3321492007104796</v>
      </c>
      <c r="N3">
        <f>'Measured Data'!AA8</f>
        <v>0</v>
      </c>
      <c r="O3">
        <f>'Measured Data'!W8</f>
        <v>5.968</v>
      </c>
      <c r="P3">
        <f>'Measured Data'!X8</f>
        <v>1.7549999999999999</v>
      </c>
      <c r="Q3">
        <f>'Growth Regression'!P3</f>
        <v>2.617640691287184E-2</v>
      </c>
      <c r="R3">
        <f>Q3/'Growth Regression'!$O$24</f>
        <v>0.97667349075255128</v>
      </c>
      <c r="S3">
        <f>'Post Process Calc.'!K4</f>
        <v>5.5096279529410284E-2</v>
      </c>
      <c r="T3">
        <f>'Post Process Calc.'!Q4</f>
        <v>2.8827663182812099E-2</v>
      </c>
      <c r="U3">
        <f>'Post Process Calc.'!L4</f>
        <v>-6.86143953030039E-3</v>
      </c>
      <c r="V3">
        <f>'Post Process Calc.'!H4</f>
        <v>1.3670191841330101E-2</v>
      </c>
      <c r="W3">
        <f>'Post Process Calc.'!I4</f>
        <v>9.2673510411092327E-2</v>
      </c>
      <c r="X3">
        <f>'Post Process Calc.'!AG4</f>
        <v>0.52322340871354023</v>
      </c>
      <c r="Y3">
        <f>S3/0.0016</f>
        <v>34.435174705881423</v>
      </c>
      <c r="Z3">
        <f t="shared" ref="Y3:Z14" si="2">T3/0.0016</f>
        <v>18.017289489257561</v>
      </c>
      <c r="AA3">
        <f t="shared" si="0"/>
        <v>-4.2883997064377439</v>
      </c>
      <c r="AB3">
        <f t="shared" si="0"/>
        <v>8.5438699008313126</v>
      </c>
      <c r="AC3">
        <f t="shared" si="0"/>
        <v>57.9209440069327</v>
      </c>
      <c r="AD3">
        <v>100</v>
      </c>
      <c r="AE3">
        <v>0.32</v>
      </c>
      <c r="AF3">
        <v>7</v>
      </c>
      <c r="AG3">
        <v>0.7</v>
      </c>
      <c r="AH3">
        <f t="shared" si="1"/>
        <v>5.0118723362727164E-8</v>
      </c>
      <c r="AI3">
        <v>1</v>
      </c>
      <c r="AJ3">
        <v>0.311</v>
      </c>
      <c r="AK3">
        <f t="array" ref="AK3">INDEX(Transcriptome!D$2:D$28,MATCH(1,(Transcriptome!$A$2:$A$28=$B3)*(Transcriptome!$C$2:$C$28=$G3),0))</f>
        <v>0.80840159635551412</v>
      </c>
      <c r="AL3">
        <f t="array" ref="AL3">INDEX(Transcriptome!E$2:E$28,MATCH(1,(Transcriptome!$A$2:$A$28=$B3)*(Transcriptome!$C$2:$C$28=$G3),0))</f>
        <v>1.5163732496679212</v>
      </c>
      <c r="AM3">
        <f t="array" ref="AM3">INDEX(Transcriptome!F$2:F$28,MATCH(1,(Transcriptome!$A$2:$A$28=$B3)*(Transcriptome!$C$2:$C$28=$G3),0))</f>
        <v>1.1218283788538985</v>
      </c>
      <c r="AN3">
        <f t="array" ref="AN3">INDEX(Transcriptome!G$2:G$28,MATCH(1,(Transcriptome!$A$2:$A$28=$B3)*(Transcriptome!$C$2:$C$28=$G3),0))</f>
        <v>0.54718463568993359</v>
      </c>
      <c r="AO3">
        <f t="array" ref="AO3">INDEX(Transcriptome!H$2:H$28,MATCH(1,(Transcriptome!$A$2:$A$28=$B3)*(Transcriptome!$C$2:$C$28=$G3),0))</f>
        <v>0</v>
      </c>
      <c r="AP3">
        <f t="array" ref="AP3">INDEX(Transcriptome!I$2:I$28,MATCH(1,(Transcriptome!$A$2:$A$28=$B3)*(Transcriptome!$C$2:$C$28=$G3),0))</f>
        <v>1.21326487788329</v>
      </c>
      <c r="AQ3">
        <f t="array" ref="AQ3">INDEX(Transcriptome!J$2:J$28,MATCH(1,(Transcriptome!$A$2:$A$28=$B3)*(Transcriptome!$C$2:$C$28=$G3),0))</f>
        <v>1.0655409214479317</v>
      </c>
      <c r="AR3">
        <f t="array" ref="AR3">INDEX(Transcriptome!K$2:K$28,MATCH(1,(Transcriptome!$A$2:$A$28=$B3)*(Transcriptome!$C$2:$C$28=$G3),0))</f>
        <v>0.99473906672325785</v>
      </c>
      <c r="AS3">
        <f t="array" ref="AS3">INDEX(Transcriptome!L$2:L$28,MATCH(1,(Transcriptome!$A$2:$A$28=$B3)*(Transcriptome!$C$2:$C$28=$G3),0))</f>
        <v>1.0003087268363742</v>
      </c>
      <c r="AT3">
        <f t="array" ref="AT3">INDEX(Transcriptome!M$2:M$28,MATCH(1,(Transcriptome!$A$2:$A$28=$B3)*(Transcriptome!$C$2:$C$28=$G3),0))</f>
        <v>1.3775577585380128</v>
      </c>
      <c r="AU3">
        <f t="array" ref="AU3">INDEX(Transcriptome!N$2:N$28,MATCH(1,(Transcriptome!$A$2:$A$28=$B3)*(Transcriptome!$C$2:$C$28=$G3),0))</f>
        <v>0.81114178526603686</v>
      </c>
      <c r="AV3">
        <f t="array" ref="AV3">INDEX(Transcriptome!O$2:O$28,MATCH(1,(Transcriptome!$A$2:$A$28=$B3)*(Transcriptome!$C$2:$C$28=$G3),0))</f>
        <v>1.1696661685593308</v>
      </c>
      <c r="AW3">
        <f t="array" ref="AW3">INDEX(Transcriptome!P$2:P$28,MATCH(1,(Transcriptome!$A$2:$A$28=$B3)*(Transcriptome!$C$2:$C$28=$G3),0))</f>
        <v>1.2073370579107578</v>
      </c>
      <c r="AX3">
        <f t="array" ref="AX3">INDEX(Transcriptome!Q$2:Q$28,MATCH(1,(Transcriptome!$A$2:$A$28=$B3)*(Transcriptome!$C$2:$C$28=$G3),0))</f>
        <v>0.58362943726722871</v>
      </c>
      <c r="AY3">
        <f t="array" ref="AY3">INDEX(Transcriptome!R$2:R$28,MATCH(1,(Transcriptome!$A$2:$A$28=$B3)*(Transcriptome!$C$2:$C$28=$G3),0))</f>
        <v>0.50376877903698547</v>
      </c>
      <c r="AZ3">
        <f t="array" ref="AZ3">INDEX(Transcriptome!S$2:S$28,MATCH(1,(Transcriptome!$A$2:$A$28=$B3)*(Transcriptome!$C$2:$C$28=$G3),0))</f>
        <v>0.46985710445636059</v>
      </c>
      <c r="BA3">
        <f t="array" ref="BA3">INDEX(Transcriptome!T$2:T$28,MATCH(1,(Transcriptome!$A$2:$A$28=$B3)*(Transcriptome!$C$2:$C$28=$G3),0))</f>
        <v>1.1189256123640647</v>
      </c>
      <c r="BB3">
        <f t="array" ref="BB3">INDEX(Transcriptome!U$2:U$28,MATCH(1,(Transcriptome!$A$2:$A$28=$B3)*(Transcriptome!$C$2:$C$28=$G3),0))</f>
        <v>3.5410137925199292</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0.88665697502311858</v>
      </c>
      <c r="BF3">
        <f t="array" ref="BF3">INDEX(Transcriptome!Y$2:Y$28,MATCH(1,(Transcriptome!$A$2:$A$28=$B3)*(Transcriptome!$C$2:$C$28=$G3),0))</f>
        <v>0</v>
      </c>
      <c r="BG3">
        <f t="array" ref="BG3">INDEX(Transcriptome!Z$2:Z$28,MATCH(1,(Transcriptome!$A$2:$A$28=$B3)*(Transcriptome!$C$2:$C$28=$G3),0))</f>
        <v>1.1899558091643074</v>
      </c>
      <c r="BH3">
        <f t="array" ref="BH3">INDEX(Transcriptome!AA$2:AA$28,MATCH(1,(Transcriptome!$A$2:$A$28=$B3)*(Transcriptome!$C$2:$C$28=$G3),0))</f>
        <v>1.2011425699950584</v>
      </c>
      <c r="BI3">
        <f t="array" ref="BI3">INDEX(Transcriptome!AB$2:AB$28,MATCH(1,(Transcriptome!$A$2:$A$28=$B3)*(Transcriptome!$C$2:$C$28=$G3),0))</f>
        <v>0.42782681289615299</v>
      </c>
      <c r="BJ3">
        <f t="array" ref="BJ3">INDEX(Transcriptome!AC$2:AC$28,MATCH(1,(Transcriptome!$A$2:$A$28=$B3)*(Transcriptome!$C$2:$C$28=$G3),0))</f>
        <v>0.99882183295258842</v>
      </c>
      <c r="BK3">
        <f t="array" ref="BK3">INDEX(Transcriptome!AD$2:AD$28,MATCH(1,(Transcriptome!$A$2:$A$28=$B3)*(Transcriptome!$C$2:$C$28=$G3),0))</f>
        <v>0.85625549574435611</v>
      </c>
      <c r="BL3">
        <f t="array" ref="BL3">INDEX(Transcriptome!AE$2:AE$28,MATCH(1,(Transcriptome!$A$2:$A$28=$B3)*(Transcriptome!$C$2:$C$28=$G3),0))</f>
        <v>1.432947670810945</v>
      </c>
      <c r="BM3">
        <f t="array" ref="BM3">INDEX(Transcriptome!AF$2:AF$28,MATCH(1,(Transcriptome!$A$2:$A$28=$B3)*(Transcriptome!$C$2:$C$28=$G3),0))</f>
        <v>0.59392555830865223</v>
      </c>
      <c r="BN3">
        <f t="array" ref="BN3">INDEX(Transcriptome!AG$2:AG$28,MATCH(1,(Transcriptome!$A$2:$A$28=$B3)*(Transcriptome!$C$2:$C$28=$G3),0))</f>
        <v>0.48730497239940024</v>
      </c>
      <c r="BO3">
        <f t="array" ref="BO3">INDEX(Transcriptome!AH$2:AH$28,MATCH(1,(Transcriptome!$A$2:$A$28=$B3)*(Transcriptome!$C$2:$C$28=$G3),0))</f>
        <v>1.8095179354972706</v>
      </c>
      <c r="BP3">
        <f t="array" ref="BP3">INDEX(Transcriptome!AI$2:AI$28,MATCH(1,(Transcriptome!$A$2:$A$28=$B3)*(Transcriptome!$C$2:$C$28=$G3),0))</f>
        <v>0.71240057843874782</v>
      </c>
      <c r="BQ3">
        <f t="array" ref="BQ3">INDEX(Transcriptome!AJ$2:AJ$28,MATCH(1,(Transcriptome!$A$2:$A$28=$B3)*(Transcriptome!$C$2:$C$28=$G3),0))</f>
        <v>0.87499852201140327</v>
      </c>
      <c r="BR3">
        <f t="array" ref="BR3">INDEX(Transcriptome!AK$2:AK$28,MATCH(1,(Transcriptome!$A$2:$A$28=$B3)*(Transcriptome!$C$2:$C$28=$G3),0))</f>
        <v>0.65277414413996737</v>
      </c>
      <c r="BS3">
        <f t="array" ref="BS3">INDEX(Transcriptome!AL$2:AL$28,MATCH(1,(Transcriptome!$A$2:$A$28=$B3)*(Transcriptome!$C$2:$C$28=$G3),0))</f>
        <v>1</v>
      </c>
      <c r="BT3">
        <f t="array" ref="BT3">INDEX(Transcriptome!AM$2:AM$28,MATCH(1,(Transcriptome!$A$2:$A$28=$B3)*(Transcriptome!$C$2:$C$28=$G3),0))</f>
        <v>0.71122483365382949</v>
      </c>
      <c r="BU3">
        <f t="array" ref="BU3">INDEX(Transcriptome!AN$2:AN$28,MATCH(1,(Transcriptome!$A$2:$A$28=$B3)*(Transcriptome!$C$2:$C$28=$G3),0))</f>
        <v>0.98918496260154987</v>
      </c>
      <c r="BV3">
        <f t="array" ref="BV3">INDEX(Transcriptome!AO$2:AO$28,MATCH(1,(Transcriptome!$A$2:$A$28=$B3)*(Transcriptome!$C$2:$C$28=$G3),0))</f>
        <v>1.0632881677534851</v>
      </c>
      <c r="BW3">
        <f t="array" ref="BW3">INDEX(Transcriptome!AP$2:AP$28,MATCH(1,(Transcriptome!$A$2:$A$28=$B3)*(Transcriptome!$C$2:$C$28=$G3),0))</f>
        <v>1.0207894409757674</v>
      </c>
      <c r="BX3">
        <f t="array" ref="BX3">INDEX(Transcriptome!AQ$2:AQ$28,MATCH(1,(Transcriptome!$A$2:$A$28=$B3)*(Transcriptome!$C$2:$C$28=$G3),0))</f>
        <v>1.3069351817787282</v>
      </c>
      <c r="BY3">
        <f t="array" ref="BY3">INDEX(Transcriptome!AR$2:AR$28,MATCH(1,(Transcriptome!$A$2:$A$28=$B3)*(Transcriptome!$C$2:$C$28=$G3),0))</f>
        <v>0.72172948001285797</v>
      </c>
      <c r="BZ3">
        <f t="array" ref="BZ3">INDEX(Transcriptome!AS$2:AS$28,MATCH(1,(Transcriptome!$A$2:$A$28=$B3)*(Transcriptome!$C$2:$C$28=$G3),0))</f>
        <v>0.88310890556595556</v>
      </c>
      <c r="CA3">
        <f t="array" ref="CA3">INDEX(Transcriptome!AT$2:AT$28,MATCH(1,(Transcriptome!$A$2:$A$28=$B3)*(Transcriptome!$C$2:$C$28=$G3),0))</f>
        <v>0.78068554124751866</v>
      </c>
      <c r="CB3">
        <f t="array" ref="CB3">INDEX(Transcriptome!AU$2:AU$28,MATCH(1,(Transcriptome!$A$2:$A$28=$B3)*(Transcriptome!$C$2:$C$28=$G3),0))</f>
        <v>1.6853604227569587</v>
      </c>
      <c r="CC3">
        <f t="array" ref="CC3">INDEX(Transcriptome!AV$2:AV$28,MATCH(1,(Transcriptome!$A$2:$A$28=$B3)*(Transcriptome!$C$2:$C$28=$G3),0))</f>
        <v>0.60019145421519393</v>
      </c>
      <c r="CD3">
        <f t="array" ref="CD3">INDEX(Transcriptome!AW$2:AW$28,MATCH(1,(Transcriptome!$A$2:$A$28=$B3)*(Transcriptome!$C$2:$C$28=$G3),0))</f>
        <v>0.81640008350667004</v>
      </c>
      <c r="CE3">
        <f t="array" ref="CE3">INDEX(Transcriptome!AX$2:AX$28,MATCH(1,(Transcriptome!$A$2:$A$28=$B3)*(Transcriptome!$C$2:$C$28=$G3),0))</f>
        <v>0.82787377286856667</v>
      </c>
      <c r="CF3">
        <f t="array" ref="CF3">INDEX(Transcriptome!AY$2:AY$28,MATCH(1,(Transcriptome!$A$2:$A$28=$B3)*(Transcriptome!$C$2:$C$28=$G3),0))</f>
        <v>0.89890108706972605</v>
      </c>
      <c r="CG3">
        <f t="array" ref="CG3">INDEX(Transcriptome!AZ$2:AZ$28,MATCH(1,(Transcriptome!$A$2:$A$28=$B3)*(Transcriptome!$C$2:$C$28=$G3),0))</f>
        <v>0.59861399415185224</v>
      </c>
      <c r="CH3">
        <f t="array" ref="CH3">INDEX(Transcriptome!BA$2:BA$28,MATCH(1,(Transcriptome!$A$2:$A$28=$B3)*(Transcriptome!$C$2:$C$28=$G3),0))</f>
        <v>1.8026104389010524</v>
      </c>
      <c r="CI3">
        <f t="array" ref="CI3">INDEX(Transcriptome!BB$2:BB$28,MATCH(1,(Transcriptome!$A$2:$A$28=$B3)*(Transcriptome!$C$2:$C$28=$G3),0))</f>
        <v>2.1137531601340016</v>
      </c>
      <c r="CJ3">
        <f t="array" ref="CJ3">INDEX(Transcriptome!BC$2:BC$28,MATCH(1,(Transcriptome!$A$2:$A$28=$B3)*(Transcriptome!$C$2:$C$28=$G3),0))</f>
        <v>0</v>
      </c>
      <c r="CK3">
        <f t="array" ref="CK3">INDEX(Transcriptome!BD$2:BD$28,MATCH(1,(Transcriptome!$A$2:$A$28=$B3)*(Transcriptome!$C$2:$C$28=$G3),0))</f>
        <v>1.4782234663879816</v>
      </c>
      <c r="CL3">
        <f t="array" ref="CL3">INDEX(Transcriptome!BE$2:BE$28,MATCH(1,(Transcriptome!$A$2:$A$28=$B3)*(Transcriptome!$C$2:$C$28=$G3),0))</f>
        <v>1.4666747772910123</v>
      </c>
      <c r="CM3">
        <f t="array" ref="CM3">INDEX(Transcriptome!BF$2:BF$28,MATCH(1,(Transcriptome!$A$2:$A$28=$B3)*(Transcriptome!$C$2:$C$28=$G3),0))</f>
        <v>1.507625498431161</v>
      </c>
      <c r="CN3">
        <f t="array" ref="CN3">INDEX(Transcriptome!BG$2:BG$28,MATCH(1,(Transcriptome!$A$2:$A$28=$B3)*(Transcriptome!$C$2:$C$28=$G3),0))</f>
        <v>2.5212399808112504</v>
      </c>
      <c r="CO3">
        <f t="array" ref="CO3">INDEX(Transcriptome!BH$2:BH$28,MATCH(1,(Transcriptome!$A$2:$A$28=$B3)*(Transcriptome!$C$2:$C$28=$G3),0))</f>
        <v>0.5793848749027265</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3.5568635172654277</v>
      </c>
      <c r="CS3">
        <f t="array" ref="CS3">INDEX(Transcriptome!BL$2:BL$28,MATCH(1,(Transcriptome!$A$2:$A$28=$B3)*(Transcriptome!$C$2:$C$28=$G3),0))</f>
        <v>2.3392666351837739</v>
      </c>
      <c r="CT3">
        <f t="array" ref="CT3">INDEX(Transcriptome!BM$2:BM$28,MATCH(1,(Transcriptome!$A$2:$A$28=$B3)*(Transcriptome!$C$2:$C$28=$G3),0))</f>
        <v>0.65806154225315017</v>
      </c>
      <c r="CU3">
        <f t="array" ref="CU3">INDEX(Transcriptome!BN$2:BN$28,MATCH(1,(Transcriptome!$A$2:$A$28=$B3)*(Transcriptome!$C$2:$C$28=$G3),0))</f>
        <v>36.47398676016153</v>
      </c>
      <c r="CV3">
        <f t="array" ref="CV3">INDEX(Transcriptome!BO$2:BO$28,MATCH(1,(Transcriptome!$A$2:$A$28=$B3)*(Transcriptome!$C$2:$C$28=$G3),0))</f>
        <v>1.4410124598864966</v>
      </c>
      <c r="CW3">
        <f t="array" ref="CW3">INDEX(Transcriptome!BP$2:BP$28,MATCH(1,(Transcriptome!$A$2:$A$28=$B3)*(Transcriptome!$C$2:$C$28=$G3),0))</f>
        <v>0.5793848749027265</v>
      </c>
      <c r="CX3">
        <f t="array" ref="CX3">INDEX(Transcriptome!BQ$2:BQ$28,MATCH(1,(Transcriptome!$A$2:$A$28=$B3)*(Transcriptome!$C$2:$C$28=$G3),0))</f>
        <v>1</v>
      </c>
      <c r="CY3">
        <f t="array" ref="CY3">INDEX(Transcriptome!BR$2:BR$28,MATCH(1,(Transcriptome!$A$2:$A$28=$B3)*(Transcriptome!$C$2:$C$28=$G3),0))</f>
        <v>1.3555456312582743</v>
      </c>
    </row>
    <row r="4" spans="1:103">
      <c r="A4">
        <f>'Measured Data'!A9</f>
        <v>2</v>
      </c>
      <c r="B4" t="s">
        <v>583</v>
      </c>
      <c r="C4" s="324" t="s">
        <v>586</v>
      </c>
      <c r="D4">
        <v>1</v>
      </c>
      <c r="E4">
        <f>'Measured Data'!H9</f>
        <v>0.79</v>
      </c>
      <c r="F4" s="477">
        <f>'Measured Data'!K9</f>
        <v>99</v>
      </c>
      <c r="G4" t="s">
        <v>513</v>
      </c>
      <c r="H4" s="321">
        <f>'Measured Data'!B9</f>
        <v>2.0194444444423425</v>
      </c>
      <c r="I4" s="322">
        <f>'Measured Data'!C9</f>
        <v>48.46666666661622</v>
      </c>
      <c r="J4">
        <f>'In Process Calc.'!B5</f>
        <v>2.0194444444423425</v>
      </c>
      <c r="K4">
        <f>'In Process Calc.'!C5</f>
        <v>48.46666666661622</v>
      </c>
      <c r="L4">
        <f>'Measured Data'!Z9</f>
        <v>31.972290681409444</v>
      </c>
      <c r="M4">
        <f>'Measured Data'!AF9</f>
        <v>2.5532859680284195</v>
      </c>
      <c r="N4">
        <f>'Measured Data'!AA9</f>
        <v>0.26600000000000001</v>
      </c>
      <c r="O4">
        <f>'Measured Data'!W9</f>
        <v>5.2069999999999999</v>
      </c>
      <c r="P4">
        <f>'Measured Data'!X9</f>
        <v>1.728</v>
      </c>
      <c r="Q4">
        <f>'Growth Regression'!P4</f>
        <v>2.5535064670795828E-2</v>
      </c>
      <c r="R4">
        <f>Q4/'Growth Regression'!$O$24</f>
        <v>0.95274423382969109</v>
      </c>
      <c r="S4">
        <f>'Post Process Calc.'!K5</f>
        <v>9.3465513653296001E-2</v>
      </c>
      <c r="T4">
        <f>'Post Process Calc.'!Q5</f>
        <v>6.7210332266750106E-2</v>
      </c>
      <c r="U4">
        <f>'Post Process Calc.'!L5</f>
        <v>3.4893971256530283E-3</v>
      </c>
      <c r="V4">
        <f>'Post Process Calc.'!H5</f>
        <v>-3.3469966757559864E-3</v>
      </c>
      <c r="W4">
        <f>'Post Process Calc.'!I5</f>
        <v>-8.5129385370001087E-3</v>
      </c>
      <c r="X4">
        <f>'Post Process Calc.'!AG5</f>
        <v>0.71909231158844622</v>
      </c>
      <c r="Y4">
        <f t="shared" si="2"/>
        <v>58.41594603331</v>
      </c>
      <c r="Z4">
        <f t="shared" si="2"/>
        <v>42.006457666718816</v>
      </c>
      <c r="AA4">
        <f t="shared" si="0"/>
        <v>2.1808732035331424</v>
      </c>
      <c r="AB4">
        <f t="shared" si="0"/>
        <v>-2.0918729223474912</v>
      </c>
      <c r="AC4">
        <f t="shared" si="0"/>
        <v>-5.320586585625068</v>
      </c>
      <c r="AD4">
        <v>100</v>
      </c>
      <c r="AE4">
        <v>0.32</v>
      </c>
      <c r="AF4">
        <v>7</v>
      </c>
      <c r="AG4">
        <v>0.7</v>
      </c>
      <c r="AH4">
        <f t="shared" si="1"/>
        <v>5.0118723362727164E-8</v>
      </c>
      <c r="AI4">
        <v>1</v>
      </c>
      <c r="AJ4">
        <v>0.311</v>
      </c>
      <c r="AK4">
        <f t="array" ref="AK4">INDEX(Transcriptome!D$2:D$28,MATCH(1,(Transcriptome!$A$2:$A$28=$B4)*(Transcriptome!$C$2:$C$28=$G4),0))</f>
        <v>0.80840159635551412</v>
      </c>
      <c r="AL4">
        <f t="array" ref="AL4">INDEX(Transcriptome!E$2:E$28,MATCH(1,(Transcriptome!$A$2:$A$28=$B4)*(Transcriptome!$C$2:$C$28=$G4),0))</f>
        <v>1.5163732496679212</v>
      </c>
      <c r="AM4">
        <f t="array" ref="AM4">INDEX(Transcriptome!F$2:F$28,MATCH(1,(Transcriptome!$A$2:$A$28=$B4)*(Transcriptome!$C$2:$C$28=$G4),0))</f>
        <v>1.1218283788538985</v>
      </c>
      <c r="AN4">
        <f t="array" ref="AN4">INDEX(Transcriptome!G$2:G$28,MATCH(1,(Transcriptome!$A$2:$A$28=$B4)*(Transcriptome!$C$2:$C$28=$G4),0))</f>
        <v>0.54718463568993359</v>
      </c>
      <c r="AO4">
        <f t="array" ref="AO4">INDEX(Transcriptome!H$2:H$28,MATCH(1,(Transcriptome!$A$2:$A$28=$B4)*(Transcriptome!$C$2:$C$28=$G4),0))</f>
        <v>0</v>
      </c>
      <c r="AP4">
        <f t="array" ref="AP4">INDEX(Transcriptome!I$2:I$28,MATCH(1,(Transcriptome!$A$2:$A$28=$B4)*(Transcriptome!$C$2:$C$28=$G4),0))</f>
        <v>1.21326487788329</v>
      </c>
      <c r="AQ4">
        <f t="array" ref="AQ4">INDEX(Transcriptome!J$2:J$28,MATCH(1,(Transcriptome!$A$2:$A$28=$B4)*(Transcriptome!$C$2:$C$28=$G4),0))</f>
        <v>1.0655409214479317</v>
      </c>
      <c r="AR4">
        <f t="array" ref="AR4">INDEX(Transcriptome!K$2:K$28,MATCH(1,(Transcriptome!$A$2:$A$28=$B4)*(Transcriptome!$C$2:$C$28=$G4),0))</f>
        <v>0.99473906672325785</v>
      </c>
      <c r="AS4">
        <f t="array" ref="AS4">INDEX(Transcriptome!L$2:L$28,MATCH(1,(Transcriptome!$A$2:$A$28=$B4)*(Transcriptome!$C$2:$C$28=$G4),0))</f>
        <v>1.0003087268363742</v>
      </c>
      <c r="AT4">
        <f t="array" ref="AT4">INDEX(Transcriptome!M$2:M$28,MATCH(1,(Transcriptome!$A$2:$A$28=$B4)*(Transcriptome!$C$2:$C$28=$G4),0))</f>
        <v>1.3775577585380128</v>
      </c>
      <c r="AU4">
        <f t="array" ref="AU4">INDEX(Transcriptome!N$2:N$28,MATCH(1,(Transcriptome!$A$2:$A$28=$B4)*(Transcriptome!$C$2:$C$28=$G4),0))</f>
        <v>0.81114178526603686</v>
      </c>
      <c r="AV4">
        <f t="array" ref="AV4">INDEX(Transcriptome!O$2:O$28,MATCH(1,(Transcriptome!$A$2:$A$28=$B4)*(Transcriptome!$C$2:$C$28=$G4),0))</f>
        <v>1.1696661685593308</v>
      </c>
      <c r="AW4">
        <f t="array" ref="AW4">INDEX(Transcriptome!P$2:P$28,MATCH(1,(Transcriptome!$A$2:$A$28=$B4)*(Transcriptome!$C$2:$C$28=$G4),0))</f>
        <v>1.2073370579107578</v>
      </c>
      <c r="AX4">
        <f t="array" ref="AX4">INDEX(Transcriptome!Q$2:Q$28,MATCH(1,(Transcriptome!$A$2:$A$28=$B4)*(Transcriptome!$C$2:$C$28=$G4),0))</f>
        <v>0.58362943726722871</v>
      </c>
      <c r="AY4">
        <f t="array" ref="AY4">INDEX(Transcriptome!R$2:R$28,MATCH(1,(Transcriptome!$A$2:$A$28=$B4)*(Transcriptome!$C$2:$C$28=$G4),0))</f>
        <v>0.50376877903698547</v>
      </c>
      <c r="AZ4">
        <f t="array" ref="AZ4">INDEX(Transcriptome!S$2:S$28,MATCH(1,(Transcriptome!$A$2:$A$28=$B4)*(Transcriptome!$C$2:$C$28=$G4),0))</f>
        <v>0.46985710445636059</v>
      </c>
      <c r="BA4">
        <f t="array" ref="BA4">INDEX(Transcriptome!T$2:T$28,MATCH(1,(Transcriptome!$A$2:$A$28=$B4)*(Transcriptome!$C$2:$C$28=$G4),0))</f>
        <v>1.1189256123640647</v>
      </c>
      <c r="BB4">
        <f t="array" ref="BB4">INDEX(Transcriptome!U$2:U$28,MATCH(1,(Transcriptome!$A$2:$A$28=$B4)*(Transcriptome!$C$2:$C$28=$G4),0))</f>
        <v>3.5410137925199292</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0.88665697502311858</v>
      </c>
      <c r="BF4">
        <f t="array" ref="BF4">INDEX(Transcriptome!Y$2:Y$28,MATCH(1,(Transcriptome!$A$2:$A$28=$B4)*(Transcriptome!$C$2:$C$28=$G4),0))</f>
        <v>0</v>
      </c>
      <c r="BG4">
        <f t="array" ref="BG4">INDEX(Transcriptome!Z$2:Z$28,MATCH(1,(Transcriptome!$A$2:$A$28=$B4)*(Transcriptome!$C$2:$C$28=$G4),0))</f>
        <v>1.1899558091643074</v>
      </c>
      <c r="BH4">
        <f t="array" ref="BH4">INDEX(Transcriptome!AA$2:AA$28,MATCH(1,(Transcriptome!$A$2:$A$28=$B4)*(Transcriptome!$C$2:$C$28=$G4),0))</f>
        <v>1.2011425699950584</v>
      </c>
      <c r="BI4">
        <f t="array" ref="BI4">INDEX(Transcriptome!AB$2:AB$28,MATCH(1,(Transcriptome!$A$2:$A$28=$B4)*(Transcriptome!$C$2:$C$28=$G4),0))</f>
        <v>0.42782681289615299</v>
      </c>
      <c r="BJ4">
        <f t="array" ref="BJ4">INDEX(Transcriptome!AC$2:AC$28,MATCH(1,(Transcriptome!$A$2:$A$28=$B4)*(Transcriptome!$C$2:$C$28=$G4),0))</f>
        <v>0.99882183295258842</v>
      </c>
      <c r="BK4">
        <f t="array" ref="BK4">INDEX(Transcriptome!AD$2:AD$28,MATCH(1,(Transcriptome!$A$2:$A$28=$B4)*(Transcriptome!$C$2:$C$28=$G4),0))</f>
        <v>0.85625549574435611</v>
      </c>
      <c r="BL4">
        <f t="array" ref="BL4">INDEX(Transcriptome!AE$2:AE$28,MATCH(1,(Transcriptome!$A$2:$A$28=$B4)*(Transcriptome!$C$2:$C$28=$G4),0))</f>
        <v>1.432947670810945</v>
      </c>
      <c r="BM4">
        <f t="array" ref="BM4">INDEX(Transcriptome!AF$2:AF$28,MATCH(1,(Transcriptome!$A$2:$A$28=$B4)*(Transcriptome!$C$2:$C$28=$G4),0))</f>
        <v>0.59392555830865223</v>
      </c>
      <c r="BN4">
        <f t="array" ref="BN4">INDEX(Transcriptome!AG$2:AG$28,MATCH(1,(Transcriptome!$A$2:$A$28=$B4)*(Transcriptome!$C$2:$C$28=$G4),0))</f>
        <v>0.48730497239940024</v>
      </c>
      <c r="BO4">
        <f t="array" ref="BO4">INDEX(Transcriptome!AH$2:AH$28,MATCH(1,(Transcriptome!$A$2:$A$28=$B4)*(Transcriptome!$C$2:$C$28=$G4),0))</f>
        <v>1.8095179354972706</v>
      </c>
      <c r="BP4">
        <f t="array" ref="BP4">INDEX(Transcriptome!AI$2:AI$28,MATCH(1,(Transcriptome!$A$2:$A$28=$B4)*(Transcriptome!$C$2:$C$28=$G4),0))</f>
        <v>0.71240057843874782</v>
      </c>
      <c r="BQ4">
        <f t="array" ref="BQ4">INDEX(Transcriptome!AJ$2:AJ$28,MATCH(1,(Transcriptome!$A$2:$A$28=$B4)*(Transcriptome!$C$2:$C$28=$G4),0))</f>
        <v>0.87499852201140327</v>
      </c>
      <c r="BR4">
        <f t="array" ref="BR4">INDEX(Transcriptome!AK$2:AK$28,MATCH(1,(Transcriptome!$A$2:$A$28=$B4)*(Transcriptome!$C$2:$C$28=$G4),0))</f>
        <v>0.65277414413996737</v>
      </c>
      <c r="BS4">
        <f t="array" ref="BS4">INDEX(Transcriptome!AL$2:AL$28,MATCH(1,(Transcriptome!$A$2:$A$28=$B4)*(Transcriptome!$C$2:$C$28=$G4),0))</f>
        <v>1</v>
      </c>
      <c r="BT4">
        <f t="array" ref="BT4">INDEX(Transcriptome!AM$2:AM$28,MATCH(1,(Transcriptome!$A$2:$A$28=$B4)*(Transcriptome!$C$2:$C$28=$G4),0))</f>
        <v>0.71122483365382949</v>
      </c>
      <c r="BU4">
        <f t="array" ref="BU4">INDEX(Transcriptome!AN$2:AN$28,MATCH(1,(Transcriptome!$A$2:$A$28=$B4)*(Transcriptome!$C$2:$C$28=$G4),0))</f>
        <v>0.98918496260154987</v>
      </c>
      <c r="BV4">
        <f t="array" ref="BV4">INDEX(Transcriptome!AO$2:AO$28,MATCH(1,(Transcriptome!$A$2:$A$28=$B4)*(Transcriptome!$C$2:$C$28=$G4),0))</f>
        <v>1.0632881677534851</v>
      </c>
      <c r="BW4">
        <f t="array" ref="BW4">INDEX(Transcriptome!AP$2:AP$28,MATCH(1,(Transcriptome!$A$2:$A$28=$B4)*(Transcriptome!$C$2:$C$28=$G4),0))</f>
        <v>1.0207894409757674</v>
      </c>
      <c r="BX4">
        <f t="array" ref="BX4">INDEX(Transcriptome!AQ$2:AQ$28,MATCH(1,(Transcriptome!$A$2:$A$28=$B4)*(Transcriptome!$C$2:$C$28=$G4),0))</f>
        <v>1.3069351817787282</v>
      </c>
      <c r="BY4">
        <f t="array" ref="BY4">INDEX(Transcriptome!AR$2:AR$28,MATCH(1,(Transcriptome!$A$2:$A$28=$B4)*(Transcriptome!$C$2:$C$28=$G4),0))</f>
        <v>0.72172948001285797</v>
      </c>
      <c r="BZ4">
        <f t="array" ref="BZ4">INDEX(Transcriptome!AS$2:AS$28,MATCH(1,(Transcriptome!$A$2:$A$28=$B4)*(Transcriptome!$C$2:$C$28=$G4),0))</f>
        <v>0.88310890556595556</v>
      </c>
      <c r="CA4">
        <f t="array" ref="CA4">INDEX(Transcriptome!AT$2:AT$28,MATCH(1,(Transcriptome!$A$2:$A$28=$B4)*(Transcriptome!$C$2:$C$28=$G4),0))</f>
        <v>0.78068554124751866</v>
      </c>
      <c r="CB4">
        <f t="array" ref="CB4">INDEX(Transcriptome!AU$2:AU$28,MATCH(1,(Transcriptome!$A$2:$A$28=$B4)*(Transcriptome!$C$2:$C$28=$G4),0))</f>
        <v>1.6853604227569587</v>
      </c>
      <c r="CC4">
        <f t="array" ref="CC4">INDEX(Transcriptome!AV$2:AV$28,MATCH(1,(Transcriptome!$A$2:$A$28=$B4)*(Transcriptome!$C$2:$C$28=$G4),0))</f>
        <v>0.60019145421519393</v>
      </c>
      <c r="CD4">
        <f t="array" ref="CD4">INDEX(Transcriptome!AW$2:AW$28,MATCH(1,(Transcriptome!$A$2:$A$28=$B4)*(Transcriptome!$C$2:$C$28=$G4),0))</f>
        <v>0.81640008350667004</v>
      </c>
      <c r="CE4">
        <f t="array" ref="CE4">INDEX(Transcriptome!AX$2:AX$28,MATCH(1,(Transcriptome!$A$2:$A$28=$B4)*(Transcriptome!$C$2:$C$28=$G4),0))</f>
        <v>0.82787377286856667</v>
      </c>
      <c r="CF4">
        <f t="array" ref="CF4">INDEX(Transcriptome!AY$2:AY$28,MATCH(1,(Transcriptome!$A$2:$A$28=$B4)*(Transcriptome!$C$2:$C$28=$G4),0))</f>
        <v>0.89890108706972605</v>
      </c>
      <c r="CG4">
        <f t="array" ref="CG4">INDEX(Transcriptome!AZ$2:AZ$28,MATCH(1,(Transcriptome!$A$2:$A$28=$B4)*(Transcriptome!$C$2:$C$28=$G4),0))</f>
        <v>0.59861399415185224</v>
      </c>
      <c r="CH4">
        <f t="array" ref="CH4">INDEX(Transcriptome!BA$2:BA$28,MATCH(1,(Transcriptome!$A$2:$A$28=$B4)*(Transcriptome!$C$2:$C$28=$G4),0))</f>
        <v>1.8026104389010524</v>
      </c>
      <c r="CI4">
        <f t="array" ref="CI4">INDEX(Transcriptome!BB$2:BB$28,MATCH(1,(Transcriptome!$A$2:$A$28=$B4)*(Transcriptome!$C$2:$C$28=$G4),0))</f>
        <v>2.1137531601340016</v>
      </c>
      <c r="CJ4">
        <f t="array" ref="CJ4">INDEX(Transcriptome!BC$2:BC$28,MATCH(1,(Transcriptome!$A$2:$A$28=$B4)*(Transcriptome!$C$2:$C$28=$G4),0))</f>
        <v>0</v>
      </c>
      <c r="CK4">
        <f t="array" ref="CK4">INDEX(Transcriptome!BD$2:BD$28,MATCH(1,(Transcriptome!$A$2:$A$28=$B4)*(Transcriptome!$C$2:$C$28=$G4),0))</f>
        <v>1.4782234663879816</v>
      </c>
      <c r="CL4">
        <f t="array" ref="CL4">INDEX(Transcriptome!BE$2:BE$28,MATCH(1,(Transcriptome!$A$2:$A$28=$B4)*(Transcriptome!$C$2:$C$28=$G4),0))</f>
        <v>1.4666747772910123</v>
      </c>
      <c r="CM4">
        <f t="array" ref="CM4">INDEX(Transcriptome!BF$2:BF$28,MATCH(1,(Transcriptome!$A$2:$A$28=$B4)*(Transcriptome!$C$2:$C$28=$G4),0))</f>
        <v>1.507625498431161</v>
      </c>
      <c r="CN4">
        <f t="array" ref="CN4">INDEX(Transcriptome!BG$2:BG$28,MATCH(1,(Transcriptome!$A$2:$A$28=$B4)*(Transcriptome!$C$2:$C$28=$G4),0))</f>
        <v>2.5212399808112504</v>
      </c>
      <c r="CO4">
        <f t="array" ref="CO4">INDEX(Transcriptome!BH$2:BH$28,MATCH(1,(Transcriptome!$A$2:$A$28=$B4)*(Transcriptome!$C$2:$C$28=$G4),0))</f>
        <v>0.5793848749027265</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3.5568635172654277</v>
      </c>
      <c r="CS4">
        <f t="array" ref="CS4">INDEX(Transcriptome!BL$2:BL$28,MATCH(1,(Transcriptome!$A$2:$A$28=$B4)*(Transcriptome!$C$2:$C$28=$G4),0))</f>
        <v>2.3392666351837739</v>
      </c>
      <c r="CT4">
        <f t="array" ref="CT4">INDEX(Transcriptome!BM$2:BM$28,MATCH(1,(Transcriptome!$A$2:$A$28=$B4)*(Transcriptome!$C$2:$C$28=$G4),0))</f>
        <v>0.65806154225315017</v>
      </c>
      <c r="CU4">
        <f t="array" ref="CU4">INDEX(Transcriptome!BN$2:BN$28,MATCH(1,(Transcriptome!$A$2:$A$28=$B4)*(Transcriptome!$C$2:$C$28=$G4),0))</f>
        <v>36.47398676016153</v>
      </c>
      <c r="CV4">
        <f t="array" ref="CV4">INDEX(Transcriptome!BO$2:BO$28,MATCH(1,(Transcriptome!$A$2:$A$28=$B4)*(Transcriptome!$C$2:$C$28=$G4),0))</f>
        <v>1.4410124598864966</v>
      </c>
      <c r="CW4">
        <f t="array" ref="CW4">INDEX(Transcriptome!BP$2:BP$28,MATCH(1,(Transcriptome!$A$2:$A$28=$B4)*(Transcriptome!$C$2:$C$28=$G4),0))</f>
        <v>0.5793848749027265</v>
      </c>
      <c r="CX4">
        <f t="array" ref="CX4">INDEX(Transcriptome!BQ$2:BQ$28,MATCH(1,(Transcriptome!$A$2:$A$28=$B4)*(Transcriptome!$C$2:$C$28=$G4),0))</f>
        <v>1</v>
      </c>
      <c r="CY4">
        <f t="array" ref="CY4">INDEX(Transcriptome!BR$2:BR$28,MATCH(1,(Transcriptome!$A$2:$A$28=$B4)*(Transcriptome!$C$2:$C$28=$G4),0))</f>
        <v>1.3555456312582743</v>
      </c>
    </row>
    <row r="5" spans="1:103">
      <c r="A5">
        <f>'Measured Data'!A10</f>
        <v>3</v>
      </c>
      <c r="B5" t="s">
        <v>583</v>
      </c>
      <c r="C5" s="324" t="s">
        <v>586</v>
      </c>
      <c r="D5">
        <v>1</v>
      </c>
      <c r="E5">
        <f>'Measured Data'!H10</f>
        <v>1.3430000377655029</v>
      </c>
      <c r="F5" s="477">
        <f>'Measured Data'!K10</f>
        <v>98.572502136230469</v>
      </c>
      <c r="G5" t="s">
        <v>513</v>
      </c>
      <c r="H5" s="321">
        <f>'Measured Data'!B10</f>
        <v>2.9569444444423425</v>
      </c>
      <c r="I5" s="322">
        <f>'Measured Data'!C10</f>
        <v>70.96666666661622</v>
      </c>
      <c r="J5">
        <f>'In Process Calc.'!B6</f>
        <v>2.9569444444423425</v>
      </c>
      <c r="K5">
        <f>'In Process Calc.'!C6</f>
        <v>70.96666666661622</v>
      </c>
      <c r="L5">
        <f>'Measured Data'!Z10</f>
        <v>30.251559759319701</v>
      </c>
      <c r="M5">
        <f>'Measured Data'!AF10</f>
        <v>3.8854351687388986</v>
      </c>
      <c r="N5">
        <f>'Measured Data'!AA10</f>
        <v>0.35799999999999998</v>
      </c>
      <c r="O5">
        <f>'Measured Data'!W10</f>
        <v>4.51</v>
      </c>
      <c r="P5">
        <f>'Measured Data'!X10</f>
        <v>1.716</v>
      </c>
      <c r="Q5">
        <f>'Growth Regression'!P5</f>
        <v>2.4573937262705133E-2</v>
      </c>
      <c r="R5">
        <f>Q5/'Growth Regression'!$O$24</f>
        <v>0.91688340450187766</v>
      </c>
      <c r="S5">
        <f>'Post Process Calc.'!K6</f>
        <v>9.9503746540952273E-2</v>
      </c>
      <c r="T5">
        <f>'Post Process Calc.'!Q6</f>
        <v>6.6383455431723526E-2</v>
      </c>
      <c r="U5">
        <f>'Post Process Calc.'!L6</f>
        <v>-5.3373829133951962E-3</v>
      </c>
      <c r="V5">
        <f>'Post Process Calc.'!H6</f>
        <v>-9.7366568913388361E-4</v>
      </c>
      <c r="W5">
        <f>'Post Process Calc.'!I6</f>
        <v>-2.047180183250974E-2</v>
      </c>
      <c r="X5">
        <f>'Post Process Calc.'!AG6</f>
        <v>0.66714528587526511</v>
      </c>
      <c r="Y5">
        <f t="shared" si="2"/>
        <v>62.18984158809517</v>
      </c>
      <c r="Z5">
        <f t="shared" si="2"/>
        <v>41.489659644827199</v>
      </c>
      <c r="AA5">
        <f t="shared" si="0"/>
        <v>-3.3358643208719974</v>
      </c>
      <c r="AB5">
        <f t="shared" si="0"/>
        <v>-0.60854105570867723</v>
      </c>
      <c r="AC5">
        <f t="shared" si="0"/>
        <v>-12.794876145318586</v>
      </c>
      <c r="AD5">
        <v>100</v>
      </c>
      <c r="AE5">
        <v>0.32</v>
      </c>
      <c r="AF5">
        <v>7</v>
      </c>
      <c r="AG5">
        <v>0.7</v>
      </c>
      <c r="AH5">
        <f t="shared" si="1"/>
        <v>5.0118723362727164E-8</v>
      </c>
      <c r="AI5">
        <v>1</v>
      </c>
      <c r="AJ5">
        <v>0.311</v>
      </c>
      <c r="AK5">
        <f t="array" ref="AK5">INDEX(Transcriptome!D$2:D$28,MATCH(1,(Transcriptome!$A$2:$A$28=$B5)*(Transcriptome!$C$2:$C$28=$G5),0))</f>
        <v>0.80840159635551412</v>
      </c>
      <c r="AL5">
        <f t="array" ref="AL5">INDEX(Transcriptome!E$2:E$28,MATCH(1,(Transcriptome!$A$2:$A$28=$B5)*(Transcriptome!$C$2:$C$28=$G5),0))</f>
        <v>1.5163732496679212</v>
      </c>
      <c r="AM5">
        <f t="array" ref="AM5">INDEX(Transcriptome!F$2:F$28,MATCH(1,(Transcriptome!$A$2:$A$28=$B5)*(Transcriptome!$C$2:$C$28=$G5),0))</f>
        <v>1.1218283788538985</v>
      </c>
      <c r="AN5">
        <f t="array" ref="AN5">INDEX(Transcriptome!G$2:G$28,MATCH(1,(Transcriptome!$A$2:$A$28=$B5)*(Transcriptome!$C$2:$C$28=$G5),0))</f>
        <v>0.54718463568993359</v>
      </c>
      <c r="AO5">
        <f t="array" ref="AO5">INDEX(Transcriptome!H$2:H$28,MATCH(1,(Transcriptome!$A$2:$A$28=$B5)*(Transcriptome!$C$2:$C$28=$G5),0))</f>
        <v>0</v>
      </c>
      <c r="AP5">
        <f t="array" ref="AP5">INDEX(Transcriptome!I$2:I$28,MATCH(1,(Transcriptome!$A$2:$A$28=$B5)*(Transcriptome!$C$2:$C$28=$G5),0))</f>
        <v>1.21326487788329</v>
      </c>
      <c r="AQ5">
        <f t="array" ref="AQ5">INDEX(Transcriptome!J$2:J$28,MATCH(1,(Transcriptome!$A$2:$A$28=$B5)*(Transcriptome!$C$2:$C$28=$G5),0))</f>
        <v>1.0655409214479317</v>
      </c>
      <c r="AR5">
        <f t="array" ref="AR5">INDEX(Transcriptome!K$2:K$28,MATCH(1,(Transcriptome!$A$2:$A$28=$B5)*(Transcriptome!$C$2:$C$28=$G5),0))</f>
        <v>0.99473906672325785</v>
      </c>
      <c r="AS5">
        <f t="array" ref="AS5">INDEX(Transcriptome!L$2:L$28,MATCH(1,(Transcriptome!$A$2:$A$28=$B5)*(Transcriptome!$C$2:$C$28=$G5),0))</f>
        <v>1.0003087268363742</v>
      </c>
      <c r="AT5">
        <f t="array" ref="AT5">INDEX(Transcriptome!M$2:M$28,MATCH(1,(Transcriptome!$A$2:$A$28=$B5)*(Transcriptome!$C$2:$C$28=$G5),0))</f>
        <v>1.3775577585380128</v>
      </c>
      <c r="AU5">
        <f t="array" ref="AU5">INDEX(Transcriptome!N$2:N$28,MATCH(1,(Transcriptome!$A$2:$A$28=$B5)*(Transcriptome!$C$2:$C$28=$G5),0))</f>
        <v>0.81114178526603686</v>
      </c>
      <c r="AV5">
        <f t="array" ref="AV5">INDEX(Transcriptome!O$2:O$28,MATCH(1,(Transcriptome!$A$2:$A$28=$B5)*(Transcriptome!$C$2:$C$28=$G5),0))</f>
        <v>1.1696661685593308</v>
      </c>
      <c r="AW5">
        <f t="array" ref="AW5">INDEX(Transcriptome!P$2:P$28,MATCH(1,(Transcriptome!$A$2:$A$28=$B5)*(Transcriptome!$C$2:$C$28=$G5),0))</f>
        <v>1.2073370579107578</v>
      </c>
      <c r="AX5">
        <f t="array" ref="AX5">INDEX(Transcriptome!Q$2:Q$28,MATCH(1,(Transcriptome!$A$2:$A$28=$B5)*(Transcriptome!$C$2:$C$28=$G5),0))</f>
        <v>0.58362943726722871</v>
      </c>
      <c r="AY5">
        <f t="array" ref="AY5">INDEX(Transcriptome!R$2:R$28,MATCH(1,(Transcriptome!$A$2:$A$28=$B5)*(Transcriptome!$C$2:$C$28=$G5),0))</f>
        <v>0.50376877903698547</v>
      </c>
      <c r="AZ5">
        <f t="array" ref="AZ5">INDEX(Transcriptome!S$2:S$28,MATCH(1,(Transcriptome!$A$2:$A$28=$B5)*(Transcriptome!$C$2:$C$28=$G5),0))</f>
        <v>0.46985710445636059</v>
      </c>
      <c r="BA5">
        <f t="array" ref="BA5">INDEX(Transcriptome!T$2:T$28,MATCH(1,(Transcriptome!$A$2:$A$28=$B5)*(Transcriptome!$C$2:$C$28=$G5),0))</f>
        <v>1.1189256123640647</v>
      </c>
      <c r="BB5">
        <f t="array" ref="BB5">INDEX(Transcriptome!U$2:U$28,MATCH(1,(Transcriptome!$A$2:$A$28=$B5)*(Transcriptome!$C$2:$C$28=$G5),0))</f>
        <v>3.5410137925199292</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0.88665697502311858</v>
      </c>
      <c r="BF5">
        <f t="array" ref="BF5">INDEX(Transcriptome!Y$2:Y$28,MATCH(1,(Transcriptome!$A$2:$A$28=$B5)*(Transcriptome!$C$2:$C$28=$G5),0))</f>
        <v>0</v>
      </c>
      <c r="BG5">
        <f t="array" ref="BG5">INDEX(Transcriptome!Z$2:Z$28,MATCH(1,(Transcriptome!$A$2:$A$28=$B5)*(Transcriptome!$C$2:$C$28=$G5),0))</f>
        <v>1.1899558091643074</v>
      </c>
      <c r="BH5">
        <f t="array" ref="BH5">INDEX(Transcriptome!AA$2:AA$28,MATCH(1,(Transcriptome!$A$2:$A$28=$B5)*(Transcriptome!$C$2:$C$28=$G5),0))</f>
        <v>1.2011425699950584</v>
      </c>
      <c r="BI5">
        <f t="array" ref="BI5">INDEX(Transcriptome!AB$2:AB$28,MATCH(1,(Transcriptome!$A$2:$A$28=$B5)*(Transcriptome!$C$2:$C$28=$G5),0))</f>
        <v>0.42782681289615299</v>
      </c>
      <c r="BJ5">
        <f t="array" ref="BJ5">INDEX(Transcriptome!AC$2:AC$28,MATCH(1,(Transcriptome!$A$2:$A$28=$B5)*(Transcriptome!$C$2:$C$28=$G5),0))</f>
        <v>0.99882183295258842</v>
      </c>
      <c r="BK5">
        <f t="array" ref="BK5">INDEX(Transcriptome!AD$2:AD$28,MATCH(1,(Transcriptome!$A$2:$A$28=$B5)*(Transcriptome!$C$2:$C$28=$G5),0))</f>
        <v>0.85625549574435611</v>
      </c>
      <c r="BL5">
        <f t="array" ref="BL5">INDEX(Transcriptome!AE$2:AE$28,MATCH(1,(Transcriptome!$A$2:$A$28=$B5)*(Transcriptome!$C$2:$C$28=$G5),0))</f>
        <v>1.432947670810945</v>
      </c>
      <c r="BM5">
        <f t="array" ref="BM5">INDEX(Transcriptome!AF$2:AF$28,MATCH(1,(Transcriptome!$A$2:$A$28=$B5)*(Transcriptome!$C$2:$C$28=$G5),0))</f>
        <v>0.59392555830865223</v>
      </c>
      <c r="BN5">
        <f t="array" ref="BN5">INDEX(Transcriptome!AG$2:AG$28,MATCH(1,(Transcriptome!$A$2:$A$28=$B5)*(Transcriptome!$C$2:$C$28=$G5),0))</f>
        <v>0.48730497239940024</v>
      </c>
      <c r="BO5">
        <f t="array" ref="BO5">INDEX(Transcriptome!AH$2:AH$28,MATCH(1,(Transcriptome!$A$2:$A$28=$B5)*(Transcriptome!$C$2:$C$28=$G5),0))</f>
        <v>1.8095179354972706</v>
      </c>
      <c r="BP5">
        <f t="array" ref="BP5">INDEX(Transcriptome!AI$2:AI$28,MATCH(1,(Transcriptome!$A$2:$A$28=$B5)*(Transcriptome!$C$2:$C$28=$G5),0))</f>
        <v>0.71240057843874782</v>
      </c>
      <c r="BQ5">
        <f t="array" ref="BQ5">INDEX(Transcriptome!AJ$2:AJ$28,MATCH(1,(Transcriptome!$A$2:$A$28=$B5)*(Transcriptome!$C$2:$C$28=$G5),0))</f>
        <v>0.87499852201140327</v>
      </c>
      <c r="BR5">
        <f t="array" ref="BR5">INDEX(Transcriptome!AK$2:AK$28,MATCH(1,(Transcriptome!$A$2:$A$28=$B5)*(Transcriptome!$C$2:$C$28=$G5),0))</f>
        <v>0.65277414413996737</v>
      </c>
      <c r="BS5">
        <f t="array" ref="BS5">INDEX(Transcriptome!AL$2:AL$28,MATCH(1,(Transcriptome!$A$2:$A$28=$B5)*(Transcriptome!$C$2:$C$28=$G5),0))</f>
        <v>1</v>
      </c>
      <c r="BT5">
        <f t="array" ref="BT5">INDEX(Transcriptome!AM$2:AM$28,MATCH(1,(Transcriptome!$A$2:$A$28=$B5)*(Transcriptome!$C$2:$C$28=$G5),0))</f>
        <v>0.71122483365382949</v>
      </c>
      <c r="BU5">
        <f t="array" ref="BU5">INDEX(Transcriptome!AN$2:AN$28,MATCH(1,(Transcriptome!$A$2:$A$28=$B5)*(Transcriptome!$C$2:$C$28=$G5),0))</f>
        <v>0.98918496260154987</v>
      </c>
      <c r="BV5">
        <f t="array" ref="BV5">INDEX(Transcriptome!AO$2:AO$28,MATCH(1,(Transcriptome!$A$2:$A$28=$B5)*(Transcriptome!$C$2:$C$28=$G5),0))</f>
        <v>1.0632881677534851</v>
      </c>
      <c r="BW5">
        <f t="array" ref="BW5">INDEX(Transcriptome!AP$2:AP$28,MATCH(1,(Transcriptome!$A$2:$A$28=$B5)*(Transcriptome!$C$2:$C$28=$G5),0))</f>
        <v>1.0207894409757674</v>
      </c>
      <c r="BX5">
        <f t="array" ref="BX5">INDEX(Transcriptome!AQ$2:AQ$28,MATCH(1,(Transcriptome!$A$2:$A$28=$B5)*(Transcriptome!$C$2:$C$28=$G5),0))</f>
        <v>1.3069351817787282</v>
      </c>
      <c r="BY5">
        <f t="array" ref="BY5">INDEX(Transcriptome!AR$2:AR$28,MATCH(1,(Transcriptome!$A$2:$A$28=$B5)*(Transcriptome!$C$2:$C$28=$G5),0))</f>
        <v>0.72172948001285797</v>
      </c>
      <c r="BZ5">
        <f t="array" ref="BZ5">INDEX(Transcriptome!AS$2:AS$28,MATCH(1,(Transcriptome!$A$2:$A$28=$B5)*(Transcriptome!$C$2:$C$28=$G5),0))</f>
        <v>0.88310890556595556</v>
      </c>
      <c r="CA5">
        <f t="array" ref="CA5">INDEX(Transcriptome!AT$2:AT$28,MATCH(1,(Transcriptome!$A$2:$A$28=$B5)*(Transcriptome!$C$2:$C$28=$G5),0))</f>
        <v>0.78068554124751866</v>
      </c>
      <c r="CB5">
        <f t="array" ref="CB5">INDEX(Transcriptome!AU$2:AU$28,MATCH(1,(Transcriptome!$A$2:$A$28=$B5)*(Transcriptome!$C$2:$C$28=$G5),0))</f>
        <v>1.6853604227569587</v>
      </c>
      <c r="CC5">
        <f t="array" ref="CC5">INDEX(Transcriptome!AV$2:AV$28,MATCH(1,(Transcriptome!$A$2:$A$28=$B5)*(Transcriptome!$C$2:$C$28=$G5),0))</f>
        <v>0.60019145421519393</v>
      </c>
      <c r="CD5">
        <f t="array" ref="CD5">INDEX(Transcriptome!AW$2:AW$28,MATCH(1,(Transcriptome!$A$2:$A$28=$B5)*(Transcriptome!$C$2:$C$28=$G5),0))</f>
        <v>0.81640008350667004</v>
      </c>
      <c r="CE5">
        <f t="array" ref="CE5">INDEX(Transcriptome!AX$2:AX$28,MATCH(1,(Transcriptome!$A$2:$A$28=$B5)*(Transcriptome!$C$2:$C$28=$G5),0))</f>
        <v>0.82787377286856667</v>
      </c>
      <c r="CF5">
        <f t="array" ref="CF5">INDEX(Transcriptome!AY$2:AY$28,MATCH(1,(Transcriptome!$A$2:$A$28=$B5)*(Transcriptome!$C$2:$C$28=$G5),0))</f>
        <v>0.89890108706972605</v>
      </c>
      <c r="CG5">
        <f t="array" ref="CG5">INDEX(Transcriptome!AZ$2:AZ$28,MATCH(1,(Transcriptome!$A$2:$A$28=$B5)*(Transcriptome!$C$2:$C$28=$G5),0))</f>
        <v>0.59861399415185224</v>
      </c>
      <c r="CH5">
        <f t="array" ref="CH5">INDEX(Transcriptome!BA$2:BA$28,MATCH(1,(Transcriptome!$A$2:$A$28=$B5)*(Transcriptome!$C$2:$C$28=$G5),0))</f>
        <v>1.8026104389010524</v>
      </c>
      <c r="CI5">
        <f t="array" ref="CI5">INDEX(Transcriptome!BB$2:BB$28,MATCH(1,(Transcriptome!$A$2:$A$28=$B5)*(Transcriptome!$C$2:$C$28=$G5),0))</f>
        <v>2.1137531601340016</v>
      </c>
      <c r="CJ5">
        <f t="array" ref="CJ5">INDEX(Transcriptome!BC$2:BC$28,MATCH(1,(Transcriptome!$A$2:$A$28=$B5)*(Transcriptome!$C$2:$C$28=$G5),0))</f>
        <v>0</v>
      </c>
      <c r="CK5">
        <f t="array" ref="CK5">INDEX(Transcriptome!BD$2:BD$28,MATCH(1,(Transcriptome!$A$2:$A$28=$B5)*(Transcriptome!$C$2:$C$28=$G5),0))</f>
        <v>1.4782234663879816</v>
      </c>
      <c r="CL5">
        <f t="array" ref="CL5">INDEX(Transcriptome!BE$2:BE$28,MATCH(1,(Transcriptome!$A$2:$A$28=$B5)*(Transcriptome!$C$2:$C$28=$G5),0))</f>
        <v>1.4666747772910123</v>
      </c>
      <c r="CM5">
        <f t="array" ref="CM5">INDEX(Transcriptome!BF$2:BF$28,MATCH(1,(Transcriptome!$A$2:$A$28=$B5)*(Transcriptome!$C$2:$C$28=$G5),0))</f>
        <v>1.507625498431161</v>
      </c>
      <c r="CN5">
        <f t="array" ref="CN5">INDEX(Transcriptome!BG$2:BG$28,MATCH(1,(Transcriptome!$A$2:$A$28=$B5)*(Transcriptome!$C$2:$C$28=$G5),0))</f>
        <v>2.5212399808112504</v>
      </c>
      <c r="CO5">
        <f t="array" ref="CO5">INDEX(Transcriptome!BH$2:BH$28,MATCH(1,(Transcriptome!$A$2:$A$28=$B5)*(Transcriptome!$C$2:$C$28=$G5),0))</f>
        <v>0.5793848749027265</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3.5568635172654277</v>
      </c>
      <c r="CS5">
        <f t="array" ref="CS5">INDEX(Transcriptome!BL$2:BL$28,MATCH(1,(Transcriptome!$A$2:$A$28=$B5)*(Transcriptome!$C$2:$C$28=$G5),0))</f>
        <v>2.3392666351837739</v>
      </c>
      <c r="CT5">
        <f t="array" ref="CT5">INDEX(Transcriptome!BM$2:BM$28,MATCH(1,(Transcriptome!$A$2:$A$28=$B5)*(Transcriptome!$C$2:$C$28=$G5),0))</f>
        <v>0.65806154225315017</v>
      </c>
      <c r="CU5">
        <f t="array" ref="CU5">INDEX(Transcriptome!BN$2:BN$28,MATCH(1,(Transcriptome!$A$2:$A$28=$B5)*(Transcriptome!$C$2:$C$28=$G5),0))</f>
        <v>36.47398676016153</v>
      </c>
      <c r="CV5">
        <f t="array" ref="CV5">INDEX(Transcriptome!BO$2:BO$28,MATCH(1,(Transcriptome!$A$2:$A$28=$B5)*(Transcriptome!$C$2:$C$28=$G5),0))</f>
        <v>1.4410124598864966</v>
      </c>
      <c r="CW5">
        <f t="array" ref="CW5">INDEX(Transcriptome!BP$2:BP$28,MATCH(1,(Transcriptome!$A$2:$A$28=$B5)*(Transcriptome!$C$2:$C$28=$G5),0))</f>
        <v>0.5793848749027265</v>
      </c>
      <c r="CX5">
        <f t="array" ref="CX5">INDEX(Transcriptome!BQ$2:BQ$28,MATCH(1,(Transcriptome!$A$2:$A$28=$B5)*(Transcriptome!$C$2:$C$28=$G5),0))</f>
        <v>1</v>
      </c>
      <c r="CY5">
        <f t="array" ref="CY5">INDEX(Transcriptome!BR$2:BR$28,MATCH(1,(Transcriptome!$A$2:$A$28=$B5)*(Transcriptome!$C$2:$C$28=$G5),0))</f>
        <v>1.3555456312582743</v>
      </c>
    </row>
    <row r="6" spans="1:103">
      <c r="A6">
        <f>'Measured Data'!A11</f>
        <v>4</v>
      </c>
      <c r="B6" t="s">
        <v>583</v>
      </c>
      <c r="C6" s="324" t="s">
        <v>586</v>
      </c>
      <c r="D6">
        <v>1</v>
      </c>
      <c r="E6">
        <f>'Measured Data'!H11</f>
        <v>2.6090999675750735</v>
      </c>
      <c r="F6" s="477">
        <f>'Measured Data'!K11</f>
        <v>99.125</v>
      </c>
      <c r="G6" t="s">
        <v>513</v>
      </c>
      <c r="H6" s="321">
        <f>'Measured Data'!B11</f>
        <v>3.9770833333313931</v>
      </c>
      <c r="I6" s="322">
        <f>'Measured Data'!C11</f>
        <v>95.449999999953434</v>
      </c>
      <c r="J6">
        <f>'In Process Calc.'!B7</f>
        <v>3.9770833333313931</v>
      </c>
      <c r="K6">
        <f>'In Process Calc.'!C7</f>
        <v>95.449999999953434</v>
      </c>
      <c r="L6">
        <f>'Measured Data'!Z11</f>
        <v>33.082439663402823</v>
      </c>
      <c r="M6">
        <f>'Measured Data'!AF11</f>
        <v>5.7726465364120783</v>
      </c>
      <c r="N6">
        <f>'Measured Data'!AA11</f>
        <v>0.64800000000000002</v>
      </c>
      <c r="O6">
        <f>'Measured Data'!W11</f>
        <v>5.6870000000000003</v>
      </c>
      <c r="P6">
        <f>'Measured Data'!X11</f>
        <v>1.593</v>
      </c>
      <c r="Q6">
        <f>'Growth Regression'!P6</f>
        <v>2.2815212816208186E-2</v>
      </c>
      <c r="R6">
        <f>Q6/'Growth Regression'!$O$24</f>
        <v>0.85126326228184779</v>
      </c>
      <c r="S6">
        <f>'Post Process Calc.'!K7</f>
        <v>8.0967790857635766E-2</v>
      </c>
      <c r="T6">
        <f>'Post Process Calc.'!Q7</f>
        <v>4.3994922326562366E-2</v>
      </c>
      <c r="U6">
        <f>'Post Process Calc.'!L7</f>
        <v>-8.0147364350930637E-3</v>
      </c>
      <c r="V6">
        <f>'Post Process Calc.'!H7</f>
        <v>2.4315697743294358E-3</v>
      </c>
      <c r="W6">
        <f>'Post Process Calc.'!I7</f>
        <v>-1.4053567781549267E-2</v>
      </c>
      <c r="X6">
        <f>'Post Process Calc.'!AG7</f>
        <v>0.54336325420953946</v>
      </c>
      <c r="Y6">
        <f t="shared" si="2"/>
        <v>50.60486928602235</v>
      </c>
      <c r="Z6">
        <f t="shared" si="2"/>
        <v>27.496826454101477</v>
      </c>
      <c r="AA6">
        <f t="shared" si="0"/>
        <v>-5.0092102719331644</v>
      </c>
      <c r="AB6">
        <f t="shared" si="0"/>
        <v>1.5197311089558974</v>
      </c>
      <c r="AC6">
        <f t="shared" si="0"/>
        <v>-8.7834798634682922</v>
      </c>
      <c r="AD6">
        <v>100</v>
      </c>
      <c r="AE6">
        <v>0.32</v>
      </c>
      <c r="AF6">
        <v>7</v>
      </c>
      <c r="AG6">
        <v>0.7</v>
      </c>
      <c r="AH6">
        <f t="shared" si="1"/>
        <v>5.0118723362727164E-8</v>
      </c>
      <c r="AI6">
        <v>1</v>
      </c>
      <c r="AJ6">
        <v>0.311</v>
      </c>
      <c r="AK6">
        <f t="array" ref="AK6">INDEX(Transcriptome!D$2:D$28,MATCH(1,(Transcriptome!$A$2:$A$28=$B6)*(Transcriptome!$C$2:$C$28=$G6),0))</f>
        <v>0.80840159635551412</v>
      </c>
      <c r="AL6">
        <f t="array" ref="AL6">INDEX(Transcriptome!E$2:E$28,MATCH(1,(Transcriptome!$A$2:$A$28=$B6)*(Transcriptome!$C$2:$C$28=$G6),0))</f>
        <v>1.5163732496679212</v>
      </c>
      <c r="AM6">
        <f t="array" ref="AM6">INDEX(Transcriptome!F$2:F$28,MATCH(1,(Transcriptome!$A$2:$A$28=$B6)*(Transcriptome!$C$2:$C$28=$G6),0))</f>
        <v>1.1218283788538985</v>
      </c>
      <c r="AN6">
        <f t="array" ref="AN6">INDEX(Transcriptome!G$2:G$28,MATCH(1,(Transcriptome!$A$2:$A$28=$B6)*(Transcriptome!$C$2:$C$28=$G6),0))</f>
        <v>0.54718463568993359</v>
      </c>
      <c r="AO6">
        <f t="array" ref="AO6">INDEX(Transcriptome!H$2:H$28,MATCH(1,(Transcriptome!$A$2:$A$28=$B6)*(Transcriptome!$C$2:$C$28=$G6),0))</f>
        <v>0</v>
      </c>
      <c r="AP6">
        <f t="array" ref="AP6">INDEX(Transcriptome!I$2:I$28,MATCH(1,(Transcriptome!$A$2:$A$28=$B6)*(Transcriptome!$C$2:$C$28=$G6),0))</f>
        <v>1.21326487788329</v>
      </c>
      <c r="AQ6">
        <f t="array" ref="AQ6">INDEX(Transcriptome!J$2:J$28,MATCH(1,(Transcriptome!$A$2:$A$28=$B6)*(Transcriptome!$C$2:$C$28=$G6),0))</f>
        <v>1.0655409214479317</v>
      </c>
      <c r="AR6">
        <f t="array" ref="AR6">INDEX(Transcriptome!K$2:K$28,MATCH(1,(Transcriptome!$A$2:$A$28=$B6)*(Transcriptome!$C$2:$C$28=$G6),0))</f>
        <v>0.99473906672325785</v>
      </c>
      <c r="AS6">
        <f t="array" ref="AS6">INDEX(Transcriptome!L$2:L$28,MATCH(1,(Transcriptome!$A$2:$A$28=$B6)*(Transcriptome!$C$2:$C$28=$G6),0))</f>
        <v>1.0003087268363742</v>
      </c>
      <c r="AT6">
        <f t="array" ref="AT6">INDEX(Transcriptome!M$2:M$28,MATCH(1,(Transcriptome!$A$2:$A$28=$B6)*(Transcriptome!$C$2:$C$28=$G6),0))</f>
        <v>1.3775577585380128</v>
      </c>
      <c r="AU6">
        <f t="array" ref="AU6">INDEX(Transcriptome!N$2:N$28,MATCH(1,(Transcriptome!$A$2:$A$28=$B6)*(Transcriptome!$C$2:$C$28=$G6),0))</f>
        <v>0.81114178526603686</v>
      </c>
      <c r="AV6">
        <f t="array" ref="AV6">INDEX(Transcriptome!O$2:O$28,MATCH(1,(Transcriptome!$A$2:$A$28=$B6)*(Transcriptome!$C$2:$C$28=$G6),0))</f>
        <v>1.1696661685593308</v>
      </c>
      <c r="AW6">
        <f t="array" ref="AW6">INDEX(Transcriptome!P$2:P$28,MATCH(1,(Transcriptome!$A$2:$A$28=$B6)*(Transcriptome!$C$2:$C$28=$G6),0))</f>
        <v>1.2073370579107578</v>
      </c>
      <c r="AX6">
        <f t="array" ref="AX6">INDEX(Transcriptome!Q$2:Q$28,MATCH(1,(Transcriptome!$A$2:$A$28=$B6)*(Transcriptome!$C$2:$C$28=$G6),0))</f>
        <v>0.58362943726722871</v>
      </c>
      <c r="AY6">
        <f t="array" ref="AY6">INDEX(Transcriptome!R$2:R$28,MATCH(1,(Transcriptome!$A$2:$A$28=$B6)*(Transcriptome!$C$2:$C$28=$G6),0))</f>
        <v>0.50376877903698547</v>
      </c>
      <c r="AZ6">
        <f t="array" ref="AZ6">INDEX(Transcriptome!S$2:S$28,MATCH(1,(Transcriptome!$A$2:$A$28=$B6)*(Transcriptome!$C$2:$C$28=$G6),0))</f>
        <v>0.46985710445636059</v>
      </c>
      <c r="BA6">
        <f t="array" ref="BA6">INDEX(Transcriptome!T$2:T$28,MATCH(1,(Transcriptome!$A$2:$A$28=$B6)*(Transcriptome!$C$2:$C$28=$G6),0))</f>
        <v>1.1189256123640647</v>
      </c>
      <c r="BB6">
        <f t="array" ref="BB6">INDEX(Transcriptome!U$2:U$28,MATCH(1,(Transcriptome!$A$2:$A$28=$B6)*(Transcriptome!$C$2:$C$28=$G6),0))</f>
        <v>3.5410137925199292</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0.88665697502311858</v>
      </c>
      <c r="BF6">
        <f t="array" ref="BF6">INDEX(Transcriptome!Y$2:Y$28,MATCH(1,(Transcriptome!$A$2:$A$28=$B6)*(Transcriptome!$C$2:$C$28=$G6),0))</f>
        <v>0</v>
      </c>
      <c r="BG6">
        <f t="array" ref="BG6">INDEX(Transcriptome!Z$2:Z$28,MATCH(1,(Transcriptome!$A$2:$A$28=$B6)*(Transcriptome!$C$2:$C$28=$G6),0))</f>
        <v>1.1899558091643074</v>
      </c>
      <c r="BH6">
        <f t="array" ref="BH6">INDEX(Transcriptome!AA$2:AA$28,MATCH(1,(Transcriptome!$A$2:$A$28=$B6)*(Transcriptome!$C$2:$C$28=$G6),0))</f>
        <v>1.2011425699950584</v>
      </c>
      <c r="BI6">
        <f t="array" ref="BI6">INDEX(Transcriptome!AB$2:AB$28,MATCH(1,(Transcriptome!$A$2:$A$28=$B6)*(Transcriptome!$C$2:$C$28=$G6),0))</f>
        <v>0.42782681289615299</v>
      </c>
      <c r="BJ6">
        <f t="array" ref="BJ6">INDEX(Transcriptome!AC$2:AC$28,MATCH(1,(Transcriptome!$A$2:$A$28=$B6)*(Transcriptome!$C$2:$C$28=$G6),0))</f>
        <v>0.99882183295258842</v>
      </c>
      <c r="BK6">
        <f t="array" ref="BK6">INDEX(Transcriptome!AD$2:AD$28,MATCH(1,(Transcriptome!$A$2:$A$28=$B6)*(Transcriptome!$C$2:$C$28=$G6),0))</f>
        <v>0.85625549574435611</v>
      </c>
      <c r="BL6">
        <f t="array" ref="BL6">INDEX(Transcriptome!AE$2:AE$28,MATCH(1,(Transcriptome!$A$2:$A$28=$B6)*(Transcriptome!$C$2:$C$28=$G6),0))</f>
        <v>1.432947670810945</v>
      </c>
      <c r="BM6">
        <f t="array" ref="BM6">INDEX(Transcriptome!AF$2:AF$28,MATCH(1,(Transcriptome!$A$2:$A$28=$B6)*(Transcriptome!$C$2:$C$28=$G6),0))</f>
        <v>0.59392555830865223</v>
      </c>
      <c r="BN6">
        <f t="array" ref="BN6">INDEX(Transcriptome!AG$2:AG$28,MATCH(1,(Transcriptome!$A$2:$A$28=$B6)*(Transcriptome!$C$2:$C$28=$G6),0))</f>
        <v>0.48730497239940024</v>
      </c>
      <c r="BO6">
        <f t="array" ref="BO6">INDEX(Transcriptome!AH$2:AH$28,MATCH(1,(Transcriptome!$A$2:$A$28=$B6)*(Transcriptome!$C$2:$C$28=$G6),0))</f>
        <v>1.8095179354972706</v>
      </c>
      <c r="BP6">
        <f t="array" ref="BP6">INDEX(Transcriptome!AI$2:AI$28,MATCH(1,(Transcriptome!$A$2:$A$28=$B6)*(Transcriptome!$C$2:$C$28=$G6),0))</f>
        <v>0.71240057843874782</v>
      </c>
      <c r="BQ6">
        <f t="array" ref="BQ6">INDEX(Transcriptome!AJ$2:AJ$28,MATCH(1,(Transcriptome!$A$2:$A$28=$B6)*(Transcriptome!$C$2:$C$28=$G6),0))</f>
        <v>0.87499852201140327</v>
      </c>
      <c r="BR6">
        <f t="array" ref="BR6">INDEX(Transcriptome!AK$2:AK$28,MATCH(1,(Transcriptome!$A$2:$A$28=$B6)*(Transcriptome!$C$2:$C$28=$G6),0))</f>
        <v>0.65277414413996737</v>
      </c>
      <c r="BS6">
        <f t="array" ref="BS6">INDEX(Transcriptome!AL$2:AL$28,MATCH(1,(Transcriptome!$A$2:$A$28=$B6)*(Transcriptome!$C$2:$C$28=$G6),0))</f>
        <v>1</v>
      </c>
      <c r="BT6">
        <f t="array" ref="BT6">INDEX(Transcriptome!AM$2:AM$28,MATCH(1,(Transcriptome!$A$2:$A$28=$B6)*(Transcriptome!$C$2:$C$28=$G6),0))</f>
        <v>0.71122483365382949</v>
      </c>
      <c r="BU6">
        <f t="array" ref="BU6">INDEX(Transcriptome!AN$2:AN$28,MATCH(1,(Transcriptome!$A$2:$A$28=$B6)*(Transcriptome!$C$2:$C$28=$G6),0))</f>
        <v>0.98918496260154987</v>
      </c>
      <c r="BV6">
        <f t="array" ref="BV6">INDEX(Transcriptome!AO$2:AO$28,MATCH(1,(Transcriptome!$A$2:$A$28=$B6)*(Transcriptome!$C$2:$C$28=$G6),0))</f>
        <v>1.0632881677534851</v>
      </c>
      <c r="BW6">
        <f t="array" ref="BW6">INDEX(Transcriptome!AP$2:AP$28,MATCH(1,(Transcriptome!$A$2:$A$28=$B6)*(Transcriptome!$C$2:$C$28=$G6),0))</f>
        <v>1.0207894409757674</v>
      </c>
      <c r="BX6">
        <f t="array" ref="BX6">INDEX(Transcriptome!AQ$2:AQ$28,MATCH(1,(Transcriptome!$A$2:$A$28=$B6)*(Transcriptome!$C$2:$C$28=$G6),0))</f>
        <v>1.3069351817787282</v>
      </c>
      <c r="BY6">
        <f t="array" ref="BY6">INDEX(Transcriptome!AR$2:AR$28,MATCH(1,(Transcriptome!$A$2:$A$28=$B6)*(Transcriptome!$C$2:$C$28=$G6),0))</f>
        <v>0.72172948001285797</v>
      </c>
      <c r="BZ6">
        <f t="array" ref="BZ6">INDEX(Transcriptome!AS$2:AS$28,MATCH(1,(Transcriptome!$A$2:$A$28=$B6)*(Transcriptome!$C$2:$C$28=$G6),0))</f>
        <v>0.88310890556595556</v>
      </c>
      <c r="CA6">
        <f t="array" ref="CA6">INDEX(Transcriptome!AT$2:AT$28,MATCH(1,(Transcriptome!$A$2:$A$28=$B6)*(Transcriptome!$C$2:$C$28=$G6),0))</f>
        <v>0.78068554124751866</v>
      </c>
      <c r="CB6">
        <f t="array" ref="CB6">INDEX(Transcriptome!AU$2:AU$28,MATCH(1,(Transcriptome!$A$2:$A$28=$B6)*(Transcriptome!$C$2:$C$28=$G6),0))</f>
        <v>1.6853604227569587</v>
      </c>
      <c r="CC6">
        <f t="array" ref="CC6">INDEX(Transcriptome!AV$2:AV$28,MATCH(1,(Transcriptome!$A$2:$A$28=$B6)*(Transcriptome!$C$2:$C$28=$G6),0))</f>
        <v>0.60019145421519393</v>
      </c>
      <c r="CD6">
        <f t="array" ref="CD6">INDEX(Transcriptome!AW$2:AW$28,MATCH(1,(Transcriptome!$A$2:$A$28=$B6)*(Transcriptome!$C$2:$C$28=$G6),0))</f>
        <v>0.81640008350667004</v>
      </c>
      <c r="CE6">
        <f t="array" ref="CE6">INDEX(Transcriptome!AX$2:AX$28,MATCH(1,(Transcriptome!$A$2:$A$28=$B6)*(Transcriptome!$C$2:$C$28=$G6),0))</f>
        <v>0.82787377286856667</v>
      </c>
      <c r="CF6">
        <f t="array" ref="CF6">INDEX(Transcriptome!AY$2:AY$28,MATCH(1,(Transcriptome!$A$2:$A$28=$B6)*(Transcriptome!$C$2:$C$28=$G6),0))</f>
        <v>0.89890108706972605</v>
      </c>
      <c r="CG6">
        <f t="array" ref="CG6">INDEX(Transcriptome!AZ$2:AZ$28,MATCH(1,(Transcriptome!$A$2:$A$28=$B6)*(Transcriptome!$C$2:$C$28=$G6),0))</f>
        <v>0.59861399415185224</v>
      </c>
      <c r="CH6">
        <f t="array" ref="CH6">INDEX(Transcriptome!BA$2:BA$28,MATCH(1,(Transcriptome!$A$2:$A$28=$B6)*(Transcriptome!$C$2:$C$28=$G6),0))</f>
        <v>1.8026104389010524</v>
      </c>
      <c r="CI6">
        <f t="array" ref="CI6">INDEX(Transcriptome!BB$2:BB$28,MATCH(1,(Transcriptome!$A$2:$A$28=$B6)*(Transcriptome!$C$2:$C$28=$G6),0))</f>
        <v>2.1137531601340016</v>
      </c>
      <c r="CJ6">
        <f t="array" ref="CJ6">INDEX(Transcriptome!BC$2:BC$28,MATCH(1,(Transcriptome!$A$2:$A$28=$B6)*(Transcriptome!$C$2:$C$28=$G6),0))</f>
        <v>0</v>
      </c>
      <c r="CK6">
        <f t="array" ref="CK6">INDEX(Transcriptome!BD$2:BD$28,MATCH(1,(Transcriptome!$A$2:$A$28=$B6)*(Transcriptome!$C$2:$C$28=$G6),0))</f>
        <v>1.4782234663879816</v>
      </c>
      <c r="CL6">
        <f t="array" ref="CL6">INDEX(Transcriptome!BE$2:BE$28,MATCH(1,(Transcriptome!$A$2:$A$28=$B6)*(Transcriptome!$C$2:$C$28=$G6),0))</f>
        <v>1.4666747772910123</v>
      </c>
      <c r="CM6">
        <f t="array" ref="CM6">INDEX(Transcriptome!BF$2:BF$28,MATCH(1,(Transcriptome!$A$2:$A$28=$B6)*(Transcriptome!$C$2:$C$28=$G6),0))</f>
        <v>1.507625498431161</v>
      </c>
      <c r="CN6">
        <f t="array" ref="CN6">INDEX(Transcriptome!BG$2:BG$28,MATCH(1,(Transcriptome!$A$2:$A$28=$B6)*(Transcriptome!$C$2:$C$28=$G6),0))</f>
        <v>2.5212399808112504</v>
      </c>
      <c r="CO6">
        <f t="array" ref="CO6">INDEX(Transcriptome!BH$2:BH$28,MATCH(1,(Transcriptome!$A$2:$A$28=$B6)*(Transcriptome!$C$2:$C$28=$G6),0))</f>
        <v>0.5793848749027265</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3.5568635172654277</v>
      </c>
      <c r="CS6">
        <f t="array" ref="CS6">INDEX(Transcriptome!BL$2:BL$28,MATCH(1,(Transcriptome!$A$2:$A$28=$B6)*(Transcriptome!$C$2:$C$28=$G6),0))</f>
        <v>2.3392666351837739</v>
      </c>
      <c r="CT6">
        <f t="array" ref="CT6">INDEX(Transcriptome!BM$2:BM$28,MATCH(1,(Transcriptome!$A$2:$A$28=$B6)*(Transcriptome!$C$2:$C$28=$G6),0))</f>
        <v>0.65806154225315017</v>
      </c>
      <c r="CU6">
        <f t="array" ref="CU6">INDEX(Transcriptome!BN$2:BN$28,MATCH(1,(Transcriptome!$A$2:$A$28=$B6)*(Transcriptome!$C$2:$C$28=$G6),0))</f>
        <v>36.47398676016153</v>
      </c>
      <c r="CV6">
        <f t="array" ref="CV6">INDEX(Transcriptome!BO$2:BO$28,MATCH(1,(Transcriptome!$A$2:$A$28=$B6)*(Transcriptome!$C$2:$C$28=$G6),0))</f>
        <v>1.4410124598864966</v>
      </c>
      <c r="CW6">
        <f t="array" ref="CW6">INDEX(Transcriptome!BP$2:BP$28,MATCH(1,(Transcriptome!$A$2:$A$28=$B6)*(Transcriptome!$C$2:$C$28=$G6),0))</f>
        <v>0.5793848749027265</v>
      </c>
      <c r="CX6">
        <f t="array" ref="CX6">INDEX(Transcriptome!BQ$2:BQ$28,MATCH(1,(Transcriptome!$A$2:$A$28=$B6)*(Transcriptome!$C$2:$C$28=$G6),0))</f>
        <v>1</v>
      </c>
      <c r="CY6">
        <f t="array" ref="CY6">INDEX(Transcriptome!BR$2:BR$28,MATCH(1,(Transcriptome!$A$2:$A$28=$B6)*(Transcriptome!$C$2:$C$28=$G6),0))</f>
        <v>1.3555456312582743</v>
      </c>
    </row>
    <row r="7" spans="1:103">
      <c r="A7">
        <f>'Measured Data'!A12</f>
        <v>5</v>
      </c>
      <c r="B7" t="s">
        <v>583</v>
      </c>
      <c r="C7" s="324" t="s">
        <v>586</v>
      </c>
      <c r="D7">
        <v>1</v>
      </c>
      <c r="E7">
        <f>'Measured Data'!H12</f>
        <v>3.9289001060485846</v>
      </c>
      <c r="F7" s="477">
        <f>'Measured Data'!K12</f>
        <v>98.943199157714844</v>
      </c>
      <c r="G7" t="s">
        <v>513</v>
      </c>
      <c r="H7" s="321">
        <f>'Measured Data'!B12</f>
        <v>4.828472222223354</v>
      </c>
      <c r="I7" s="322">
        <f>'Measured Data'!C12</f>
        <v>115.8833333333605</v>
      </c>
      <c r="J7">
        <f>'In Process Calc.'!B8</f>
        <v>4.828472222223354</v>
      </c>
      <c r="K7">
        <f>'In Process Calc.'!C8</f>
        <v>115.8833333333605</v>
      </c>
      <c r="L7">
        <f>'Measured Data'!Z12</f>
        <v>34.248096094495885</v>
      </c>
      <c r="M7">
        <f>'Measured Data'!AF12</f>
        <v>7.659857904085257</v>
      </c>
      <c r="N7">
        <f>'Measured Data'!AA12</f>
        <v>0.96</v>
      </c>
      <c r="O7">
        <f>'Measured Data'!W12</f>
        <v>6.4889999999999999</v>
      </c>
      <c r="P7">
        <f>'Measured Data'!X12</f>
        <v>1.7989999999999999</v>
      </c>
      <c r="Q7">
        <f>'Growth Regression'!P7</f>
        <v>2.058288572864507E-2</v>
      </c>
      <c r="R7">
        <f>Q7/'Growth Regression'!$O$24</f>
        <v>0.76797243110059665</v>
      </c>
      <c r="S7">
        <f>'Post Process Calc.'!K8</f>
        <v>7.1817658299274681E-2</v>
      </c>
      <c r="T7">
        <f>'Post Process Calc.'!Q8</f>
        <v>2.9857828146996605E-2</v>
      </c>
      <c r="U7">
        <f>'Post Process Calc.'!L8</f>
        <v>-7.3736015101016055E-3</v>
      </c>
      <c r="V7">
        <f>'Post Process Calc.'!H8</f>
        <v>4.0145403770987173E-3</v>
      </c>
      <c r="W7">
        <f>'Post Process Calc.'!I8</f>
        <v>-9.1139346601547874E-3</v>
      </c>
      <c r="X7">
        <f>'Post Process Calc.'!AG8</f>
        <v>0.41574494148186608</v>
      </c>
      <c r="Y7">
        <f t="shared" si="2"/>
        <v>44.886036437046677</v>
      </c>
      <c r="Z7">
        <f t="shared" si="2"/>
        <v>18.661142591872878</v>
      </c>
      <c r="AA7">
        <f t="shared" si="0"/>
        <v>-4.6085009438135032</v>
      </c>
      <c r="AB7">
        <f t="shared" si="0"/>
        <v>2.5090877356866983</v>
      </c>
      <c r="AC7">
        <f t="shared" si="0"/>
        <v>-5.6962091625967419</v>
      </c>
      <c r="AD7">
        <v>100</v>
      </c>
      <c r="AE7">
        <v>0.32</v>
      </c>
      <c r="AF7">
        <v>7</v>
      </c>
      <c r="AG7">
        <v>0.7</v>
      </c>
      <c r="AH7">
        <f t="shared" si="1"/>
        <v>5.0118723362727164E-8</v>
      </c>
      <c r="AI7">
        <v>1</v>
      </c>
      <c r="AJ7">
        <v>0.311</v>
      </c>
      <c r="AK7">
        <f t="array" ref="AK7">INDEX(Transcriptome!D$2:D$28,MATCH(1,(Transcriptome!$A$2:$A$28=$B7)*(Transcriptome!$C$2:$C$28=$G7),0))</f>
        <v>0.80840159635551412</v>
      </c>
      <c r="AL7">
        <f t="array" ref="AL7">INDEX(Transcriptome!E$2:E$28,MATCH(1,(Transcriptome!$A$2:$A$28=$B7)*(Transcriptome!$C$2:$C$28=$G7),0))</f>
        <v>1.5163732496679212</v>
      </c>
      <c r="AM7">
        <f t="array" ref="AM7">INDEX(Transcriptome!F$2:F$28,MATCH(1,(Transcriptome!$A$2:$A$28=$B7)*(Transcriptome!$C$2:$C$28=$G7),0))</f>
        <v>1.1218283788538985</v>
      </c>
      <c r="AN7">
        <f t="array" ref="AN7">INDEX(Transcriptome!G$2:G$28,MATCH(1,(Transcriptome!$A$2:$A$28=$B7)*(Transcriptome!$C$2:$C$28=$G7),0))</f>
        <v>0.54718463568993359</v>
      </c>
      <c r="AO7">
        <f t="array" ref="AO7">INDEX(Transcriptome!H$2:H$28,MATCH(1,(Transcriptome!$A$2:$A$28=$B7)*(Transcriptome!$C$2:$C$28=$G7),0))</f>
        <v>0</v>
      </c>
      <c r="AP7">
        <f t="array" ref="AP7">INDEX(Transcriptome!I$2:I$28,MATCH(1,(Transcriptome!$A$2:$A$28=$B7)*(Transcriptome!$C$2:$C$28=$G7),0))</f>
        <v>1.21326487788329</v>
      </c>
      <c r="AQ7">
        <f t="array" ref="AQ7">INDEX(Transcriptome!J$2:J$28,MATCH(1,(Transcriptome!$A$2:$A$28=$B7)*(Transcriptome!$C$2:$C$28=$G7),0))</f>
        <v>1.0655409214479317</v>
      </c>
      <c r="AR7">
        <f t="array" ref="AR7">INDEX(Transcriptome!K$2:K$28,MATCH(1,(Transcriptome!$A$2:$A$28=$B7)*(Transcriptome!$C$2:$C$28=$G7),0))</f>
        <v>0.99473906672325785</v>
      </c>
      <c r="AS7">
        <f t="array" ref="AS7">INDEX(Transcriptome!L$2:L$28,MATCH(1,(Transcriptome!$A$2:$A$28=$B7)*(Transcriptome!$C$2:$C$28=$G7),0))</f>
        <v>1.0003087268363742</v>
      </c>
      <c r="AT7">
        <f t="array" ref="AT7">INDEX(Transcriptome!M$2:M$28,MATCH(1,(Transcriptome!$A$2:$A$28=$B7)*(Transcriptome!$C$2:$C$28=$G7),0))</f>
        <v>1.3775577585380128</v>
      </c>
      <c r="AU7">
        <f t="array" ref="AU7">INDEX(Transcriptome!N$2:N$28,MATCH(1,(Transcriptome!$A$2:$A$28=$B7)*(Transcriptome!$C$2:$C$28=$G7),0))</f>
        <v>0.81114178526603686</v>
      </c>
      <c r="AV7">
        <f t="array" ref="AV7">INDEX(Transcriptome!O$2:O$28,MATCH(1,(Transcriptome!$A$2:$A$28=$B7)*(Transcriptome!$C$2:$C$28=$G7),0))</f>
        <v>1.1696661685593308</v>
      </c>
      <c r="AW7">
        <f t="array" ref="AW7">INDEX(Transcriptome!P$2:P$28,MATCH(1,(Transcriptome!$A$2:$A$28=$B7)*(Transcriptome!$C$2:$C$28=$G7),0))</f>
        <v>1.2073370579107578</v>
      </c>
      <c r="AX7">
        <f t="array" ref="AX7">INDEX(Transcriptome!Q$2:Q$28,MATCH(1,(Transcriptome!$A$2:$A$28=$B7)*(Transcriptome!$C$2:$C$28=$G7),0))</f>
        <v>0.58362943726722871</v>
      </c>
      <c r="AY7">
        <f t="array" ref="AY7">INDEX(Transcriptome!R$2:R$28,MATCH(1,(Transcriptome!$A$2:$A$28=$B7)*(Transcriptome!$C$2:$C$28=$G7),0))</f>
        <v>0.50376877903698547</v>
      </c>
      <c r="AZ7">
        <f t="array" ref="AZ7">INDEX(Transcriptome!S$2:S$28,MATCH(1,(Transcriptome!$A$2:$A$28=$B7)*(Transcriptome!$C$2:$C$28=$G7),0))</f>
        <v>0.46985710445636059</v>
      </c>
      <c r="BA7">
        <f t="array" ref="BA7">INDEX(Transcriptome!T$2:T$28,MATCH(1,(Transcriptome!$A$2:$A$28=$B7)*(Transcriptome!$C$2:$C$28=$G7),0))</f>
        <v>1.1189256123640647</v>
      </c>
      <c r="BB7">
        <f t="array" ref="BB7">INDEX(Transcriptome!U$2:U$28,MATCH(1,(Transcriptome!$A$2:$A$28=$B7)*(Transcriptome!$C$2:$C$28=$G7),0))</f>
        <v>3.5410137925199292</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0.88665697502311858</v>
      </c>
      <c r="BF7">
        <f t="array" ref="BF7">INDEX(Transcriptome!Y$2:Y$28,MATCH(1,(Transcriptome!$A$2:$A$28=$B7)*(Transcriptome!$C$2:$C$28=$G7),0))</f>
        <v>0</v>
      </c>
      <c r="BG7">
        <f t="array" ref="BG7">INDEX(Transcriptome!Z$2:Z$28,MATCH(1,(Transcriptome!$A$2:$A$28=$B7)*(Transcriptome!$C$2:$C$28=$G7),0))</f>
        <v>1.1899558091643074</v>
      </c>
      <c r="BH7">
        <f t="array" ref="BH7">INDEX(Transcriptome!AA$2:AA$28,MATCH(1,(Transcriptome!$A$2:$A$28=$B7)*(Transcriptome!$C$2:$C$28=$G7),0))</f>
        <v>1.2011425699950584</v>
      </c>
      <c r="BI7">
        <f t="array" ref="BI7">INDEX(Transcriptome!AB$2:AB$28,MATCH(1,(Transcriptome!$A$2:$A$28=$B7)*(Transcriptome!$C$2:$C$28=$G7),0))</f>
        <v>0.42782681289615299</v>
      </c>
      <c r="BJ7">
        <f t="array" ref="BJ7">INDEX(Transcriptome!AC$2:AC$28,MATCH(1,(Transcriptome!$A$2:$A$28=$B7)*(Transcriptome!$C$2:$C$28=$G7),0))</f>
        <v>0.99882183295258842</v>
      </c>
      <c r="BK7">
        <f t="array" ref="BK7">INDEX(Transcriptome!AD$2:AD$28,MATCH(1,(Transcriptome!$A$2:$A$28=$B7)*(Transcriptome!$C$2:$C$28=$G7),0))</f>
        <v>0.85625549574435611</v>
      </c>
      <c r="BL7">
        <f t="array" ref="BL7">INDEX(Transcriptome!AE$2:AE$28,MATCH(1,(Transcriptome!$A$2:$A$28=$B7)*(Transcriptome!$C$2:$C$28=$G7),0))</f>
        <v>1.432947670810945</v>
      </c>
      <c r="BM7">
        <f t="array" ref="BM7">INDEX(Transcriptome!AF$2:AF$28,MATCH(1,(Transcriptome!$A$2:$A$28=$B7)*(Transcriptome!$C$2:$C$28=$G7),0))</f>
        <v>0.59392555830865223</v>
      </c>
      <c r="BN7">
        <f t="array" ref="BN7">INDEX(Transcriptome!AG$2:AG$28,MATCH(1,(Transcriptome!$A$2:$A$28=$B7)*(Transcriptome!$C$2:$C$28=$G7),0))</f>
        <v>0.48730497239940024</v>
      </c>
      <c r="BO7">
        <f t="array" ref="BO7">INDEX(Transcriptome!AH$2:AH$28,MATCH(1,(Transcriptome!$A$2:$A$28=$B7)*(Transcriptome!$C$2:$C$28=$G7),0))</f>
        <v>1.8095179354972706</v>
      </c>
      <c r="BP7">
        <f t="array" ref="BP7">INDEX(Transcriptome!AI$2:AI$28,MATCH(1,(Transcriptome!$A$2:$A$28=$B7)*(Transcriptome!$C$2:$C$28=$G7),0))</f>
        <v>0.71240057843874782</v>
      </c>
      <c r="BQ7">
        <f t="array" ref="BQ7">INDEX(Transcriptome!AJ$2:AJ$28,MATCH(1,(Transcriptome!$A$2:$A$28=$B7)*(Transcriptome!$C$2:$C$28=$G7),0))</f>
        <v>0.87499852201140327</v>
      </c>
      <c r="BR7">
        <f t="array" ref="BR7">INDEX(Transcriptome!AK$2:AK$28,MATCH(1,(Transcriptome!$A$2:$A$28=$B7)*(Transcriptome!$C$2:$C$28=$G7),0))</f>
        <v>0.65277414413996737</v>
      </c>
      <c r="BS7">
        <f t="array" ref="BS7">INDEX(Transcriptome!AL$2:AL$28,MATCH(1,(Transcriptome!$A$2:$A$28=$B7)*(Transcriptome!$C$2:$C$28=$G7),0))</f>
        <v>1</v>
      </c>
      <c r="BT7">
        <f t="array" ref="BT7">INDEX(Transcriptome!AM$2:AM$28,MATCH(1,(Transcriptome!$A$2:$A$28=$B7)*(Transcriptome!$C$2:$C$28=$G7),0))</f>
        <v>0.71122483365382949</v>
      </c>
      <c r="BU7">
        <f t="array" ref="BU7">INDEX(Transcriptome!AN$2:AN$28,MATCH(1,(Transcriptome!$A$2:$A$28=$B7)*(Transcriptome!$C$2:$C$28=$G7),0))</f>
        <v>0.98918496260154987</v>
      </c>
      <c r="BV7">
        <f t="array" ref="BV7">INDEX(Transcriptome!AO$2:AO$28,MATCH(1,(Transcriptome!$A$2:$A$28=$B7)*(Transcriptome!$C$2:$C$28=$G7),0))</f>
        <v>1.0632881677534851</v>
      </c>
      <c r="BW7">
        <f t="array" ref="BW7">INDEX(Transcriptome!AP$2:AP$28,MATCH(1,(Transcriptome!$A$2:$A$28=$B7)*(Transcriptome!$C$2:$C$28=$G7),0))</f>
        <v>1.0207894409757674</v>
      </c>
      <c r="BX7">
        <f t="array" ref="BX7">INDEX(Transcriptome!AQ$2:AQ$28,MATCH(1,(Transcriptome!$A$2:$A$28=$B7)*(Transcriptome!$C$2:$C$28=$G7),0))</f>
        <v>1.3069351817787282</v>
      </c>
      <c r="BY7">
        <f t="array" ref="BY7">INDEX(Transcriptome!AR$2:AR$28,MATCH(1,(Transcriptome!$A$2:$A$28=$B7)*(Transcriptome!$C$2:$C$28=$G7),0))</f>
        <v>0.72172948001285797</v>
      </c>
      <c r="BZ7">
        <f t="array" ref="BZ7">INDEX(Transcriptome!AS$2:AS$28,MATCH(1,(Transcriptome!$A$2:$A$28=$B7)*(Transcriptome!$C$2:$C$28=$G7),0))</f>
        <v>0.88310890556595556</v>
      </c>
      <c r="CA7">
        <f t="array" ref="CA7">INDEX(Transcriptome!AT$2:AT$28,MATCH(1,(Transcriptome!$A$2:$A$28=$B7)*(Transcriptome!$C$2:$C$28=$G7),0))</f>
        <v>0.78068554124751866</v>
      </c>
      <c r="CB7">
        <f t="array" ref="CB7">INDEX(Transcriptome!AU$2:AU$28,MATCH(1,(Transcriptome!$A$2:$A$28=$B7)*(Transcriptome!$C$2:$C$28=$G7),0))</f>
        <v>1.6853604227569587</v>
      </c>
      <c r="CC7">
        <f t="array" ref="CC7">INDEX(Transcriptome!AV$2:AV$28,MATCH(1,(Transcriptome!$A$2:$A$28=$B7)*(Transcriptome!$C$2:$C$28=$G7),0))</f>
        <v>0.60019145421519393</v>
      </c>
      <c r="CD7">
        <f t="array" ref="CD7">INDEX(Transcriptome!AW$2:AW$28,MATCH(1,(Transcriptome!$A$2:$A$28=$B7)*(Transcriptome!$C$2:$C$28=$G7),0))</f>
        <v>0.81640008350667004</v>
      </c>
      <c r="CE7">
        <f t="array" ref="CE7">INDEX(Transcriptome!AX$2:AX$28,MATCH(1,(Transcriptome!$A$2:$A$28=$B7)*(Transcriptome!$C$2:$C$28=$G7),0))</f>
        <v>0.82787377286856667</v>
      </c>
      <c r="CF7">
        <f t="array" ref="CF7">INDEX(Transcriptome!AY$2:AY$28,MATCH(1,(Transcriptome!$A$2:$A$28=$B7)*(Transcriptome!$C$2:$C$28=$G7),0))</f>
        <v>0.89890108706972605</v>
      </c>
      <c r="CG7">
        <f t="array" ref="CG7">INDEX(Transcriptome!AZ$2:AZ$28,MATCH(1,(Transcriptome!$A$2:$A$28=$B7)*(Transcriptome!$C$2:$C$28=$G7),0))</f>
        <v>0.59861399415185224</v>
      </c>
      <c r="CH7">
        <f t="array" ref="CH7">INDEX(Transcriptome!BA$2:BA$28,MATCH(1,(Transcriptome!$A$2:$A$28=$B7)*(Transcriptome!$C$2:$C$28=$G7),0))</f>
        <v>1.8026104389010524</v>
      </c>
      <c r="CI7">
        <f t="array" ref="CI7">INDEX(Transcriptome!BB$2:BB$28,MATCH(1,(Transcriptome!$A$2:$A$28=$B7)*(Transcriptome!$C$2:$C$28=$G7),0))</f>
        <v>2.1137531601340016</v>
      </c>
      <c r="CJ7">
        <f t="array" ref="CJ7">INDEX(Transcriptome!BC$2:BC$28,MATCH(1,(Transcriptome!$A$2:$A$28=$B7)*(Transcriptome!$C$2:$C$28=$G7),0))</f>
        <v>0</v>
      </c>
      <c r="CK7">
        <f t="array" ref="CK7">INDEX(Transcriptome!BD$2:BD$28,MATCH(1,(Transcriptome!$A$2:$A$28=$B7)*(Transcriptome!$C$2:$C$28=$G7),0))</f>
        <v>1.4782234663879816</v>
      </c>
      <c r="CL7">
        <f t="array" ref="CL7">INDEX(Transcriptome!BE$2:BE$28,MATCH(1,(Transcriptome!$A$2:$A$28=$B7)*(Transcriptome!$C$2:$C$28=$G7),0))</f>
        <v>1.4666747772910123</v>
      </c>
      <c r="CM7">
        <f t="array" ref="CM7">INDEX(Transcriptome!BF$2:BF$28,MATCH(1,(Transcriptome!$A$2:$A$28=$B7)*(Transcriptome!$C$2:$C$28=$G7),0))</f>
        <v>1.507625498431161</v>
      </c>
      <c r="CN7">
        <f t="array" ref="CN7">INDEX(Transcriptome!BG$2:BG$28,MATCH(1,(Transcriptome!$A$2:$A$28=$B7)*(Transcriptome!$C$2:$C$28=$G7),0))</f>
        <v>2.5212399808112504</v>
      </c>
      <c r="CO7">
        <f t="array" ref="CO7">INDEX(Transcriptome!BH$2:BH$28,MATCH(1,(Transcriptome!$A$2:$A$28=$B7)*(Transcriptome!$C$2:$C$28=$G7),0))</f>
        <v>0.5793848749027265</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3.5568635172654277</v>
      </c>
      <c r="CS7">
        <f t="array" ref="CS7">INDEX(Transcriptome!BL$2:BL$28,MATCH(1,(Transcriptome!$A$2:$A$28=$B7)*(Transcriptome!$C$2:$C$28=$G7),0))</f>
        <v>2.3392666351837739</v>
      </c>
      <c r="CT7">
        <f t="array" ref="CT7">INDEX(Transcriptome!BM$2:BM$28,MATCH(1,(Transcriptome!$A$2:$A$28=$B7)*(Transcriptome!$C$2:$C$28=$G7),0))</f>
        <v>0.65806154225315017</v>
      </c>
      <c r="CU7">
        <f t="array" ref="CU7">INDEX(Transcriptome!BN$2:BN$28,MATCH(1,(Transcriptome!$A$2:$A$28=$B7)*(Transcriptome!$C$2:$C$28=$G7),0))</f>
        <v>36.47398676016153</v>
      </c>
      <c r="CV7">
        <f t="array" ref="CV7">INDEX(Transcriptome!BO$2:BO$28,MATCH(1,(Transcriptome!$A$2:$A$28=$B7)*(Transcriptome!$C$2:$C$28=$G7),0))</f>
        <v>1.4410124598864966</v>
      </c>
      <c r="CW7">
        <f t="array" ref="CW7">INDEX(Transcriptome!BP$2:BP$28,MATCH(1,(Transcriptome!$A$2:$A$28=$B7)*(Transcriptome!$C$2:$C$28=$G7),0))</f>
        <v>0.5793848749027265</v>
      </c>
      <c r="CX7">
        <f t="array" ref="CX7">INDEX(Transcriptome!BQ$2:BQ$28,MATCH(1,(Transcriptome!$A$2:$A$28=$B7)*(Transcriptome!$C$2:$C$28=$G7),0))</f>
        <v>1</v>
      </c>
      <c r="CY7">
        <f t="array" ref="CY7">INDEX(Transcriptome!BR$2:BR$28,MATCH(1,(Transcriptome!$A$2:$A$28=$B7)*(Transcriptome!$C$2:$C$28=$G7),0))</f>
        <v>1.3555456312582743</v>
      </c>
    </row>
    <row r="8" spans="1:103">
      <c r="A8">
        <f>'Measured Data'!A13</f>
        <v>6</v>
      </c>
      <c r="B8" t="s">
        <v>583</v>
      </c>
      <c r="C8" s="324" t="s">
        <v>586</v>
      </c>
      <c r="D8">
        <v>1</v>
      </c>
      <c r="E8">
        <f>'Measured Data'!H13</f>
        <v>6.4754999710083014</v>
      </c>
      <c r="F8" s="477">
        <f>'Measured Data'!K13</f>
        <v>99.270401000976562</v>
      </c>
      <c r="G8" t="s">
        <v>511</v>
      </c>
      <c r="H8" s="321">
        <f>'Measured Data'!B13</f>
        <v>5.8784722222189885</v>
      </c>
      <c r="I8" s="322">
        <f>'Measured Data'!C13</f>
        <v>141.08333333325572</v>
      </c>
      <c r="J8">
        <f>'In Process Calc.'!B9</f>
        <v>5.8784722222189885</v>
      </c>
      <c r="K8">
        <f>'In Process Calc.'!C9</f>
        <v>141.08333333325572</v>
      </c>
      <c r="L8">
        <f>'Measured Data'!Z13</f>
        <v>33.526499256200182</v>
      </c>
      <c r="M8">
        <f>'Measured Data'!AF13</f>
        <v>10.768206039076377</v>
      </c>
      <c r="N8">
        <f>'Measured Data'!AA13</f>
        <v>1.5780000000000001</v>
      </c>
      <c r="O8">
        <f>'Measured Data'!W13</f>
        <v>6.7220000000000004</v>
      </c>
      <c r="P8">
        <f>'Measured Data'!X13</f>
        <v>2.1890000000000001</v>
      </c>
      <c r="Q8">
        <f>'Growth Regression'!P8</f>
        <v>1.6817943095409092E-2</v>
      </c>
      <c r="R8">
        <f>Q8/'Growth Regression'!$O$24</f>
        <v>0.62749785503196442</v>
      </c>
      <c r="S8">
        <f>'Post Process Calc.'!K9</f>
        <v>5.7484212717558075E-2</v>
      </c>
      <c r="T8">
        <f>'Post Process Calc.'!Q9</f>
        <v>1.4707185509965399E-2</v>
      </c>
      <c r="U8">
        <f>'Post Process Calc.'!L9</f>
        <v>-4.8906321548188641E-3</v>
      </c>
      <c r="V8">
        <f>'Post Process Calc.'!H9</f>
        <v>4.4586084135094647E-3</v>
      </c>
      <c r="W8">
        <f>'Post Process Calc.'!I9</f>
        <v>-4.1603717861920268E-3</v>
      </c>
      <c r="X8">
        <f>'Post Process Calc.'!AG9</f>
        <v>0.25584738512863398</v>
      </c>
      <c r="Y8">
        <f t="shared" si="2"/>
        <v>35.927632948473793</v>
      </c>
      <c r="Z8">
        <f t="shared" si="2"/>
        <v>9.1919909437283742</v>
      </c>
      <c r="AA8">
        <f t="shared" si="0"/>
        <v>-3.0566450967617897</v>
      </c>
      <c r="AB8">
        <f t="shared" si="0"/>
        <v>2.7866302584434153</v>
      </c>
      <c r="AC8">
        <f t="shared" si="0"/>
        <v>-2.6002323663700166</v>
      </c>
      <c r="AD8">
        <v>100</v>
      </c>
      <c r="AE8">
        <v>0.32</v>
      </c>
      <c r="AF8">
        <v>7</v>
      </c>
      <c r="AG8">
        <v>0.7</v>
      </c>
      <c r="AH8">
        <f t="shared" si="1"/>
        <v>5.0118723362727164E-8</v>
      </c>
      <c r="AI8">
        <v>1</v>
      </c>
      <c r="AJ8">
        <v>0.311</v>
      </c>
      <c r="AK8">
        <f t="array" ref="AK8">INDEX(Transcriptome!D$2:D$28,MATCH(1,(Transcriptome!$A$2:$A$28=$B8)*(Transcriptome!$C$2:$C$28=$G8),0))</f>
        <v>0.83983334541737553</v>
      </c>
      <c r="AL8">
        <f t="array" ref="AL8">INDEX(Transcriptome!E$2:E$28,MATCH(1,(Transcriptome!$A$2:$A$28=$B8)*(Transcriptome!$C$2:$C$28=$G8),0))</f>
        <v>1.4975813108811158</v>
      </c>
      <c r="AM8">
        <f t="array" ref="AM8">INDEX(Transcriptome!F$2:F$28,MATCH(1,(Transcriptome!$A$2:$A$28=$B8)*(Transcriptome!$C$2:$C$28=$G8),0))</f>
        <v>1.0863645413117049</v>
      </c>
      <c r="AN8">
        <f t="array" ref="AN8">INDEX(Transcriptome!G$2:G$28,MATCH(1,(Transcriptome!$A$2:$A$28=$B8)*(Transcriptome!$C$2:$C$28=$G8),0))</f>
        <v>1.3992148799643307</v>
      </c>
      <c r="AO8">
        <f t="array" ref="AO8">INDEX(Transcriptome!H$2:H$28,MATCH(1,(Transcriptome!$A$2:$A$28=$B8)*(Transcriptome!$C$2:$C$28=$G8),0))</f>
        <v>0</v>
      </c>
      <c r="AP8">
        <f t="array" ref="AP8">INDEX(Transcriptome!I$2:I$28,MATCH(1,(Transcriptome!$A$2:$A$28=$B8)*(Transcriptome!$C$2:$C$28=$G8),0))</f>
        <v>1.2396994996744981</v>
      </c>
      <c r="AQ8">
        <f t="array" ref="AQ8">INDEX(Transcriptome!J$2:J$28,MATCH(1,(Transcriptome!$A$2:$A$28=$B8)*(Transcriptome!$C$2:$C$28=$G8),0))</f>
        <v>1.077378839510045</v>
      </c>
      <c r="AR8">
        <f t="array" ref="AR8">INDEX(Transcriptome!K$2:K$28,MATCH(1,(Transcriptome!$A$2:$A$28=$B8)*(Transcriptome!$C$2:$C$28=$G8),0))</f>
        <v>1.048943045540466</v>
      </c>
      <c r="AS8">
        <f t="array" ref="AS8">INDEX(Transcriptome!L$2:L$28,MATCH(1,(Transcriptome!$A$2:$A$28=$B8)*(Transcriptome!$C$2:$C$28=$G8),0))</f>
        <v>1.0386505599989455</v>
      </c>
      <c r="AT8">
        <f t="array" ref="AT8">INDEX(Transcriptome!M$2:M$28,MATCH(1,(Transcriptome!$A$2:$A$28=$B8)*(Transcriptome!$C$2:$C$28=$G8),0))</f>
        <v>1.3921248660596082</v>
      </c>
      <c r="AU8">
        <f t="array" ref="AU8">INDEX(Transcriptome!N$2:N$28,MATCH(1,(Transcriptome!$A$2:$A$28=$B8)*(Transcriptome!$C$2:$C$28=$G8),0))</f>
        <v>0.80428662927176275</v>
      </c>
      <c r="AV8">
        <f t="array" ref="AV8">INDEX(Transcriptome!O$2:O$28,MATCH(1,(Transcriptome!$A$2:$A$28=$B8)*(Transcriptome!$C$2:$C$28=$G8),0))</f>
        <v>1.1511693155225196</v>
      </c>
      <c r="AW8">
        <f t="array" ref="AW8">INDEX(Transcriptome!P$2:P$28,MATCH(1,(Transcriptome!$A$2:$A$28=$B8)*(Transcriptome!$C$2:$C$28=$G8),0))</f>
        <v>1.2129804210902995</v>
      </c>
      <c r="AX8">
        <f t="array" ref="AX8">INDEX(Transcriptome!Q$2:Q$28,MATCH(1,(Transcriptome!$A$2:$A$28=$B8)*(Transcriptome!$C$2:$C$28=$G8),0))</f>
        <v>0.60167449878388157</v>
      </c>
      <c r="AY8">
        <f t="array" ref="AY8">INDEX(Transcriptome!R$2:R$28,MATCH(1,(Transcriptome!$A$2:$A$28=$B8)*(Transcriptome!$C$2:$C$28=$G8),0))</f>
        <v>0.48523180165768648</v>
      </c>
      <c r="AZ8">
        <f t="array" ref="AZ8">INDEX(Transcriptome!S$2:S$28,MATCH(1,(Transcriptome!$A$2:$A$28=$B8)*(Transcriptome!$C$2:$C$28=$G8),0))</f>
        <v>0.50051495197747631</v>
      </c>
      <c r="BA8">
        <f t="array" ref="BA8">INDEX(Transcriptome!T$2:T$28,MATCH(1,(Transcriptome!$A$2:$A$28=$B8)*(Transcriptome!$C$2:$C$28=$G8),0))</f>
        <v>1.1402892565540921</v>
      </c>
      <c r="BB8">
        <f t="array" ref="BB8">INDEX(Transcriptome!U$2:U$28,MATCH(1,(Transcriptome!$A$2:$A$28=$B8)*(Transcriptome!$C$2:$C$28=$G8),0))</f>
        <v>3.4643967211167714</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0.87510624714564267</v>
      </c>
      <c r="BF8">
        <f t="array" ref="BF8">INDEX(Transcriptome!Y$2:Y$28,MATCH(1,(Transcriptome!$A$2:$A$28=$B8)*(Transcriptome!$C$2:$C$28=$G8),0))</f>
        <v>0</v>
      </c>
      <c r="BG8">
        <f t="array" ref="BG8">INDEX(Transcriptome!Z$2:Z$28,MATCH(1,(Transcriptome!$A$2:$A$28=$B8)*(Transcriptome!$C$2:$C$28=$G8),0))</f>
        <v>1.1758464976407674</v>
      </c>
      <c r="BH8">
        <f t="array" ref="BH8">INDEX(Transcriptome!AA$2:AA$28,MATCH(1,(Transcriptome!$A$2:$A$28=$B8)*(Transcriptome!$C$2:$C$28=$G8),0))</f>
        <v>1.1856347805545291</v>
      </c>
      <c r="BI8">
        <f t="array" ref="BI8">INDEX(Transcriptome!AB$2:AB$28,MATCH(1,(Transcriptome!$A$2:$A$28=$B8)*(Transcriptome!$C$2:$C$28=$G8),0))</f>
        <v>0.41555972801663571</v>
      </c>
      <c r="BJ8">
        <f t="array" ref="BJ8">INDEX(Transcriptome!AC$2:AC$28,MATCH(1,(Transcriptome!$A$2:$A$28=$B8)*(Transcriptome!$C$2:$C$28=$G8),0))</f>
        <v>0.96864944883128323</v>
      </c>
      <c r="BK8">
        <f t="array" ref="BK8">INDEX(Transcriptome!AD$2:AD$28,MATCH(1,(Transcriptome!$A$2:$A$28=$B8)*(Transcriptome!$C$2:$C$28=$G8),0))</f>
        <v>0.79079982721062669</v>
      </c>
      <c r="BL8">
        <f t="array" ref="BL8">INDEX(Transcriptome!AE$2:AE$28,MATCH(1,(Transcriptome!$A$2:$A$28=$B8)*(Transcriptome!$C$2:$C$28=$G8),0))</f>
        <v>1.3785459319267952</v>
      </c>
      <c r="BM8">
        <f t="array" ref="BM8">INDEX(Transcriptome!AF$2:AF$28,MATCH(1,(Transcriptome!$A$2:$A$28=$B8)*(Transcriptome!$C$2:$C$28=$G8),0))</f>
        <v>0.58252952595385121</v>
      </c>
      <c r="BN8">
        <f t="array" ref="BN8">INDEX(Transcriptome!AG$2:AG$28,MATCH(1,(Transcriptome!$A$2:$A$28=$B8)*(Transcriptome!$C$2:$C$28=$G8),0))</f>
        <v>0.45944021113968969</v>
      </c>
      <c r="BO8">
        <f t="array" ref="BO8">INDEX(Transcriptome!AH$2:AH$28,MATCH(1,(Transcriptome!$A$2:$A$28=$B8)*(Transcriptome!$C$2:$C$28=$G8),0))</f>
        <v>1.939908553060264</v>
      </c>
      <c r="BP8">
        <f t="array" ref="BP8">INDEX(Transcriptome!AI$2:AI$28,MATCH(1,(Transcriptome!$A$2:$A$28=$B8)*(Transcriptome!$C$2:$C$28=$G8),0))</f>
        <v>0.72619141912955099</v>
      </c>
      <c r="BQ8">
        <f t="array" ref="BQ8">INDEX(Transcriptome!AJ$2:AJ$28,MATCH(1,(Transcriptome!$A$2:$A$28=$B8)*(Transcriptome!$C$2:$C$28=$G8),0))</f>
        <v>0.90634977146097617</v>
      </c>
      <c r="BR8">
        <f t="array" ref="BR8">INDEX(Transcriptome!AK$2:AK$28,MATCH(1,(Transcriptome!$A$2:$A$28=$B8)*(Transcriptome!$C$2:$C$28=$G8),0))</f>
        <v>0.67102238805073788</v>
      </c>
      <c r="BS8">
        <f t="array" ref="BS8">INDEX(Transcriptome!AL$2:AL$28,MATCH(1,(Transcriptome!$A$2:$A$28=$B8)*(Transcriptome!$C$2:$C$28=$G8),0))</f>
        <v>1</v>
      </c>
      <c r="BT8">
        <f t="array" ref="BT8">INDEX(Transcriptome!AM$2:AM$28,MATCH(1,(Transcriptome!$A$2:$A$28=$B8)*(Transcriptome!$C$2:$C$28=$G8),0))</f>
        <v>0.71846570694758194</v>
      </c>
      <c r="BU8">
        <f t="array" ref="BU8">INDEX(Transcriptome!AN$2:AN$28,MATCH(1,(Transcriptome!$A$2:$A$28=$B8)*(Transcriptome!$C$2:$C$28=$G8),0))</f>
        <v>1.0357204335376631</v>
      </c>
      <c r="BV8">
        <f t="array" ref="BV8">INDEX(Transcriptome!AO$2:AO$28,MATCH(1,(Transcriptome!$A$2:$A$28=$B8)*(Transcriptome!$C$2:$C$28=$G8),0))</f>
        <v>1.0236705943541682</v>
      </c>
      <c r="BW8">
        <f t="array" ref="BW8">INDEX(Transcriptome!AP$2:AP$28,MATCH(1,(Transcriptome!$A$2:$A$28=$B8)*(Transcriptome!$C$2:$C$28=$G8),0))</f>
        <v>1.0475790988612137</v>
      </c>
      <c r="BX8">
        <f t="array" ref="BX8">INDEX(Transcriptome!AQ$2:AQ$28,MATCH(1,(Transcriptome!$A$2:$A$28=$B8)*(Transcriptome!$C$2:$C$28=$G8),0))</f>
        <v>1.3391539448359624</v>
      </c>
      <c r="BY8">
        <f t="array" ref="BY8">INDEX(Transcriptome!AR$2:AR$28,MATCH(1,(Transcriptome!$A$2:$A$28=$B8)*(Transcriptome!$C$2:$C$28=$G8),0))</f>
        <v>0.7013917915350385</v>
      </c>
      <c r="BZ8">
        <f t="array" ref="BZ8">INDEX(Transcriptome!AS$2:AS$28,MATCH(1,(Transcriptome!$A$2:$A$28=$B8)*(Transcriptome!$C$2:$C$28=$G8),0))</f>
        <v>0.89631091004770125</v>
      </c>
      <c r="CA8">
        <f t="array" ref="CA8">INDEX(Transcriptome!AT$2:AT$28,MATCH(1,(Transcriptome!$A$2:$A$28=$B8)*(Transcriptome!$C$2:$C$28=$G8),0))</f>
        <v>0.74015048266825856</v>
      </c>
      <c r="CB8">
        <f t="array" ref="CB8">INDEX(Transcriptome!AU$2:AU$28,MATCH(1,(Transcriptome!$A$2:$A$28=$B8)*(Transcriptome!$C$2:$C$28=$G8),0))</f>
        <v>1.6833342666062783</v>
      </c>
      <c r="CC8">
        <f t="array" ref="CC8">INDEX(Transcriptome!AV$2:AV$28,MATCH(1,(Transcriptome!$A$2:$A$28=$B8)*(Transcriptome!$C$2:$C$28=$G8),0))</f>
        <v>0.64230900615145092</v>
      </c>
      <c r="CD8">
        <f t="array" ref="CD8">INDEX(Transcriptome!AW$2:AW$28,MATCH(1,(Transcriptome!$A$2:$A$28=$B8)*(Transcriptome!$C$2:$C$28=$G8),0))</f>
        <v>0.81740021810874552</v>
      </c>
      <c r="CE8">
        <f t="array" ref="CE8">INDEX(Transcriptome!AX$2:AX$28,MATCH(1,(Transcriptome!$A$2:$A$28=$B8)*(Transcriptome!$C$2:$C$28=$G8),0))</f>
        <v>0.81543264067946697</v>
      </c>
      <c r="CF8">
        <f t="array" ref="CF8">INDEX(Transcriptome!AY$2:AY$28,MATCH(1,(Transcriptome!$A$2:$A$28=$B8)*(Transcriptome!$C$2:$C$28=$G8),0))</f>
        <v>0.893387807520859</v>
      </c>
      <c r="CG8">
        <f t="array" ref="CG8">INDEX(Transcriptome!AZ$2:AZ$28,MATCH(1,(Transcriptome!$A$2:$A$28=$B8)*(Transcriptome!$C$2:$C$28=$G8),0))</f>
        <v>0.58478305735162239</v>
      </c>
      <c r="CH8">
        <f t="array" ref="CH8">INDEX(Transcriptome!BA$2:BA$28,MATCH(1,(Transcriptome!$A$2:$A$28=$B8)*(Transcriptome!$C$2:$C$28=$G8),0))</f>
        <v>1.9527807129586991</v>
      </c>
      <c r="CI8">
        <f t="array" ref="CI8">INDEX(Transcriptome!BB$2:BB$28,MATCH(1,(Transcriptome!$A$2:$A$28=$B8)*(Transcriptome!$C$2:$C$28=$G8),0))</f>
        <v>2.0477445468289903</v>
      </c>
      <c r="CJ8">
        <f t="array" ref="CJ8">INDEX(Transcriptome!BC$2:BC$28,MATCH(1,(Transcriptome!$A$2:$A$28=$B8)*(Transcriptome!$C$2:$C$28=$G8),0))</f>
        <v>0</v>
      </c>
      <c r="CK8">
        <f t="array" ref="CK8">INDEX(Transcriptome!BD$2:BD$28,MATCH(1,(Transcriptome!$A$2:$A$28=$B8)*(Transcriptome!$C$2:$C$28=$G8),0))</f>
        <v>1.5191296600446986</v>
      </c>
      <c r="CL8">
        <f t="array" ref="CL8">INDEX(Transcriptome!BE$2:BE$28,MATCH(1,(Transcriptome!$A$2:$A$28=$B8)*(Transcriptome!$C$2:$C$28=$G8),0))</f>
        <v>1.7681049434294362</v>
      </c>
      <c r="CM8">
        <f t="array" ref="CM8">INDEX(Transcriptome!BF$2:BF$28,MATCH(1,(Transcriptome!$A$2:$A$28=$B8)*(Transcriptome!$C$2:$C$28=$G8),0))</f>
        <v>1.6268835883508099</v>
      </c>
      <c r="CN8">
        <f t="array" ref="CN8">INDEX(Transcriptome!BG$2:BG$28,MATCH(1,(Transcriptome!$A$2:$A$28=$B8)*(Transcriptome!$C$2:$C$28=$G8),0))</f>
        <v>2.413292939876015</v>
      </c>
      <c r="CO8">
        <f t="array" ref="CO8">INDEX(Transcriptome!BH$2:BH$28,MATCH(1,(Transcriptome!$A$2:$A$28=$B8)*(Transcriptome!$C$2:$C$28=$G8),0))</f>
        <v>0.63533544697226152</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3.227995319787698</v>
      </c>
      <c r="CS8">
        <f t="array" ref="CS8">INDEX(Transcriptome!BL$2:BL$28,MATCH(1,(Transcriptome!$A$2:$A$28=$B8)*(Transcriptome!$C$2:$C$28=$G8),0))</f>
        <v>2.409150222629028</v>
      </c>
      <c r="CT8">
        <f t="array" ref="CT8">INDEX(Transcriptome!BM$2:BM$28,MATCH(1,(Transcriptome!$A$2:$A$28=$B8)*(Transcriptome!$C$2:$C$28=$G8),0))</f>
        <v>0.63561956761477334</v>
      </c>
      <c r="CU8">
        <f t="array" ref="CU8">INDEX(Transcriptome!BN$2:BN$28,MATCH(1,(Transcriptome!$A$2:$A$28=$B8)*(Transcriptome!$C$2:$C$28=$G8),0))</f>
        <v>35.829358617439233</v>
      </c>
      <c r="CV8">
        <f t="array" ref="CV8">INDEX(Transcriptome!BO$2:BO$28,MATCH(1,(Transcriptome!$A$2:$A$28=$B8)*(Transcriptome!$C$2:$C$28=$G8),0))</f>
        <v>1.7293328826763994</v>
      </c>
      <c r="CW8">
        <f t="array" ref="CW8">INDEX(Transcriptome!BP$2:BP$28,MATCH(1,(Transcriptome!$A$2:$A$28=$B8)*(Transcriptome!$C$2:$C$28=$G8),0))</f>
        <v>0.63533544697226152</v>
      </c>
      <c r="CX8">
        <f t="array" ref="CX8">INDEX(Transcriptome!BQ$2:BQ$28,MATCH(1,(Transcriptome!$A$2:$A$28=$B8)*(Transcriptome!$C$2:$C$28=$G8),0))</f>
        <v>1</v>
      </c>
      <c r="CY8">
        <f t="array" ref="CY8">INDEX(Transcriptome!BR$2:BR$28,MATCH(1,(Transcriptome!$A$2:$A$28=$B8)*(Transcriptome!$C$2:$C$28=$G8),0))</f>
        <v>1.3684624405766486</v>
      </c>
    </row>
    <row r="9" spans="1:103">
      <c r="A9">
        <f>'Measured Data'!A14</f>
        <v>7</v>
      </c>
      <c r="B9" t="s">
        <v>583</v>
      </c>
      <c r="C9" s="324" t="s">
        <v>586</v>
      </c>
      <c r="D9">
        <v>1</v>
      </c>
      <c r="E9">
        <f>'Measured Data'!H14</f>
        <v>9.8106001449584959</v>
      </c>
      <c r="F9" s="477">
        <f>'Measured Data'!K14</f>
        <v>99.069801330566406</v>
      </c>
      <c r="G9" t="s">
        <v>511</v>
      </c>
      <c r="H9" s="321">
        <f>'Measured Data'!B14</f>
        <v>6.8638888888890506</v>
      </c>
      <c r="I9" s="322">
        <f>'Measured Data'!C14</f>
        <v>164.73333333333721</v>
      </c>
      <c r="J9">
        <f>'In Process Calc.'!B10</f>
        <v>6.8638888888890506</v>
      </c>
      <c r="K9">
        <f>'In Process Calc.'!C10</f>
        <v>164.73333333333721</v>
      </c>
      <c r="L9">
        <f>'Measured Data'!Z14</f>
        <v>29.974022513821357</v>
      </c>
      <c r="M9">
        <f>'Measured Data'!AF14</f>
        <v>13.987566607460035</v>
      </c>
      <c r="N9">
        <f>'Measured Data'!AA14</f>
        <v>2.4569999999999999</v>
      </c>
      <c r="O9">
        <f>'Measured Data'!W14</f>
        <v>5.673</v>
      </c>
      <c r="P9">
        <f>'Measured Data'!X14</f>
        <v>2.976</v>
      </c>
      <c r="Q9">
        <f>'Growth Regression'!P9</f>
        <v>1.2648729841143288E-2</v>
      </c>
      <c r="R9">
        <f>Q9/'Growth Regression'!$O$24</f>
        <v>0.47193945176106844</v>
      </c>
      <c r="S9">
        <f>'Post Process Calc.'!K10</f>
        <v>4.6315429675966649E-2</v>
      </c>
      <c r="T9">
        <f>'Post Process Calc.'!Q10</f>
        <v>5.1732638699410888E-3</v>
      </c>
      <c r="U9">
        <f>'Post Process Calc.'!L10</f>
        <v>-2.7210955859687963E-3</v>
      </c>
      <c r="V9">
        <f>'Post Process Calc.'!H10</f>
        <v>4.1098342225424885E-3</v>
      </c>
      <c r="W9">
        <f>'Post Process Calc.'!I10</f>
        <v>-1.3879212715268701E-3</v>
      </c>
      <c r="X9">
        <f>'Post Process Calc.'!AG10</f>
        <v>0.11169633761652277</v>
      </c>
      <c r="Y9">
        <f t="shared" si="2"/>
        <v>28.947143547479154</v>
      </c>
      <c r="Z9">
        <f t="shared" si="2"/>
        <v>3.2332899187131803</v>
      </c>
      <c r="AA9">
        <f t="shared" si="0"/>
        <v>-1.7006847412304975</v>
      </c>
      <c r="AB9">
        <f t="shared" si="0"/>
        <v>2.568646389089055</v>
      </c>
      <c r="AC9">
        <f t="shared" si="0"/>
        <v>-0.86745079470429376</v>
      </c>
      <c r="AD9">
        <v>100</v>
      </c>
      <c r="AE9">
        <v>0.32</v>
      </c>
      <c r="AF9">
        <v>7</v>
      </c>
      <c r="AG9">
        <v>0.7</v>
      </c>
      <c r="AH9">
        <f t="shared" si="1"/>
        <v>5.0118723362727164E-8</v>
      </c>
      <c r="AI9">
        <v>1</v>
      </c>
      <c r="AJ9">
        <v>0.311</v>
      </c>
      <c r="AK9">
        <f t="array" ref="AK9">INDEX(Transcriptome!D$2:D$28,MATCH(1,(Transcriptome!$A$2:$A$28=$B9)*(Transcriptome!$C$2:$C$28=$G9),0))</f>
        <v>0.83983334541737553</v>
      </c>
      <c r="AL9">
        <f t="array" ref="AL9">INDEX(Transcriptome!E$2:E$28,MATCH(1,(Transcriptome!$A$2:$A$28=$B9)*(Transcriptome!$C$2:$C$28=$G9),0))</f>
        <v>1.4975813108811158</v>
      </c>
      <c r="AM9">
        <f t="array" ref="AM9">INDEX(Transcriptome!F$2:F$28,MATCH(1,(Transcriptome!$A$2:$A$28=$B9)*(Transcriptome!$C$2:$C$28=$G9),0))</f>
        <v>1.0863645413117049</v>
      </c>
      <c r="AN9">
        <f t="array" ref="AN9">INDEX(Transcriptome!G$2:G$28,MATCH(1,(Transcriptome!$A$2:$A$28=$B9)*(Transcriptome!$C$2:$C$28=$G9),0))</f>
        <v>1.3992148799643307</v>
      </c>
      <c r="AO9">
        <f t="array" ref="AO9">INDEX(Transcriptome!H$2:H$28,MATCH(1,(Transcriptome!$A$2:$A$28=$B9)*(Transcriptome!$C$2:$C$28=$G9),0))</f>
        <v>0</v>
      </c>
      <c r="AP9">
        <f t="array" ref="AP9">INDEX(Transcriptome!I$2:I$28,MATCH(1,(Transcriptome!$A$2:$A$28=$B9)*(Transcriptome!$C$2:$C$28=$G9),0))</f>
        <v>1.2396994996744981</v>
      </c>
      <c r="AQ9">
        <f t="array" ref="AQ9">INDEX(Transcriptome!J$2:J$28,MATCH(1,(Transcriptome!$A$2:$A$28=$B9)*(Transcriptome!$C$2:$C$28=$G9),0))</f>
        <v>1.077378839510045</v>
      </c>
      <c r="AR9">
        <f t="array" ref="AR9">INDEX(Transcriptome!K$2:K$28,MATCH(1,(Transcriptome!$A$2:$A$28=$B9)*(Transcriptome!$C$2:$C$28=$G9),0))</f>
        <v>1.048943045540466</v>
      </c>
      <c r="AS9">
        <f t="array" ref="AS9">INDEX(Transcriptome!L$2:L$28,MATCH(1,(Transcriptome!$A$2:$A$28=$B9)*(Transcriptome!$C$2:$C$28=$G9),0))</f>
        <v>1.0386505599989455</v>
      </c>
      <c r="AT9">
        <f t="array" ref="AT9">INDEX(Transcriptome!M$2:M$28,MATCH(1,(Transcriptome!$A$2:$A$28=$B9)*(Transcriptome!$C$2:$C$28=$G9),0))</f>
        <v>1.3921248660596082</v>
      </c>
      <c r="AU9">
        <f t="array" ref="AU9">INDEX(Transcriptome!N$2:N$28,MATCH(1,(Transcriptome!$A$2:$A$28=$B9)*(Transcriptome!$C$2:$C$28=$G9),0))</f>
        <v>0.80428662927176275</v>
      </c>
      <c r="AV9">
        <f t="array" ref="AV9">INDEX(Transcriptome!O$2:O$28,MATCH(1,(Transcriptome!$A$2:$A$28=$B9)*(Transcriptome!$C$2:$C$28=$G9),0))</f>
        <v>1.1511693155225196</v>
      </c>
      <c r="AW9">
        <f t="array" ref="AW9">INDEX(Transcriptome!P$2:P$28,MATCH(1,(Transcriptome!$A$2:$A$28=$B9)*(Transcriptome!$C$2:$C$28=$G9),0))</f>
        <v>1.2129804210902995</v>
      </c>
      <c r="AX9">
        <f t="array" ref="AX9">INDEX(Transcriptome!Q$2:Q$28,MATCH(1,(Transcriptome!$A$2:$A$28=$B9)*(Transcriptome!$C$2:$C$28=$G9),0))</f>
        <v>0.60167449878388157</v>
      </c>
      <c r="AY9">
        <f t="array" ref="AY9">INDEX(Transcriptome!R$2:R$28,MATCH(1,(Transcriptome!$A$2:$A$28=$B9)*(Transcriptome!$C$2:$C$28=$G9),0))</f>
        <v>0.48523180165768648</v>
      </c>
      <c r="AZ9">
        <f t="array" ref="AZ9">INDEX(Transcriptome!S$2:S$28,MATCH(1,(Transcriptome!$A$2:$A$28=$B9)*(Transcriptome!$C$2:$C$28=$G9),0))</f>
        <v>0.50051495197747631</v>
      </c>
      <c r="BA9">
        <f t="array" ref="BA9">INDEX(Transcriptome!T$2:T$28,MATCH(1,(Transcriptome!$A$2:$A$28=$B9)*(Transcriptome!$C$2:$C$28=$G9),0))</f>
        <v>1.1402892565540921</v>
      </c>
      <c r="BB9">
        <f t="array" ref="BB9">INDEX(Transcriptome!U$2:U$28,MATCH(1,(Transcriptome!$A$2:$A$28=$B9)*(Transcriptome!$C$2:$C$28=$G9),0))</f>
        <v>3.4643967211167714</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0.87510624714564267</v>
      </c>
      <c r="BF9">
        <f t="array" ref="BF9">INDEX(Transcriptome!Y$2:Y$28,MATCH(1,(Transcriptome!$A$2:$A$28=$B9)*(Transcriptome!$C$2:$C$28=$G9),0))</f>
        <v>0</v>
      </c>
      <c r="BG9">
        <f t="array" ref="BG9">INDEX(Transcriptome!Z$2:Z$28,MATCH(1,(Transcriptome!$A$2:$A$28=$B9)*(Transcriptome!$C$2:$C$28=$G9),0))</f>
        <v>1.1758464976407674</v>
      </c>
      <c r="BH9">
        <f t="array" ref="BH9">INDEX(Transcriptome!AA$2:AA$28,MATCH(1,(Transcriptome!$A$2:$A$28=$B9)*(Transcriptome!$C$2:$C$28=$G9),0))</f>
        <v>1.1856347805545291</v>
      </c>
      <c r="BI9">
        <f t="array" ref="BI9">INDEX(Transcriptome!AB$2:AB$28,MATCH(1,(Transcriptome!$A$2:$A$28=$B9)*(Transcriptome!$C$2:$C$28=$G9),0))</f>
        <v>0.41555972801663571</v>
      </c>
      <c r="BJ9">
        <f t="array" ref="BJ9">INDEX(Transcriptome!AC$2:AC$28,MATCH(1,(Transcriptome!$A$2:$A$28=$B9)*(Transcriptome!$C$2:$C$28=$G9),0))</f>
        <v>0.96864944883128323</v>
      </c>
      <c r="BK9">
        <f t="array" ref="BK9">INDEX(Transcriptome!AD$2:AD$28,MATCH(1,(Transcriptome!$A$2:$A$28=$B9)*(Transcriptome!$C$2:$C$28=$G9),0))</f>
        <v>0.79079982721062669</v>
      </c>
      <c r="BL9">
        <f t="array" ref="BL9">INDEX(Transcriptome!AE$2:AE$28,MATCH(1,(Transcriptome!$A$2:$A$28=$B9)*(Transcriptome!$C$2:$C$28=$G9),0))</f>
        <v>1.3785459319267952</v>
      </c>
      <c r="BM9">
        <f t="array" ref="BM9">INDEX(Transcriptome!AF$2:AF$28,MATCH(1,(Transcriptome!$A$2:$A$28=$B9)*(Transcriptome!$C$2:$C$28=$G9),0))</f>
        <v>0.58252952595385121</v>
      </c>
      <c r="BN9">
        <f t="array" ref="BN9">INDEX(Transcriptome!AG$2:AG$28,MATCH(1,(Transcriptome!$A$2:$A$28=$B9)*(Transcriptome!$C$2:$C$28=$G9),0))</f>
        <v>0.45944021113968969</v>
      </c>
      <c r="BO9">
        <f t="array" ref="BO9">INDEX(Transcriptome!AH$2:AH$28,MATCH(1,(Transcriptome!$A$2:$A$28=$B9)*(Transcriptome!$C$2:$C$28=$G9),0))</f>
        <v>1.939908553060264</v>
      </c>
      <c r="BP9">
        <f t="array" ref="BP9">INDEX(Transcriptome!AI$2:AI$28,MATCH(1,(Transcriptome!$A$2:$A$28=$B9)*(Transcriptome!$C$2:$C$28=$G9),0))</f>
        <v>0.72619141912955099</v>
      </c>
      <c r="BQ9">
        <f t="array" ref="BQ9">INDEX(Transcriptome!AJ$2:AJ$28,MATCH(1,(Transcriptome!$A$2:$A$28=$B9)*(Transcriptome!$C$2:$C$28=$G9),0))</f>
        <v>0.90634977146097617</v>
      </c>
      <c r="BR9">
        <f t="array" ref="BR9">INDEX(Transcriptome!AK$2:AK$28,MATCH(1,(Transcriptome!$A$2:$A$28=$B9)*(Transcriptome!$C$2:$C$28=$G9),0))</f>
        <v>0.67102238805073788</v>
      </c>
      <c r="BS9">
        <f t="array" ref="BS9">INDEX(Transcriptome!AL$2:AL$28,MATCH(1,(Transcriptome!$A$2:$A$28=$B9)*(Transcriptome!$C$2:$C$28=$G9),0))</f>
        <v>1</v>
      </c>
      <c r="BT9">
        <f t="array" ref="BT9">INDEX(Transcriptome!AM$2:AM$28,MATCH(1,(Transcriptome!$A$2:$A$28=$B9)*(Transcriptome!$C$2:$C$28=$G9),0))</f>
        <v>0.71846570694758194</v>
      </c>
      <c r="BU9">
        <f t="array" ref="BU9">INDEX(Transcriptome!AN$2:AN$28,MATCH(1,(Transcriptome!$A$2:$A$28=$B9)*(Transcriptome!$C$2:$C$28=$G9),0))</f>
        <v>1.0357204335376631</v>
      </c>
      <c r="BV9">
        <f t="array" ref="BV9">INDEX(Transcriptome!AO$2:AO$28,MATCH(1,(Transcriptome!$A$2:$A$28=$B9)*(Transcriptome!$C$2:$C$28=$G9),0))</f>
        <v>1.0236705943541682</v>
      </c>
      <c r="BW9">
        <f t="array" ref="BW9">INDEX(Transcriptome!AP$2:AP$28,MATCH(1,(Transcriptome!$A$2:$A$28=$B9)*(Transcriptome!$C$2:$C$28=$G9),0))</f>
        <v>1.0475790988612137</v>
      </c>
      <c r="BX9">
        <f t="array" ref="BX9">INDEX(Transcriptome!AQ$2:AQ$28,MATCH(1,(Transcriptome!$A$2:$A$28=$B9)*(Transcriptome!$C$2:$C$28=$G9),0))</f>
        <v>1.3391539448359624</v>
      </c>
      <c r="BY9">
        <f t="array" ref="BY9">INDEX(Transcriptome!AR$2:AR$28,MATCH(1,(Transcriptome!$A$2:$A$28=$B9)*(Transcriptome!$C$2:$C$28=$G9),0))</f>
        <v>0.7013917915350385</v>
      </c>
      <c r="BZ9">
        <f t="array" ref="BZ9">INDEX(Transcriptome!AS$2:AS$28,MATCH(1,(Transcriptome!$A$2:$A$28=$B9)*(Transcriptome!$C$2:$C$28=$G9),0))</f>
        <v>0.89631091004770125</v>
      </c>
      <c r="CA9">
        <f t="array" ref="CA9">INDEX(Transcriptome!AT$2:AT$28,MATCH(1,(Transcriptome!$A$2:$A$28=$B9)*(Transcriptome!$C$2:$C$28=$G9),0))</f>
        <v>0.74015048266825856</v>
      </c>
      <c r="CB9">
        <f t="array" ref="CB9">INDEX(Transcriptome!AU$2:AU$28,MATCH(1,(Transcriptome!$A$2:$A$28=$B9)*(Transcriptome!$C$2:$C$28=$G9),0))</f>
        <v>1.6833342666062783</v>
      </c>
      <c r="CC9">
        <f t="array" ref="CC9">INDEX(Transcriptome!AV$2:AV$28,MATCH(1,(Transcriptome!$A$2:$A$28=$B9)*(Transcriptome!$C$2:$C$28=$G9),0))</f>
        <v>0.64230900615145092</v>
      </c>
      <c r="CD9">
        <f t="array" ref="CD9">INDEX(Transcriptome!AW$2:AW$28,MATCH(1,(Transcriptome!$A$2:$A$28=$B9)*(Transcriptome!$C$2:$C$28=$G9),0))</f>
        <v>0.81740021810874552</v>
      </c>
      <c r="CE9">
        <f t="array" ref="CE9">INDEX(Transcriptome!AX$2:AX$28,MATCH(1,(Transcriptome!$A$2:$A$28=$B9)*(Transcriptome!$C$2:$C$28=$G9),0))</f>
        <v>0.81543264067946697</v>
      </c>
      <c r="CF9">
        <f t="array" ref="CF9">INDEX(Transcriptome!AY$2:AY$28,MATCH(1,(Transcriptome!$A$2:$A$28=$B9)*(Transcriptome!$C$2:$C$28=$G9),0))</f>
        <v>0.893387807520859</v>
      </c>
      <c r="CG9">
        <f t="array" ref="CG9">INDEX(Transcriptome!AZ$2:AZ$28,MATCH(1,(Transcriptome!$A$2:$A$28=$B9)*(Transcriptome!$C$2:$C$28=$G9),0))</f>
        <v>0.58478305735162239</v>
      </c>
      <c r="CH9">
        <f t="array" ref="CH9">INDEX(Transcriptome!BA$2:BA$28,MATCH(1,(Transcriptome!$A$2:$A$28=$B9)*(Transcriptome!$C$2:$C$28=$G9),0))</f>
        <v>1.9527807129586991</v>
      </c>
      <c r="CI9">
        <f t="array" ref="CI9">INDEX(Transcriptome!BB$2:BB$28,MATCH(1,(Transcriptome!$A$2:$A$28=$B9)*(Transcriptome!$C$2:$C$28=$G9),0))</f>
        <v>2.0477445468289903</v>
      </c>
      <c r="CJ9">
        <f t="array" ref="CJ9">INDEX(Transcriptome!BC$2:BC$28,MATCH(1,(Transcriptome!$A$2:$A$28=$B9)*(Transcriptome!$C$2:$C$28=$G9),0))</f>
        <v>0</v>
      </c>
      <c r="CK9">
        <f t="array" ref="CK9">INDEX(Transcriptome!BD$2:BD$28,MATCH(1,(Transcriptome!$A$2:$A$28=$B9)*(Transcriptome!$C$2:$C$28=$G9),0))</f>
        <v>1.5191296600446986</v>
      </c>
      <c r="CL9">
        <f t="array" ref="CL9">INDEX(Transcriptome!BE$2:BE$28,MATCH(1,(Transcriptome!$A$2:$A$28=$B9)*(Transcriptome!$C$2:$C$28=$G9),0))</f>
        <v>1.7681049434294362</v>
      </c>
      <c r="CM9">
        <f t="array" ref="CM9">INDEX(Transcriptome!BF$2:BF$28,MATCH(1,(Transcriptome!$A$2:$A$28=$B9)*(Transcriptome!$C$2:$C$28=$G9),0))</f>
        <v>1.6268835883508099</v>
      </c>
      <c r="CN9">
        <f t="array" ref="CN9">INDEX(Transcriptome!BG$2:BG$28,MATCH(1,(Transcriptome!$A$2:$A$28=$B9)*(Transcriptome!$C$2:$C$28=$G9),0))</f>
        <v>2.413292939876015</v>
      </c>
      <c r="CO9">
        <f t="array" ref="CO9">INDEX(Transcriptome!BH$2:BH$28,MATCH(1,(Transcriptome!$A$2:$A$28=$B9)*(Transcriptome!$C$2:$C$28=$G9),0))</f>
        <v>0.63533544697226152</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3.227995319787698</v>
      </c>
      <c r="CS9">
        <f t="array" ref="CS9">INDEX(Transcriptome!BL$2:BL$28,MATCH(1,(Transcriptome!$A$2:$A$28=$B9)*(Transcriptome!$C$2:$C$28=$G9),0))</f>
        <v>2.409150222629028</v>
      </c>
      <c r="CT9">
        <f t="array" ref="CT9">INDEX(Transcriptome!BM$2:BM$28,MATCH(1,(Transcriptome!$A$2:$A$28=$B9)*(Transcriptome!$C$2:$C$28=$G9),0))</f>
        <v>0.63561956761477334</v>
      </c>
      <c r="CU9">
        <f t="array" ref="CU9">INDEX(Transcriptome!BN$2:BN$28,MATCH(1,(Transcriptome!$A$2:$A$28=$B9)*(Transcriptome!$C$2:$C$28=$G9),0))</f>
        <v>35.829358617439233</v>
      </c>
      <c r="CV9">
        <f t="array" ref="CV9">INDEX(Transcriptome!BO$2:BO$28,MATCH(1,(Transcriptome!$A$2:$A$28=$B9)*(Transcriptome!$C$2:$C$28=$G9),0))</f>
        <v>1.7293328826763994</v>
      </c>
      <c r="CW9">
        <f t="array" ref="CW9">INDEX(Transcriptome!BP$2:BP$28,MATCH(1,(Transcriptome!$A$2:$A$28=$B9)*(Transcriptome!$C$2:$C$28=$G9),0))</f>
        <v>0.63533544697226152</v>
      </c>
      <c r="CX9">
        <f t="array" ref="CX9">INDEX(Transcriptome!BQ$2:BQ$28,MATCH(1,(Transcriptome!$A$2:$A$28=$B9)*(Transcriptome!$C$2:$C$28=$G9),0))</f>
        <v>1</v>
      </c>
      <c r="CY9">
        <f t="array" ref="CY9">INDEX(Transcriptome!BR$2:BR$28,MATCH(1,(Transcriptome!$A$2:$A$28=$B9)*(Transcriptome!$C$2:$C$28=$G9),0))</f>
        <v>1.3684624405766486</v>
      </c>
    </row>
    <row r="10" spans="1:103">
      <c r="A10">
        <f>'Measured Data'!A15</f>
        <v>8</v>
      </c>
      <c r="B10" t="s">
        <v>583</v>
      </c>
      <c r="C10" s="324" t="s">
        <v>586</v>
      </c>
      <c r="D10">
        <v>1</v>
      </c>
      <c r="E10">
        <f>'Measured Data'!H15</f>
        <v>12.582400186157226</v>
      </c>
      <c r="F10" s="477">
        <f>'Measured Data'!K15</f>
        <v>99.321296691894531</v>
      </c>
      <c r="G10" t="s">
        <v>511</v>
      </c>
      <c r="H10" s="321">
        <f>'Measured Data'!B15</f>
        <v>7.8798611111051287</v>
      </c>
      <c r="I10" s="322">
        <f>'Measured Data'!C15</f>
        <v>189.11666666652309</v>
      </c>
      <c r="J10">
        <f>'In Process Calc.'!B11</f>
        <v>7.8798611111051287</v>
      </c>
      <c r="K10">
        <f>'In Process Calc.'!C11</f>
        <v>189.11666666652309</v>
      </c>
      <c r="L10">
        <f>'Measured Data'!Z15</f>
        <v>18.650502897488842</v>
      </c>
      <c r="M10">
        <f>'Measured Data'!AF15</f>
        <v>15.430728241563054</v>
      </c>
      <c r="N10">
        <f>'Measured Data'!AA15</f>
        <v>3.4380000000000002</v>
      </c>
      <c r="O10">
        <f>'Measured Data'!W15</f>
        <v>1.135</v>
      </c>
      <c r="P10">
        <f>'Measured Data'!X15</f>
        <v>3.758</v>
      </c>
      <c r="Q10">
        <f>'Growth Regression'!P10</f>
        <v>8.5060930826518655E-3</v>
      </c>
      <c r="R10">
        <f>Q10/'Growth Regression'!$O$24</f>
        <v>0.31737264978160762</v>
      </c>
      <c r="S10">
        <f>'Post Process Calc.'!K11</f>
        <v>4.222280263055788E-2</v>
      </c>
      <c r="T10">
        <f>'Post Process Calc.'!Q11</f>
        <v>-9.5114007830296833E-4</v>
      </c>
      <c r="U10">
        <f>'Post Process Calc.'!L11</f>
        <v>-1.261838209222753E-3</v>
      </c>
      <c r="V10">
        <f>'Post Process Calc.'!H11</f>
        <v>3.860028245921565E-3</v>
      </c>
      <c r="W10">
        <f>'Post Process Calc.'!I11</f>
        <v>1.7067395332874847E-4</v>
      </c>
      <c r="X10">
        <f>'Post Process Calc.'!AG11</f>
        <v>-2.2526692191072138E-2</v>
      </c>
      <c r="Y10">
        <f t="shared" si="2"/>
        <v>26.389251644098675</v>
      </c>
      <c r="Z10">
        <f t="shared" si="2"/>
        <v>-0.59446254893935513</v>
      </c>
      <c r="AA10">
        <f t="shared" si="0"/>
        <v>-0.78864888076422057</v>
      </c>
      <c r="AB10">
        <f t="shared" si="0"/>
        <v>2.412517653700978</v>
      </c>
      <c r="AC10">
        <f t="shared" si="0"/>
        <v>0.10667122083046779</v>
      </c>
      <c r="AD10">
        <v>100</v>
      </c>
      <c r="AE10">
        <v>0.32</v>
      </c>
      <c r="AF10">
        <v>7</v>
      </c>
      <c r="AG10">
        <v>0.7</v>
      </c>
      <c r="AH10">
        <f t="shared" si="1"/>
        <v>5.0118723362727164E-8</v>
      </c>
      <c r="AI10">
        <v>1</v>
      </c>
      <c r="AJ10">
        <v>0.311</v>
      </c>
      <c r="AK10">
        <f t="array" ref="AK10">INDEX(Transcriptome!D$2:D$28,MATCH(1,(Transcriptome!$A$2:$A$28=$B10)*(Transcriptome!$C$2:$C$28=$G10),0))</f>
        <v>0.83983334541737553</v>
      </c>
      <c r="AL10">
        <f t="array" ref="AL10">INDEX(Transcriptome!E$2:E$28,MATCH(1,(Transcriptome!$A$2:$A$28=$B10)*(Transcriptome!$C$2:$C$28=$G10),0))</f>
        <v>1.4975813108811158</v>
      </c>
      <c r="AM10">
        <f t="array" ref="AM10">INDEX(Transcriptome!F$2:F$28,MATCH(1,(Transcriptome!$A$2:$A$28=$B10)*(Transcriptome!$C$2:$C$28=$G10),0))</f>
        <v>1.0863645413117049</v>
      </c>
      <c r="AN10">
        <f t="array" ref="AN10">INDEX(Transcriptome!G$2:G$28,MATCH(1,(Transcriptome!$A$2:$A$28=$B10)*(Transcriptome!$C$2:$C$28=$G10),0))</f>
        <v>1.3992148799643307</v>
      </c>
      <c r="AO10">
        <f t="array" ref="AO10">INDEX(Transcriptome!H$2:H$28,MATCH(1,(Transcriptome!$A$2:$A$28=$B10)*(Transcriptome!$C$2:$C$28=$G10),0))</f>
        <v>0</v>
      </c>
      <c r="AP10">
        <f t="array" ref="AP10">INDEX(Transcriptome!I$2:I$28,MATCH(1,(Transcriptome!$A$2:$A$28=$B10)*(Transcriptome!$C$2:$C$28=$G10),0))</f>
        <v>1.2396994996744981</v>
      </c>
      <c r="AQ10">
        <f t="array" ref="AQ10">INDEX(Transcriptome!J$2:J$28,MATCH(1,(Transcriptome!$A$2:$A$28=$B10)*(Transcriptome!$C$2:$C$28=$G10),0))</f>
        <v>1.077378839510045</v>
      </c>
      <c r="AR10">
        <f t="array" ref="AR10">INDEX(Transcriptome!K$2:K$28,MATCH(1,(Transcriptome!$A$2:$A$28=$B10)*(Transcriptome!$C$2:$C$28=$G10),0))</f>
        <v>1.048943045540466</v>
      </c>
      <c r="AS10">
        <f t="array" ref="AS10">INDEX(Transcriptome!L$2:L$28,MATCH(1,(Transcriptome!$A$2:$A$28=$B10)*(Transcriptome!$C$2:$C$28=$G10),0))</f>
        <v>1.0386505599989455</v>
      </c>
      <c r="AT10">
        <f t="array" ref="AT10">INDEX(Transcriptome!M$2:M$28,MATCH(1,(Transcriptome!$A$2:$A$28=$B10)*(Transcriptome!$C$2:$C$28=$G10),0))</f>
        <v>1.3921248660596082</v>
      </c>
      <c r="AU10">
        <f t="array" ref="AU10">INDEX(Transcriptome!N$2:N$28,MATCH(1,(Transcriptome!$A$2:$A$28=$B10)*(Transcriptome!$C$2:$C$28=$G10),0))</f>
        <v>0.80428662927176275</v>
      </c>
      <c r="AV10">
        <f t="array" ref="AV10">INDEX(Transcriptome!O$2:O$28,MATCH(1,(Transcriptome!$A$2:$A$28=$B10)*(Transcriptome!$C$2:$C$28=$G10),0))</f>
        <v>1.1511693155225196</v>
      </c>
      <c r="AW10">
        <f t="array" ref="AW10">INDEX(Transcriptome!P$2:P$28,MATCH(1,(Transcriptome!$A$2:$A$28=$B10)*(Transcriptome!$C$2:$C$28=$G10),0))</f>
        <v>1.2129804210902995</v>
      </c>
      <c r="AX10">
        <f t="array" ref="AX10">INDEX(Transcriptome!Q$2:Q$28,MATCH(1,(Transcriptome!$A$2:$A$28=$B10)*(Transcriptome!$C$2:$C$28=$G10),0))</f>
        <v>0.60167449878388157</v>
      </c>
      <c r="AY10">
        <f t="array" ref="AY10">INDEX(Transcriptome!R$2:R$28,MATCH(1,(Transcriptome!$A$2:$A$28=$B10)*(Transcriptome!$C$2:$C$28=$G10),0))</f>
        <v>0.48523180165768648</v>
      </c>
      <c r="AZ10">
        <f t="array" ref="AZ10">INDEX(Transcriptome!S$2:S$28,MATCH(1,(Transcriptome!$A$2:$A$28=$B10)*(Transcriptome!$C$2:$C$28=$G10),0))</f>
        <v>0.50051495197747631</v>
      </c>
      <c r="BA10">
        <f t="array" ref="BA10">INDEX(Transcriptome!T$2:T$28,MATCH(1,(Transcriptome!$A$2:$A$28=$B10)*(Transcriptome!$C$2:$C$28=$G10),0))</f>
        <v>1.1402892565540921</v>
      </c>
      <c r="BB10">
        <f t="array" ref="BB10">INDEX(Transcriptome!U$2:U$28,MATCH(1,(Transcriptome!$A$2:$A$28=$B10)*(Transcriptome!$C$2:$C$28=$G10),0))</f>
        <v>3.4643967211167714</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0.87510624714564267</v>
      </c>
      <c r="BF10">
        <f t="array" ref="BF10">INDEX(Transcriptome!Y$2:Y$28,MATCH(1,(Transcriptome!$A$2:$A$28=$B10)*(Transcriptome!$C$2:$C$28=$G10),0))</f>
        <v>0</v>
      </c>
      <c r="BG10">
        <f t="array" ref="BG10">INDEX(Transcriptome!Z$2:Z$28,MATCH(1,(Transcriptome!$A$2:$A$28=$B10)*(Transcriptome!$C$2:$C$28=$G10),0))</f>
        <v>1.1758464976407674</v>
      </c>
      <c r="BH10">
        <f t="array" ref="BH10">INDEX(Transcriptome!AA$2:AA$28,MATCH(1,(Transcriptome!$A$2:$A$28=$B10)*(Transcriptome!$C$2:$C$28=$G10),0))</f>
        <v>1.1856347805545291</v>
      </c>
      <c r="BI10">
        <f t="array" ref="BI10">INDEX(Transcriptome!AB$2:AB$28,MATCH(1,(Transcriptome!$A$2:$A$28=$B10)*(Transcriptome!$C$2:$C$28=$G10),0))</f>
        <v>0.41555972801663571</v>
      </c>
      <c r="BJ10">
        <f t="array" ref="BJ10">INDEX(Transcriptome!AC$2:AC$28,MATCH(1,(Transcriptome!$A$2:$A$28=$B10)*(Transcriptome!$C$2:$C$28=$G10),0))</f>
        <v>0.96864944883128323</v>
      </c>
      <c r="BK10">
        <f t="array" ref="BK10">INDEX(Transcriptome!AD$2:AD$28,MATCH(1,(Transcriptome!$A$2:$A$28=$B10)*(Transcriptome!$C$2:$C$28=$G10),0))</f>
        <v>0.79079982721062669</v>
      </c>
      <c r="BL10">
        <f t="array" ref="BL10">INDEX(Transcriptome!AE$2:AE$28,MATCH(1,(Transcriptome!$A$2:$A$28=$B10)*(Transcriptome!$C$2:$C$28=$G10),0))</f>
        <v>1.3785459319267952</v>
      </c>
      <c r="BM10">
        <f t="array" ref="BM10">INDEX(Transcriptome!AF$2:AF$28,MATCH(1,(Transcriptome!$A$2:$A$28=$B10)*(Transcriptome!$C$2:$C$28=$G10),0))</f>
        <v>0.58252952595385121</v>
      </c>
      <c r="BN10">
        <f t="array" ref="BN10">INDEX(Transcriptome!AG$2:AG$28,MATCH(1,(Transcriptome!$A$2:$A$28=$B10)*(Transcriptome!$C$2:$C$28=$G10),0))</f>
        <v>0.45944021113968969</v>
      </c>
      <c r="BO10">
        <f t="array" ref="BO10">INDEX(Transcriptome!AH$2:AH$28,MATCH(1,(Transcriptome!$A$2:$A$28=$B10)*(Transcriptome!$C$2:$C$28=$G10),0))</f>
        <v>1.939908553060264</v>
      </c>
      <c r="BP10">
        <f t="array" ref="BP10">INDEX(Transcriptome!AI$2:AI$28,MATCH(1,(Transcriptome!$A$2:$A$28=$B10)*(Transcriptome!$C$2:$C$28=$G10),0))</f>
        <v>0.72619141912955099</v>
      </c>
      <c r="BQ10">
        <f t="array" ref="BQ10">INDEX(Transcriptome!AJ$2:AJ$28,MATCH(1,(Transcriptome!$A$2:$A$28=$B10)*(Transcriptome!$C$2:$C$28=$G10),0))</f>
        <v>0.90634977146097617</v>
      </c>
      <c r="BR10">
        <f t="array" ref="BR10">INDEX(Transcriptome!AK$2:AK$28,MATCH(1,(Transcriptome!$A$2:$A$28=$B10)*(Transcriptome!$C$2:$C$28=$G10),0))</f>
        <v>0.67102238805073788</v>
      </c>
      <c r="BS10">
        <f t="array" ref="BS10">INDEX(Transcriptome!AL$2:AL$28,MATCH(1,(Transcriptome!$A$2:$A$28=$B10)*(Transcriptome!$C$2:$C$28=$G10),0))</f>
        <v>1</v>
      </c>
      <c r="BT10">
        <f t="array" ref="BT10">INDEX(Transcriptome!AM$2:AM$28,MATCH(1,(Transcriptome!$A$2:$A$28=$B10)*(Transcriptome!$C$2:$C$28=$G10),0))</f>
        <v>0.71846570694758194</v>
      </c>
      <c r="BU10">
        <f t="array" ref="BU10">INDEX(Transcriptome!AN$2:AN$28,MATCH(1,(Transcriptome!$A$2:$A$28=$B10)*(Transcriptome!$C$2:$C$28=$G10),0))</f>
        <v>1.0357204335376631</v>
      </c>
      <c r="BV10">
        <f t="array" ref="BV10">INDEX(Transcriptome!AO$2:AO$28,MATCH(1,(Transcriptome!$A$2:$A$28=$B10)*(Transcriptome!$C$2:$C$28=$G10),0))</f>
        <v>1.0236705943541682</v>
      </c>
      <c r="BW10">
        <f t="array" ref="BW10">INDEX(Transcriptome!AP$2:AP$28,MATCH(1,(Transcriptome!$A$2:$A$28=$B10)*(Transcriptome!$C$2:$C$28=$G10),0))</f>
        <v>1.0475790988612137</v>
      </c>
      <c r="BX10">
        <f t="array" ref="BX10">INDEX(Transcriptome!AQ$2:AQ$28,MATCH(1,(Transcriptome!$A$2:$A$28=$B10)*(Transcriptome!$C$2:$C$28=$G10),0))</f>
        <v>1.3391539448359624</v>
      </c>
      <c r="BY10">
        <f t="array" ref="BY10">INDEX(Transcriptome!AR$2:AR$28,MATCH(1,(Transcriptome!$A$2:$A$28=$B10)*(Transcriptome!$C$2:$C$28=$G10),0))</f>
        <v>0.7013917915350385</v>
      </c>
      <c r="BZ10">
        <f t="array" ref="BZ10">INDEX(Transcriptome!AS$2:AS$28,MATCH(1,(Transcriptome!$A$2:$A$28=$B10)*(Transcriptome!$C$2:$C$28=$G10),0))</f>
        <v>0.89631091004770125</v>
      </c>
      <c r="CA10">
        <f t="array" ref="CA10">INDEX(Transcriptome!AT$2:AT$28,MATCH(1,(Transcriptome!$A$2:$A$28=$B10)*(Transcriptome!$C$2:$C$28=$G10),0))</f>
        <v>0.74015048266825856</v>
      </c>
      <c r="CB10">
        <f t="array" ref="CB10">INDEX(Transcriptome!AU$2:AU$28,MATCH(1,(Transcriptome!$A$2:$A$28=$B10)*(Transcriptome!$C$2:$C$28=$G10),0))</f>
        <v>1.6833342666062783</v>
      </c>
      <c r="CC10">
        <f t="array" ref="CC10">INDEX(Transcriptome!AV$2:AV$28,MATCH(1,(Transcriptome!$A$2:$A$28=$B10)*(Transcriptome!$C$2:$C$28=$G10),0))</f>
        <v>0.64230900615145092</v>
      </c>
      <c r="CD10">
        <f t="array" ref="CD10">INDEX(Transcriptome!AW$2:AW$28,MATCH(1,(Transcriptome!$A$2:$A$28=$B10)*(Transcriptome!$C$2:$C$28=$G10),0))</f>
        <v>0.81740021810874552</v>
      </c>
      <c r="CE10">
        <f t="array" ref="CE10">INDEX(Transcriptome!AX$2:AX$28,MATCH(1,(Transcriptome!$A$2:$A$28=$B10)*(Transcriptome!$C$2:$C$28=$G10),0))</f>
        <v>0.81543264067946697</v>
      </c>
      <c r="CF10">
        <f t="array" ref="CF10">INDEX(Transcriptome!AY$2:AY$28,MATCH(1,(Transcriptome!$A$2:$A$28=$B10)*(Transcriptome!$C$2:$C$28=$G10),0))</f>
        <v>0.893387807520859</v>
      </c>
      <c r="CG10">
        <f t="array" ref="CG10">INDEX(Transcriptome!AZ$2:AZ$28,MATCH(1,(Transcriptome!$A$2:$A$28=$B10)*(Transcriptome!$C$2:$C$28=$G10),0))</f>
        <v>0.58478305735162239</v>
      </c>
      <c r="CH10">
        <f t="array" ref="CH10">INDEX(Transcriptome!BA$2:BA$28,MATCH(1,(Transcriptome!$A$2:$A$28=$B10)*(Transcriptome!$C$2:$C$28=$G10),0))</f>
        <v>1.9527807129586991</v>
      </c>
      <c r="CI10">
        <f t="array" ref="CI10">INDEX(Transcriptome!BB$2:BB$28,MATCH(1,(Transcriptome!$A$2:$A$28=$B10)*(Transcriptome!$C$2:$C$28=$G10),0))</f>
        <v>2.0477445468289903</v>
      </c>
      <c r="CJ10">
        <f t="array" ref="CJ10">INDEX(Transcriptome!BC$2:BC$28,MATCH(1,(Transcriptome!$A$2:$A$28=$B10)*(Transcriptome!$C$2:$C$28=$G10),0))</f>
        <v>0</v>
      </c>
      <c r="CK10">
        <f t="array" ref="CK10">INDEX(Transcriptome!BD$2:BD$28,MATCH(1,(Transcriptome!$A$2:$A$28=$B10)*(Transcriptome!$C$2:$C$28=$G10),0))</f>
        <v>1.5191296600446986</v>
      </c>
      <c r="CL10">
        <f t="array" ref="CL10">INDEX(Transcriptome!BE$2:BE$28,MATCH(1,(Transcriptome!$A$2:$A$28=$B10)*(Transcriptome!$C$2:$C$28=$G10),0))</f>
        <v>1.7681049434294362</v>
      </c>
      <c r="CM10">
        <f t="array" ref="CM10">INDEX(Transcriptome!BF$2:BF$28,MATCH(1,(Transcriptome!$A$2:$A$28=$B10)*(Transcriptome!$C$2:$C$28=$G10),0))</f>
        <v>1.6268835883508099</v>
      </c>
      <c r="CN10">
        <f t="array" ref="CN10">INDEX(Transcriptome!BG$2:BG$28,MATCH(1,(Transcriptome!$A$2:$A$28=$B10)*(Transcriptome!$C$2:$C$28=$G10),0))</f>
        <v>2.413292939876015</v>
      </c>
      <c r="CO10">
        <f t="array" ref="CO10">INDEX(Transcriptome!BH$2:BH$28,MATCH(1,(Transcriptome!$A$2:$A$28=$B10)*(Transcriptome!$C$2:$C$28=$G10),0))</f>
        <v>0.63533544697226152</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3.227995319787698</v>
      </c>
      <c r="CS10">
        <f t="array" ref="CS10">INDEX(Transcriptome!BL$2:BL$28,MATCH(1,(Transcriptome!$A$2:$A$28=$B10)*(Transcriptome!$C$2:$C$28=$G10),0))</f>
        <v>2.409150222629028</v>
      </c>
      <c r="CT10">
        <f t="array" ref="CT10">INDEX(Transcriptome!BM$2:BM$28,MATCH(1,(Transcriptome!$A$2:$A$28=$B10)*(Transcriptome!$C$2:$C$28=$G10),0))</f>
        <v>0.63561956761477334</v>
      </c>
      <c r="CU10">
        <f t="array" ref="CU10">INDEX(Transcriptome!BN$2:BN$28,MATCH(1,(Transcriptome!$A$2:$A$28=$B10)*(Transcriptome!$C$2:$C$28=$G10),0))</f>
        <v>35.829358617439233</v>
      </c>
      <c r="CV10">
        <f t="array" ref="CV10">INDEX(Transcriptome!BO$2:BO$28,MATCH(1,(Transcriptome!$A$2:$A$28=$B10)*(Transcriptome!$C$2:$C$28=$G10),0))</f>
        <v>1.7293328826763994</v>
      </c>
      <c r="CW10">
        <f t="array" ref="CW10">INDEX(Transcriptome!BP$2:BP$28,MATCH(1,(Transcriptome!$A$2:$A$28=$B10)*(Transcriptome!$C$2:$C$28=$G10),0))</f>
        <v>0.63533544697226152</v>
      </c>
      <c r="CX10">
        <f t="array" ref="CX10">INDEX(Transcriptome!BQ$2:BQ$28,MATCH(1,(Transcriptome!$A$2:$A$28=$B10)*(Transcriptome!$C$2:$C$28=$G10),0))</f>
        <v>1</v>
      </c>
      <c r="CY10">
        <f t="array" ref="CY10">INDEX(Transcriptome!BR$2:BR$28,MATCH(1,(Transcriptome!$A$2:$A$28=$B10)*(Transcriptome!$C$2:$C$28=$G10),0))</f>
        <v>1.3684624405766486</v>
      </c>
    </row>
    <row r="11" spans="1:103">
      <c r="A11">
        <f>'Measured Data'!A16</f>
        <v>9</v>
      </c>
      <c r="B11" t="s">
        <v>583</v>
      </c>
      <c r="C11" s="324" t="s">
        <v>586</v>
      </c>
      <c r="D11">
        <v>1</v>
      </c>
      <c r="E11">
        <f>'Measured Data'!H16</f>
        <v>15.968199594116211</v>
      </c>
      <c r="F11" s="477">
        <f>'Measured Data'!K16</f>
        <v>99.26190185546875</v>
      </c>
      <c r="G11" t="s">
        <v>511</v>
      </c>
      <c r="H11" s="321">
        <f>'Measured Data'!B16</f>
        <v>8.8777777777722804</v>
      </c>
      <c r="I11" s="322">
        <f>'Measured Data'!C16</f>
        <v>213.06666666653473</v>
      </c>
      <c r="J11">
        <f>'In Process Calc.'!B12</f>
        <v>8.8777777777722804</v>
      </c>
      <c r="K11">
        <f>'In Process Calc.'!C12</f>
        <v>213.06666666653473</v>
      </c>
      <c r="L11">
        <f>'Measured Data'!Z16</f>
        <v>9.5472812451430986</v>
      </c>
      <c r="M11">
        <f>'Measured Data'!AF16</f>
        <v>11.323268206039078</v>
      </c>
      <c r="N11">
        <f>'Measured Data'!AA16</f>
        <v>3.2010000000000001</v>
      </c>
      <c r="O11">
        <f>'Measured Data'!W16</f>
        <v>5.8000000000000003E-2</v>
      </c>
      <c r="P11">
        <f>'Measured Data'!X16</f>
        <v>3.4060000000000001</v>
      </c>
      <c r="Q11">
        <f>'Growth Regression'!P11</f>
        <v>5.2688161294544029E-3</v>
      </c>
      <c r="R11">
        <f>Q11/'Growth Regression'!$O$24</f>
        <v>0.19658592023021904</v>
      </c>
      <c r="S11">
        <f>'Post Process Calc.'!K12</f>
        <v>3.7188412926494746E-2</v>
      </c>
      <c r="T11">
        <f>'Post Process Calc.'!Q12</f>
        <v>-4.9256428064741418E-3</v>
      </c>
      <c r="U11">
        <f>'Post Process Calc.'!L12</f>
        <v>-1.9625647499637043E-4</v>
      </c>
      <c r="V11">
        <f>'Post Process Calc.'!H12</f>
        <v>3.2505344397707292E-3</v>
      </c>
      <c r="W11">
        <f>'Post Process Calc.'!I12</f>
        <v>1.0443411158599983E-3</v>
      </c>
      <c r="X11">
        <f>'Post Process Calc.'!AG12</f>
        <v>-0.1324510087647458</v>
      </c>
      <c r="Y11">
        <f t="shared" si="2"/>
        <v>23.242758079059215</v>
      </c>
      <c r="Z11">
        <f t="shared" si="2"/>
        <v>-3.0785267540463384</v>
      </c>
      <c r="AA11">
        <f t="shared" si="0"/>
        <v>-0.12266029687273151</v>
      </c>
      <c r="AB11">
        <f t="shared" si="0"/>
        <v>2.0315840248567056</v>
      </c>
      <c r="AC11">
        <f t="shared" si="0"/>
        <v>0.65271319741249889</v>
      </c>
      <c r="AD11">
        <v>100</v>
      </c>
      <c r="AE11">
        <v>0.32</v>
      </c>
      <c r="AF11">
        <v>7</v>
      </c>
      <c r="AG11">
        <v>0.7</v>
      </c>
      <c r="AH11">
        <f t="shared" si="1"/>
        <v>5.0118723362727164E-8</v>
      </c>
      <c r="AI11">
        <v>1</v>
      </c>
      <c r="AJ11">
        <v>0.311</v>
      </c>
      <c r="AK11">
        <f t="array" ref="AK11">INDEX(Transcriptome!D$2:D$28,MATCH(1,(Transcriptome!$A$2:$A$28=$B11)*(Transcriptome!$C$2:$C$28=$G11),0))</f>
        <v>0.83983334541737553</v>
      </c>
      <c r="AL11">
        <f t="array" ref="AL11">INDEX(Transcriptome!E$2:E$28,MATCH(1,(Transcriptome!$A$2:$A$28=$B11)*(Transcriptome!$C$2:$C$28=$G11),0))</f>
        <v>1.4975813108811158</v>
      </c>
      <c r="AM11">
        <f t="array" ref="AM11">INDEX(Transcriptome!F$2:F$28,MATCH(1,(Transcriptome!$A$2:$A$28=$B11)*(Transcriptome!$C$2:$C$28=$G11),0))</f>
        <v>1.0863645413117049</v>
      </c>
      <c r="AN11">
        <f t="array" ref="AN11">INDEX(Transcriptome!G$2:G$28,MATCH(1,(Transcriptome!$A$2:$A$28=$B11)*(Transcriptome!$C$2:$C$28=$G11),0))</f>
        <v>1.3992148799643307</v>
      </c>
      <c r="AO11">
        <f t="array" ref="AO11">INDEX(Transcriptome!H$2:H$28,MATCH(1,(Transcriptome!$A$2:$A$28=$B11)*(Transcriptome!$C$2:$C$28=$G11),0))</f>
        <v>0</v>
      </c>
      <c r="AP11">
        <f t="array" ref="AP11">INDEX(Transcriptome!I$2:I$28,MATCH(1,(Transcriptome!$A$2:$A$28=$B11)*(Transcriptome!$C$2:$C$28=$G11),0))</f>
        <v>1.2396994996744981</v>
      </c>
      <c r="AQ11">
        <f t="array" ref="AQ11">INDEX(Transcriptome!J$2:J$28,MATCH(1,(Transcriptome!$A$2:$A$28=$B11)*(Transcriptome!$C$2:$C$28=$G11),0))</f>
        <v>1.077378839510045</v>
      </c>
      <c r="AR11">
        <f t="array" ref="AR11">INDEX(Transcriptome!K$2:K$28,MATCH(1,(Transcriptome!$A$2:$A$28=$B11)*(Transcriptome!$C$2:$C$28=$G11),0))</f>
        <v>1.048943045540466</v>
      </c>
      <c r="AS11">
        <f t="array" ref="AS11">INDEX(Transcriptome!L$2:L$28,MATCH(1,(Transcriptome!$A$2:$A$28=$B11)*(Transcriptome!$C$2:$C$28=$G11),0))</f>
        <v>1.0386505599989455</v>
      </c>
      <c r="AT11">
        <f t="array" ref="AT11">INDEX(Transcriptome!M$2:M$28,MATCH(1,(Transcriptome!$A$2:$A$28=$B11)*(Transcriptome!$C$2:$C$28=$G11),0))</f>
        <v>1.3921248660596082</v>
      </c>
      <c r="AU11">
        <f t="array" ref="AU11">INDEX(Transcriptome!N$2:N$28,MATCH(1,(Transcriptome!$A$2:$A$28=$B11)*(Transcriptome!$C$2:$C$28=$G11),0))</f>
        <v>0.80428662927176275</v>
      </c>
      <c r="AV11">
        <f t="array" ref="AV11">INDEX(Transcriptome!O$2:O$28,MATCH(1,(Transcriptome!$A$2:$A$28=$B11)*(Transcriptome!$C$2:$C$28=$G11),0))</f>
        <v>1.1511693155225196</v>
      </c>
      <c r="AW11">
        <f t="array" ref="AW11">INDEX(Transcriptome!P$2:P$28,MATCH(1,(Transcriptome!$A$2:$A$28=$B11)*(Transcriptome!$C$2:$C$28=$G11),0))</f>
        <v>1.2129804210902995</v>
      </c>
      <c r="AX11">
        <f t="array" ref="AX11">INDEX(Transcriptome!Q$2:Q$28,MATCH(1,(Transcriptome!$A$2:$A$28=$B11)*(Transcriptome!$C$2:$C$28=$G11),0))</f>
        <v>0.60167449878388157</v>
      </c>
      <c r="AY11">
        <f t="array" ref="AY11">INDEX(Transcriptome!R$2:R$28,MATCH(1,(Transcriptome!$A$2:$A$28=$B11)*(Transcriptome!$C$2:$C$28=$G11),0))</f>
        <v>0.48523180165768648</v>
      </c>
      <c r="AZ11">
        <f t="array" ref="AZ11">INDEX(Transcriptome!S$2:S$28,MATCH(1,(Transcriptome!$A$2:$A$28=$B11)*(Transcriptome!$C$2:$C$28=$G11),0))</f>
        <v>0.50051495197747631</v>
      </c>
      <c r="BA11">
        <f t="array" ref="BA11">INDEX(Transcriptome!T$2:T$28,MATCH(1,(Transcriptome!$A$2:$A$28=$B11)*(Transcriptome!$C$2:$C$28=$G11),0))</f>
        <v>1.1402892565540921</v>
      </c>
      <c r="BB11">
        <f t="array" ref="BB11">INDEX(Transcriptome!U$2:U$28,MATCH(1,(Transcriptome!$A$2:$A$28=$B11)*(Transcriptome!$C$2:$C$28=$G11),0))</f>
        <v>3.4643967211167714</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0.87510624714564267</v>
      </c>
      <c r="BF11">
        <f t="array" ref="BF11">INDEX(Transcriptome!Y$2:Y$28,MATCH(1,(Transcriptome!$A$2:$A$28=$B11)*(Transcriptome!$C$2:$C$28=$G11),0))</f>
        <v>0</v>
      </c>
      <c r="BG11">
        <f t="array" ref="BG11">INDEX(Transcriptome!Z$2:Z$28,MATCH(1,(Transcriptome!$A$2:$A$28=$B11)*(Transcriptome!$C$2:$C$28=$G11),0))</f>
        <v>1.1758464976407674</v>
      </c>
      <c r="BH11">
        <f t="array" ref="BH11">INDEX(Transcriptome!AA$2:AA$28,MATCH(1,(Transcriptome!$A$2:$A$28=$B11)*(Transcriptome!$C$2:$C$28=$G11),0))</f>
        <v>1.1856347805545291</v>
      </c>
      <c r="BI11">
        <f t="array" ref="BI11">INDEX(Transcriptome!AB$2:AB$28,MATCH(1,(Transcriptome!$A$2:$A$28=$B11)*(Transcriptome!$C$2:$C$28=$G11),0))</f>
        <v>0.41555972801663571</v>
      </c>
      <c r="BJ11">
        <f t="array" ref="BJ11">INDEX(Transcriptome!AC$2:AC$28,MATCH(1,(Transcriptome!$A$2:$A$28=$B11)*(Transcriptome!$C$2:$C$28=$G11),0))</f>
        <v>0.96864944883128323</v>
      </c>
      <c r="BK11">
        <f t="array" ref="BK11">INDEX(Transcriptome!AD$2:AD$28,MATCH(1,(Transcriptome!$A$2:$A$28=$B11)*(Transcriptome!$C$2:$C$28=$G11),0))</f>
        <v>0.79079982721062669</v>
      </c>
      <c r="BL11">
        <f t="array" ref="BL11">INDEX(Transcriptome!AE$2:AE$28,MATCH(1,(Transcriptome!$A$2:$A$28=$B11)*(Transcriptome!$C$2:$C$28=$G11),0))</f>
        <v>1.3785459319267952</v>
      </c>
      <c r="BM11">
        <f t="array" ref="BM11">INDEX(Transcriptome!AF$2:AF$28,MATCH(1,(Transcriptome!$A$2:$A$28=$B11)*(Transcriptome!$C$2:$C$28=$G11),0))</f>
        <v>0.58252952595385121</v>
      </c>
      <c r="BN11">
        <f t="array" ref="BN11">INDEX(Transcriptome!AG$2:AG$28,MATCH(1,(Transcriptome!$A$2:$A$28=$B11)*(Transcriptome!$C$2:$C$28=$G11),0))</f>
        <v>0.45944021113968969</v>
      </c>
      <c r="BO11">
        <f t="array" ref="BO11">INDEX(Transcriptome!AH$2:AH$28,MATCH(1,(Transcriptome!$A$2:$A$28=$B11)*(Transcriptome!$C$2:$C$28=$G11),0))</f>
        <v>1.939908553060264</v>
      </c>
      <c r="BP11">
        <f t="array" ref="BP11">INDEX(Transcriptome!AI$2:AI$28,MATCH(1,(Transcriptome!$A$2:$A$28=$B11)*(Transcriptome!$C$2:$C$28=$G11),0))</f>
        <v>0.72619141912955099</v>
      </c>
      <c r="BQ11">
        <f t="array" ref="BQ11">INDEX(Transcriptome!AJ$2:AJ$28,MATCH(1,(Transcriptome!$A$2:$A$28=$B11)*(Transcriptome!$C$2:$C$28=$G11),0))</f>
        <v>0.90634977146097617</v>
      </c>
      <c r="BR11">
        <f t="array" ref="BR11">INDEX(Transcriptome!AK$2:AK$28,MATCH(1,(Transcriptome!$A$2:$A$28=$B11)*(Transcriptome!$C$2:$C$28=$G11),0))</f>
        <v>0.67102238805073788</v>
      </c>
      <c r="BS11">
        <f t="array" ref="BS11">INDEX(Transcriptome!AL$2:AL$28,MATCH(1,(Transcriptome!$A$2:$A$28=$B11)*(Transcriptome!$C$2:$C$28=$G11),0))</f>
        <v>1</v>
      </c>
      <c r="BT11">
        <f t="array" ref="BT11">INDEX(Transcriptome!AM$2:AM$28,MATCH(1,(Transcriptome!$A$2:$A$28=$B11)*(Transcriptome!$C$2:$C$28=$G11),0))</f>
        <v>0.71846570694758194</v>
      </c>
      <c r="BU11">
        <f t="array" ref="BU11">INDEX(Transcriptome!AN$2:AN$28,MATCH(1,(Transcriptome!$A$2:$A$28=$B11)*(Transcriptome!$C$2:$C$28=$G11),0))</f>
        <v>1.0357204335376631</v>
      </c>
      <c r="BV11">
        <f t="array" ref="BV11">INDEX(Transcriptome!AO$2:AO$28,MATCH(1,(Transcriptome!$A$2:$A$28=$B11)*(Transcriptome!$C$2:$C$28=$G11),0))</f>
        <v>1.0236705943541682</v>
      </c>
      <c r="BW11">
        <f t="array" ref="BW11">INDEX(Transcriptome!AP$2:AP$28,MATCH(1,(Transcriptome!$A$2:$A$28=$B11)*(Transcriptome!$C$2:$C$28=$G11),0))</f>
        <v>1.0475790988612137</v>
      </c>
      <c r="BX11">
        <f t="array" ref="BX11">INDEX(Transcriptome!AQ$2:AQ$28,MATCH(1,(Transcriptome!$A$2:$A$28=$B11)*(Transcriptome!$C$2:$C$28=$G11),0))</f>
        <v>1.3391539448359624</v>
      </c>
      <c r="BY11">
        <f t="array" ref="BY11">INDEX(Transcriptome!AR$2:AR$28,MATCH(1,(Transcriptome!$A$2:$A$28=$B11)*(Transcriptome!$C$2:$C$28=$G11),0))</f>
        <v>0.7013917915350385</v>
      </c>
      <c r="BZ11">
        <f t="array" ref="BZ11">INDEX(Transcriptome!AS$2:AS$28,MATCH(1,(Transcriptome!$A$2:$A$28=$B11)*(Transcriptome!$C$2:$C$28=$G11),0))</f>
        <v>0.89631091004770125</v>
      </c>
      <c r="CA11">
        <f t="array" ref="CA11">INDEX(Transcriptome!AT$2:AT$28,MATCH(1,(Transcriptome!$A$2:$A$28=$B11)*(Transcriptome!$C$2:$C$28=$G11),0))</f>
        <v>0.74015048266825856</v>
      </c>
      <c r="CB11">
        <f t="array" ref="CB11">INDEX(Transcriptome!AU$2:AU$28,MATCH(1,(Transcriptome!$A$2:$A$28=$B11)*(Transcriptome!$C$2:$C$28=$G11),0))</f>
        <v>1.6833342666062783</v>
      </c>
      <c r="CC11">
        <f t="array" ref="CC11">INDEX(Transcriptome!AV$2:AV$28,MATCH(1,(Transcriptome!$A$2:$A$28=$B11)*(Transcriptome!$C$2:$C$28=$G11),0))</f>
        <v>0.64230900615145092</v>
      </c>
      <c r="CD11">
        <f t="array" ref="CD11">INDEX(Transcriptome!AW$2:AW$28,MATCH(1,(Transcriptome!$A$2:$A$28=$B11)*(Transcriptome!$C$2:$C$28=$G11),0))</f>
        <v>0.81740021810874552</v>
      </c>
      <c r="CE11">
        <f t="array" ref="CE11">INDEX(Transcriptome!AX$2:AX$28,MATCH(1,(Transcriptome!$A$2:$A$28=$B11)*(Transcriptome!$C$2:$C$28=$G11),0))</f>
        <v>0.81543264067946697</v>
      </c>
      <c r="CF11">
        <f t="array" ref="CF11">INDEX(Transcriptome!AY$2:AY$28,MATCH(1,(Transcriptome!$A$2:$A$28=$B11)*(Transcriptome!$C$2:$C$28=$G11),0))</f>
        <v>0.893387807520859</v>
      </c>
      <c r="CG11">
        <f t="array" ref="CG11">INDEX(Transcriptome!AZ$2:AZ$28,MATCH(1,(Transcriptome!$A$2:$A$28=$B11)*(Transcriptome!$C$2:$C$28=$G11),0))</f>
        <v>0.58478305735162239</v>
      </c>
      <c r="CH11">
        <f t="array" ref="CH11">INDEX(Transcriptome!BA$2:BA$28,MATCH(1,(Transcriptome!$A$2:$A$28=$B11)*(Transcriptome!$C$2:$C$28=$G11),0))</f>
        <v>1.9527807129586991</v>
      </c>
      <c r="CI11">
        <f t="array" ref="CI11">INDEX(Transcriptome!BB$2:BB$28,MATCH(1,(Transcriptome!$A$2:$A$28=$B11)*(Transcriptome!$C$2:$C$28=$G11),0))</f>
        <v>2.0477445468289903</v>
      </c>
      <c r="CJ11">
        <f t="array" ref="CJ11">INDEX(Transcriptome!BC$2:BC$28,MATCH(1,(Transcriptome!$A$2:$A$28=$B11)*(Transcriptome!$C$2:$C$28=$G11),0))</f>
        <v>0</v>
      </c>
      <c r="CK11">
        <f t="array" ref="CK11">INDEX(Transcriptome!BD$2:BD$28,MATCH(1,(Transcriptome!$A$2:$A$28=$B11)*(Transcriptome!$C$2:$C$28=$G11),0))</f>
        <v>1.5191296600446986</v>
      </c>
      <c r="CL11">
        <f t="array" ref="CL11">INDEX(Transcriptome!BE$2:BE$28,MATCH(1,(Transcriptome!$A$2:$A$28=$B11)*(Transcriptome!$C$2:$C$28=$G11),0))</f>
        <v>1.7681049434294362</v>
      </c>
      <c r="CM11">
        <f t="array" ref="CM11">INDEX(Transcriptome!BF$2:BF$28,MATCH(1,(Transcriptome!$A$2:$A$28=$B11)*(Transcriptome!$C$2:$C$28=$G11),0))</f>
        <v>1.6268835883508099</v>
      </c>
      <c r="CN11">
        <f t="array" ref="CN11">INDEX(Transcriptome!BG$2:BG$28,MATCH(1,(Transcriptome!$A$2:$A$28=$B11)*(Transcriptome!$C$2:$C$28=$G11),0))</f>
        <v>2.413292939876015</v>
      </c>
      <c r="CO11">
        <f t="array" ref="CO11">INDEX(Transcriptome!BH$2:BH$28,MATCH(1,(Transcriptome!$A$2:$A$28=$B11)*(Transcriptome!$C$2:$C$28=$G11),0))</f>
        <v>0.63533544697226152</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3.227995319787698</v>
      </c>
      <c r="CS11">
        <f t="array" ref="CS11">INDEX(Transcriptome!BL$2:BL$28,MATCH(1,(Transcriptome!$A$2:$A$28=$B11)*(Transcriptome!$C$2:$C$28=$G11),0))</f>
        <v>2.409150222629028</v>
      </c>
      <c r="CT11">
        <f t="array" ref="CT11">INDEX(Transcriptome!BM$2:BM$28,MATCH(1,(Transcriptome!$A$2:$A$28=$B11)*(Transcriptome!$C$2:$C$28=$G11),0))</f>
        <v>0.63561956761477334</v>
      </c>
      <c r="CU11">
        <f t="array" ref="CU11">INDEX(Transcriptome!BN$2:BN$28,MATCH(1,(Transcriptome!$A$2:$A$28=$B11)*(Transcriptome!$C$2:$C$28=$G11),0))</f>
        <v>35.829358617439233</v>
      </c>
      <c r="CV11">
        <f t="array" ref="CV11">INDEX(Transcriptome!BO$2:BO$28,MATCH(1,(Transcriptome!$A$2:$A$28=$B11)*(Transcriptome!$C$2:$C$28=$G11),0))</f>
        <v>1.7293328826763994</v>
      </c>
      <c r="CW11">
        <f t="array" ref="CW11">INDEX(Transcriptome!BP$2:BP$28,MATCH(1,(Transcriptome!$A$2:$A$28=$B11)*(Transcriptome!$C$2:$C$28=$G11),0))</f>
        <v>0.63533544697226152</v>
      </c>
      <c r="CX11">
        <f t="array" ref="CX11">INDEX(Transcriptome!BQ$2:BQ$28,MATCH(1,(Transcriptome!$A$2:$A$28=$B11)*(Transcriptome!$C$2:$C$28=$G11),0))</f>
        <v>1</v>
      </c>
      <c r="CY11">
        <f t="array" ref="CY11">INDEX(Transcriptome!BR$2:BR$28,MATCH(1,(Transcriptome!$A$2:$A$28=$B11)*(Transcriptome!$C$2:$C$28=$G11),0))</f>
        <v>1.3684624405766486</v>
      </c>
    </row>
    <row r="12" spans="1:103">
      <c r="A12">
        <f>'Measured Data'!A17</f>
        <v>10</v>
      </c>
      <c r="B12" t="s">
        <v>583</v>
      </c>
      <c r="C12" s="324" t="s">
        <v>586</v>
      </c>
      <c r="D12">
        <v>1</v>
      </c>
      <c r="E12">
        <f>'Measured Data'!H17</f>
        <v>16.753300531005859</v>
      </c>
      <c r="F12" s="477">
        <f>'Measured Data'!K17</f>
        <v>98.182502746582031</v>
      </c>
      <c r="G12" t="s">
        <v>512</v>
      </c>
      <c r="H12" s="321">
        <f>'Measured Data'!B17</f>
        <v>9.9243055555562023</v>
      </c>
      <c r="I12" s="322">
        <f>'Measured Data'!C17</f>
        <v>238.18333333334886</v>
      </c>
      <c r="J12">
        <f>'In Process Calc.'!B13</f>
        <v>9.9243055555562023</v>
      </c>
      <c r="K12">
        <f>'In Process Calc.'!C13</f>
        <v>238.18333333334886</v>
      </c>
      <c r="L12">
        <f>'Measured Data'!Z17</f>
        <v>6.2723417482626154</v>
      </c>
      <c r="M12">
        <f>'Measured Data'!AF17</f>
        <v>8.6589698046181169</v>
      </c>
      <c r="N12">
        <f>'Measured Data'!AA17</f>
        <v>3.3319999999999999</v>
      </c>
      <c r="O12">
        <f>'Measured Data'!W17</f>
        <v>5.8999999999999997E-2</v>
      </c>
      <c r="P12">
        <f>'Measured Data'!X17</f>
        <v>2.5259999999999998</v>
      </c>
      <c r="Q12">
        <f>'Growth Regression'!P12</f>
        <v>2.9739976768820516E-3</v>
      </c>
      <c r="R12">
        <f>Q12/'Growth Regression'!$O$24</f>
        <v>0.11096346042596349</v>
      </c>
      <c r="S12">
        <f>'Post Process Calc.'!K13</f>
        <v>3.8200287551901899E-2</v>
      </c>
      <c r="T12">
        <f>'Post Process Calc.'!Q13</f>
        <v>-8.3847754917642913E-3</v>
      </c>
      <c r="U12">
        <f>'Post Process Calc.'!L13</f>
        <v>5.6024663916141469E-4</v>
      </c>
      <c r="V12">
        <f>'Post Process Calc.'!H13</f>
        <v>2.8978800804004908E-3</v>
      </c>
      <c r="W12">
        <f>'Post Process Calc.'!I13</f>
        <v>1.6523868299114322E-3</v>
      </c>
      <c r="X12">
        <f>'Post Process Calc.'!AG13</f>
        <v>-0.21949508836476897</v>
      </c>
      <c r="Y12">
        <f t="shared" si="2"/>
        <v>23.875179719938686</v>
      </c>
      <c r="Z12">
        <f t="shared" si="2"/>
        <v>-5.2404846823526814</v>
      </c>
      <c r="AA12">
        <f t="shared" si="0"/>
        <v>0.35015414947588419</v>
      </c>
      <c r="AB12">
        <f t="shared" si="0"/>
        <v>1.8111750502503066</v>
      </c>
      <c r="AC12">
        <f t="shared" si="0"/>
        <v>1.032741768694645</v>
      </c>
      <c r="AD12">
        <v>100</v>
      </c>
      <c r="AE12">
        <v>0.32</v>
      </c>
      <c r="AF12">
        <v>7</v>
      </c>
      <c r="AG12">
        <v>0.7</v>
      </c>
      <c r="AH12">
        <f t="shared" si="1"/>
        <v>5.0118723362727164E-8</v>
      </c>
      <c r="AI12">
        <v>1</v>
      </c>
      <c r="AJ12">
        <v>0.311</v>
      </c>
      <c r="AK12">
        <f t="array" ref="AK12">INDEX(Transcriptome!D$2:D$28,MATCH(1,(Transcriptome!$A$2:$A$28=$B12)*(Transcriptome!$C$2:$C$28=$G12),0))</f>
        <v>0.84529065750573906</v>
      </c>
      <c r="AL12">
        <f t="array" ref="AL12">INDEX(Transcriptome!E$2:E$28,MATCH(1,(Transcriptome!$A$2:$A$28=$B12)*(Transcriptome!$C$2:$C$28=$G12),0))</f>
        <v>1.5123400042300514</v>
      </c>
      <c r="AM12">
        <f t="array" ref="AM12">INDEX(Transcriptome!F$2:F$28,MATCH(1,(Transcriptome!$A$2:$A$28=$B12)*(Transcriptome!$C$2:$C$28=$G12),0))</f>
        <v>1.0521277615350864</v>
      </c>
      <c r="AN12">
        <f t="array" ref="AN12">INDEX(Transcriptome!G$2:G$28,MATCH(1,(Transcriptome!$A$2:$A$28=$B12)*(Transcriptome!$C$2:$C$28=$G12),0))</f>
        <v>0.5133599657223511</v>
      </c>
      <c r="AO12">
        <f t="array" ref="AO12">INDEX(Transcriptome!H$2:H$28,MATCH(1,(Transcriptome!$A$2:$A$28=$B12)*(Transcriptome!$C$2:$C$28=$G12),0))</f>
        <v>0</v>
      </c>
      <c r="AP12">
        <f t="array" ref="AP12">INDEX(Transcriptome!I$2:I$28,MATCH(1,(Transcriptome!$A$2:$A$28=$B12)*(Transcriptome!$C$2:$C$28=$G12),0))</f>
        <v>1.2398152787243992</v>
      </c>
      <c r="AQ12">
        <f t="array" ref="AQ12">INDEX(Transcriptome!J$2:J$28,MATCH(1,(Transcriptome!$A$2:$A$28=$B12)*(Transcriptome!$C$2:$C$28=$G12),0))</f>
        <v>1.0261682969814343</v>
      </c>
      <c r="AR12">
        <f t="array" ref="AR12">INDEX(Transcriptome!K$2:K$28,MATCH(1,(Transcriptome!$A$2:$A$28=$B12)*(Transcriptome!$C$2:$C$28=$G12),0))</f>
        <v>0.95017518110960975</v>
      </c>
      <c r="AS12">
        <f t="array" ref="AS12">INDEX(Transcriptome!L$2:L$28,MATCH(1,(Transcriptome!$A$2:$A$28=$B12)*(Transcriptome!$C$2:$C$28=$G12),0))</f>
        <v>1.0437812111620428</v>
      </c>
      <c r="AT12">
        <f t="array" ref="AT12">INDEX(Transcriptome!M$2:M$28,MATCH(1,(Transcriptome!$A$2:$A$28=$B12)*(Transcriptome!$C$2:$C$28=$G12),0))</f>
        <v>1.258591198790004</v>
      </c>
      <c r="AU12">
        <f t="array" ref="AU12">INDEX(Transcriptome!N$2:N$28,MATCH(1,(Transcriptome!$A$2:$A$28=$B12)*(Transcriptome!$C$2:$C$28=$G12),0))</f>
        <v>0.77434648146572427</v>
      </c>
      <c r="AV12">
        <f t="array" ref="AV12">INDEX(Transcriptome!O$2:O$28,MATCH(1,(Transcriptome!$A$2:$A$28=$B12)*(Transcriptome!$C$2:$C$28=$G12),0))</f>
        <v>1.121291200027364</v>
      </c>
      <c r="AW12">
        <f t="array" ref="AW12">INDEX(Transcriptome!P$2:P$28,MATCH(1,(Transcriptome!$A$2:$A$28=$B12)*(Transcriptome!$C$2:$C$28=$G12),0))</f>
        <v>1.1614656927518718</v>
      </c>
      <c r="AX12">
        <f t="array" ref="AX12">INDEX(Transcriptome!Q$2:Q$28,MATCH(1,(Transcriptome!$A$2:$A$28=$B12)*(Transcriptome!$C$2:$C$28=$G12),0))</f>
        <v>0.59136874021180552</v>
      </c>
      <c r="AY12">
        <f t="array" ref="AY12">INDEX(Transcriptome!R$2:R$28,MATCH(1,(Transcriptome!$A$2:$A$28=$B12)*(Transcriptome!$C$2:$C$28=$G12),0))</f>
        <v>0.47269805732547182</v>
      </c>
      <c r="AZ12">
        <f t="array" ref="AZ12">INDEX(Transcriptome!S$2:S$28,MATCH(1,(Transcriptome!$A$2:$A$28=$B12)*(Transcriptome!$C$2:$C$28=$G12),0))</f>
        <v>0.474505313564063</v>
      </c>
      <c r="BA12">
        <f t="array" ref="BA12">INDEX(Transcriptome!T$2:T$28,MATCH(1,(Transcriptome!$A$2:$A$28=$B12)*(Transcriptome!$C$2:$C$28=$G12),0))</f>
        <v>1.0978419176178189</v>
      </c>
      <c r="BB12">
        <f t="array" ref="BB12">INDEX(Transcriptome!U$2:U$28,MATCH(1,(Transcriptome!$A$2:$A$28=$B12)*(Transcriptome!$C$2:$C$28=$G12),0))</f>
        <v>2.8509841652726999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0.84543020602019414</v>
      </c>
      <c r="BF12">
        <f t="array" ref="BF12">INDEX(Transcriptome!Y$2:Y$28,MATCH(1,(Transcriptome!$A$2:$A$28=$B12)*(Transcriptome!$C$2:$C$28=$G12),0))</f>
        <v>0</v>
      </c>
      <c r="BG12">
        <f t="array" ref="BG12">INDEX(Transcriptome!Z$2:Z$28,MATCH(1,(Transcriptome!$A$2:$A$28=$B12)*(Transcriptome!$C$2:$C$28=$G12),0))</f>
        <v>1.1999757206668764</v>
      </c>
      <c r="BH12">
        <f t="array" ref="BH12">INDEX(Transcriptome!AA$2:AA$28,MATCH(1,(Transcriptome!$A$2:$A$28=$B12)*(Transcriptome!$C$2:$C$28=$G12),0))</f>
        <v>1.1786179837995219</v>
      </c>
      <c r="BI12">
        <f t="array" ref="BI12">INDEX(Transcriptome!AB$2:AB$28,MATCH(1,(Transcriptome!$A$2:$A$28=$B12)*(Transcriptome!$C$2:$C$28=$G12),0))</f>
        <v>0.41419411976174364</v>
      </c>
      <c r="BJ12">
        <f t="array" ref="BJ12">INDEX(Transcriptome!AC$2:AC$28,MATCH(1,(Transcriptome!$A$2:$A$28=$B12)*(Transcriptome!$C$2:$C$28=$G12),0))</f>
        <v>0.98175251921782147</v>
      </c>
      <c r="BK12">
        <f t="array" ref="BK12">INDEX(Transcriptome!AD$2:AD$28,MATCH(1,(Transcriptome!$A$2:$A$28=$B12)*(Transcriptome!$C$2:$C$28=$G12),0))</f>
        <v>0.87998427903657706</v>
      </c>
      <c r="BL12">
        <f t="array" ref="BL12">INDEX(Transcriptome!AE$2:AE$28,MATCH(1,(Transcriptome!$A$2:$A$28=$B12)*(Transcriptome!$C$2:$C$28=$G12),0))</f>
        <v>1.4142784439316789</v>
      </c>
      <c r="BM12">
        <f t="array" ref="BM12">INDEX(Transcriptome!AF$2:AF$28,MATCH(1,(Transcriptome!$A$2:$A$28=$B12)*(Transcriptome!$C$2:$C$28=$G12),0))</f>
        <v>0.62050516044316251</v>
      </c>
      <c r="BN12">
        <f t="array" ref="BN12">INDEX(Transcriptome!AG$2:AG$28,MATCH(1,(Transcriptome!$A$2:$A$28=$B12)*(Transcriptome!$C$2:$C$28=$G12),0))</f>
        <v>0.47877111295830344</v>
      </c>
      <c r="BO12">
        <f t="array" ref="BO12">INDEX(Transcriptome!AH$2:AH$28,MATCH(1,(Transcriptome!$A$2:$A$28=$B12)*(Transcriptome!$C$2:$C$28=$G12),0))</f>
        <v>1.9424108020287747</v>
      </c>
      <c r="BP12">
        <f t="array" ref="BP12">INDEX(Transcriptome!AI$2:AI$28,MATCH(1,(Transcriptome!$A$2:$A$28=$B12)*(Transcriptome!$C$2:$C$28=$G12),0))</f>
        <v>0.69973249608039367</v>
      </c>
      <c r="BQ12">
        <f t="array" ref="BQ12">INDEX(Transcriptome!AJ$2:AJ$28,MATCH(1,(Transcriptome!$A$2:$A$28=$B12)*(Transcriptome!$C$2:$C$28=$G12),0))</f>
        <v>0.87016237596091195</v>
      </c>
      <c r="BR12">
        <f t="array" ref="BR12">INDEX(Transcriptome!AK$2:AK$28,MATCH(1,(Transcriptome!$A$2:$A$28=$B12)*(Transcriptome!$C$2:$C$28=$G12),0))</f>
        <v>0.6586808592339628</v>
      </c>
      <c r="BS12">
        <f t="array" ref="BS12">INDEX(Transcriptome!AL$2:AL$28,MATCH(1,(Transcriptome!$A$2:$A$28=$B12)*(Transcriptome!$C$2:$C$28=$G12),0))</f>
        <v>1</v>
      </c>
      <c r="BT12">
        <f t="array" ref="BT12">INDEX(Transcriptome!AM$2:AM$28,MATCH(1,(Transcriptome!$A$2:$A$28=$B12)*(Transcriptome!$C$2:$C$28=$G12),0))</f>
        <v>0.67957260004345588</v>
      </c>
      <c r="BU12">
        <f t="array" ref="BU12">INDEX(Transcriptome!AN$2:AN$28,MATCH(1,(Transcriptome!$A$2:$A$28=$B12)*(Transcriptome!$C$2:$C$28=$G12),0))</f>
        <v>1.0396865895601093</v>
      </c>
      <c r="BV12">
        <f t="array" ref="BV12">INDEX(Transcriptome!AO$2:AO$28,MATCH(1,(Transcriptome!$A$2:$A$28=$B12)*(Transcriptome!$C$2:$C$28=$G12),0))</f>
        <v>1.0737206253123761</v>
      </c>
      <c r="BW12">
        <f t="array" ref="BW12">INDEX(Transcriptome!AP$2:AP$28,MATCH(1,(Transcriptome!$A$2:$A$28=$B12)*(Transcriptome!$C$2:$C$28=$G12),0))</f>
        <v>1.043863376552195</v>
      </c>
      <c r="BX12">
        <f t="array" ref="BX12">INDEX(Transcriptome!AQ$2:AQ$28,MATCH(1,(Transcriptome!$A$2:$A$28=$B12)*(Transcriptome!$C$2:$C$28=$G12),0))</f>
        <v>1.3503170364365213</v>
      </c>
      <c r="BY12">
        <f t="array" ref="BY12">INDEX(Transcriptome!AR$2:AR$28,MATCH(1,(Transcriptome!$A$2:$A$28=$B12)*(Transcriptome!$C$2:$C$28=$G12),0))</f>
        <v>0.72050873297971718</v>
      </c>
      <c r="BZ12">
        <f t="array" ref="BZ12">INDEX(Transcriptome!AS$2:AS$28,MATCH(1,(Transcriptome!$A$2:$A$28=$B12)*(Transcriptome!$C$2:$C$28=$G12),0))</f>
        <v>0.90321144457455538</v>
      </c>
      <c r="CA12">
        <f t="array" ref="CA12">INDEX(Transcriptome!AT$2:AT$28,MATCH(1,(Transcriptome!$A$2:$A$28=$B12)*(Transcriptome!$C$2:$C$28=$G12),0))</f>
        <v>0.78737301878765809</v>
      </c>
      <c r="CB12">
        <f t="array" ref="CB12">INDEX(Transcriptome!AU$2:AU$28,MATCH(1,(Transcriptome!$A$2:$A$28=$B12)*(Transcriptome!$C$2:$C$28=$G12),0))</f>
        <v>1.6895519123272416</v>
      </c>
      <c r="CC12">
        <f t="array" ref="CC12">INDEX(Transcriptome!AV$2:AV$28,MATCH(1,(Transcriptome!$A$2:$A$28=$B12)*(Transcriptome!$C$2:$C$28=$G12),0))</f>
        <v>0.62033240120281474</v>
      </c>
      <c r="CD12">
        <f t="array" ref="CD12">INDEX(Transcriptome!AW$2:AW$28,MATCH(1,(Transcriptome!$A$2:$A$28=$B12)*(Transcriptome!$C$2:$C$28=$G12),0))</f>
        <v>0.79737424067079876</v>
      </c>
      <c r="CE12">
        <f t="array" ref="CE12">INDEX(Transcriptome!AX$2:AX$28,MATCH(1,(Transcriptome!$A$2:$A$28=$B12)*(Transcriptome!$C$2:$C$28=$G12),0))</f>
        <v>0.92460282224808421</v>
      </c>
      <c r="CF12">
        <f t="array" ref="CF12">INDEX(Transcriptome!AY$2:AY$28,MATCH(1,(Transcriptome!$A$2:$A$28=$B12)*(Transcriptome!$C$2:$C$28=$G12),0))</f>
        <v>0.87345230197929324</v>
      </c>
      <c r="CG12">
        <f t="array" ref="CG12">INDEX(Transcriptome!AZ$2:AZ$28,MATCH(1,(Transcriptome!$A$2:$A$28=$B12)*(Transcriptome!$C$2:$C$28=$G12),0))</f>
        <v>0.58498531711834134</v>
      </c>
      <c r="CH12">
        <f t="array" ref="CH12">INDEX(Transcriptome!BA$2:BA$28,MATCH(1,(Transcriptome!$A$2:$A$28=$B12)*(Transcriptome!$C$2:$C$28=$G12),0))</f>
        <v>1.7684157507469151</v>
      </c>
      <c r="CI12">
        <f t="array" ref="CI12">INDEX(Transcriptome!BB$2:BB$28,MATCH(1,(Transcriptome!$A$2:$A$28=$B12)*(Transcriptome!$C$2:$C$28=$G12),0))</f>
        <v>2.0951376227639771</v>
      </c>
      <c r="CJ12">
        <f t="array" ref="CJ12">INDEX(Transcriptome!BC$2:BC$28,MATCH(1,(Transcriptome!$A$2:$A$28=$B12)*(Transcriptome!$C$2:$C$28=$G12),0))</f>
        <v>0</v>
      </c>
      <c r="CK12">
        <f t="array" ref="CK12">INDEX(Transcriptome!BD$2:BD$28,MATCH(1,(Transcriptome!$A$2:$A$28=$B12)*(Transcriptome!$C$2:$C$28=$G12),0))</f>
        <v>1.4723274304126319</v>
      </c>
      <c r="CL12">
        <f t="array" ref="CL12">INDEX(Transcriptome!BE$2:BE$28,MATCH(1,(Transcriptome!$A$2:$A$28=$B12)*(Transcriptome!$C$2:$C$28=$G12),0))</f>
        <v>1.6435709135417447</v>
      </c>
      <c r="CM12">
        <f t="array" ref="CM12">INDEX(Transcriptome!BF$2:BF$28,MATCH(1,(Transcriptome!$A$2:$A$28=$B12)*(Transcriptome!$C$2:$C$28=$G12),0))</f>
        <v>1.4913517712775683</v>
      </c>
      <c r="CN12">
        <f t="array" ref="CN12">INDEX(Transcriptome!BG$2:BG$28,MATCH(1,(Transcriptome!$A$2:$A$28=$B12)*(Transcriptome!$C$2:$C$28=$G12),0))</f>
        <v>2.4868891875698469</v>
      </c>
      <c r="CO12">
        <f t="array" ref="CO12">INDEX(Transcriptome!BH$2:BH$28,MATCH(1,(Transcriptome!$A$2:$A$28=$B12)*(Transcriptome!$C$2:$C$28=$G12),0))</f>
        <v>0.60155455584899675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3.4589818564937866</v>
      </c>
      <c r="CS12">
        <f t="array" ref="CS12">INDEX(Transcriptome!BL$2:BL$28,MATCH(1,(Transcriptome!$A$2:$A$28=$B12)*(Transcriptome!$C$2:$C$28=$G12),0))</f>
        <v>2.3656901554574197</v>
      </c>
      <c r="CT12">
        <f t="array" ref="CT12">INDEX(Transcriptome!BM$2:BM$28,MATCH(1,(Transcriptome!$A$2:$A$28=$B12)*(Transcriptome!$C$2:$C$28=$G12),0))</f>
        <v>0.62485198092475902</v>
      </c>
      <c r="CU12">
        <f t="array" ref="CU12">INDEX(Transcriptome!BN$2:BN$28,MATCH(1,(Transcriptome!$A$2:$A$28=$B12)*(Transcriptome!$C$2:$C$28=$G12),0))</f>
        <v>37.408629658664857</v>
      </c>
      <c r="CV12">
        <f t="array" ref="CV12">INDEX(Transcriptome!BO$2:BO$28,MATCH(1,(Transcriptome!$A$2:$A$28=$B12)*(Transcriptome!$C$2:$C$28=$G12),0))</f>
        <v>1.4849223539828664</v>
      </c>
      <c r="CW12">
        <f t="array" ref="CW12">INDEX(Transcriptome!BP$2:BP$28,MATCH(1,(Transcriptome!$A$2:$A$28=$B12)*(Transcriptome!$C$2:$C$28=$G12),0))</f>
        <v>0.60155455584899675</v>
      </c>
      <c r="CX12">
        <f t="array" ref="CX12">INDEX(Transcriptome!BQ$2:BQ$28,MATCH(1,(Transcriptome!$A$2:$A$28=$B12)*(Transcriptome!$C$2:$C$28=$G12),0))</f>
        <v>1</v>
      </c>
      <c r="CY12">
        <f t="array" ref="CY12">INDEX(Transcriptome!BR$2:BR$28,MATCH(1,(Transcriptome!$A$2:$A$28=$B12)*(Transcriptome!$C$2:$C$28=$G12),0))</f>
        <v>1.7962987005908342</v>
      </c>
    </row>
    <row r="13" spans="1:103">
      <c r="A13">
        <f>'Measured Data'!A18</f>
        <v>11</v>
      </c>
      <c r="B13" t="s">
        <v>583</v>
      </c>
      <c r="C13" s="324" t="s">
        <v>586</v>
      </c>
      <c r="D13">
        <v>1</v>
      </c>
      <c r="E13">
        <f>'Measured Data'!H18</f>
        <v>16.191300256347656</v>
      </c>
      <c r="F13" s="477">
        <f>'Measured Data'!K18</f>
        <v>97.660202026367188</v>
      </c>
      <c r="G13" t="s">
        <v>512</v>
      </c>
      <c r="H13" s="321">
        <f>'Measured Data'!B18</f>
        <v>10.909722222218988</v>
      </c>
      <c r="I13" s="322">
        <f>'Measured Data'!C18</f>
        <v>261.83333333325572</v>
      </c>
      <c r="J13">
        <f>'In Process Calc.'!B14</f>
        <v>10.909722222218988</v>
      </c>
      <c r="K13">
        <f>'In Process Calc.'!C14</f>
        <v>261.83333333325572</v>
      </c>
      <c r="L13">
        <f>'Measured Data'!Z18</f>
        <v>7.8820577721530221</v>
      </c>
      <c r="M13">
        <f>'Measured Data'!AF18</f>
        <v>5.3285968028419184</v>
      </c>
      <c r="N13">
        <f>'Measured Data'!AA18</f>
        <v>2.7109999999999999</v>
      </c>
      <c r="O13">
        <f>'Measured Data'!W18</f>
        <v>6.8000000000000005E-2</v>
      </c>
      <c r="P13">
        <f>'Measured Data'!X18</f>
        <v>2.2080000000000002</v>
      </c>
      <c r="Q13">
        <f>'Growth Regression'!P13</f>
        <v>1.6645386568215918E-3</v>
      </c>
      <c r="R13">
        <f>Q13/'Growth Regression'!$O$24</f>
        <v>6.210595617120733E-2</v>
      </c>
      <c r="S13">
        <f>'Post Process Calc.'!K14</f>
        <v>4.075970141112055E-2</v>
      </c>
      <c r="T13">
        <f>'Post Process Calc.'!Q14</f>
        <v>-1.0053208903358403E-2</v>
      </c>
      <c r="U13">
        <f>'Post Process Calc.'!L14</f>
        <v>1.0634132702051465E-3</v>
      </c>
      <c r="V13">
        <f>'Post Process Calc.'!H14</f>
        <v>2.0857343993721917E-3</v>
      </c>
      <c r="W13">
        <f>'Post Process Calc.'!I14</f>
        <v>1.9214891534916879E-3</v>
      </c>
      <c r="X13">
        <f>'Post Process Calc.'!AG14</f>
        <v>-0.24664579364694675</v>
      </c>
      <c r="Y13">
        <f t="shared" si="2"/>
        <v>25.474813381950341</v>
      </c>
      <c r="Z13">
        <f t="shared" si="2"/>
        <v>-6.2832555645990018</v>
      </c>
      <c r="AA13">
        <f t="shared" si="0"/>
        <v>0.66463329387821657</v>
      </c>
      <c r="AB13">
        <f t="shared" si="0"/>
        <v>1.3035839996076197</v>
      </c>
      <c r="AC13">
        <f t="shared" si="0"/>
        <v>1.2009307209323048</v>
      </c>
      <c r="AD13">
        <v>100</v>
      </c>
      <c r="AE13">
        <v>0.32</v>
      </c>
      <c r="AF13">
        <v>7</v>
      </c>
      <c r="AG13">
        <v>0.7</v>
      </c>
      <c r="AH13">
        <f t="shared" si="1"/>
        <v>5.0118723362727164E-8</v>
      </c>
      <c r="AI13">
        <v>1</v>
      </c>
      <c r="AJ13">
        <v>0.311</v>
      </c>
      <c r="AK13">
        <f t="array" ref="AK13">INDEX(Transcriptome!D$2:D$28,MATCH(1,(Transcriptome!$A$2:$A$28=$B13)*(Transcriptome!$C$2:$C$28=$G13),0))</f>
        <v>0.84529065750573906</v>
      </c>
      <c r="AL13">
        <f t="array" ref="AL13">INDEX(Transcriptome!E$2:E$28,MATCH(1,(Transcriptome!$A$2:$A$28=$B13)*(Transcriptome!$C$2:$C$28=$G13),0))</f>
        <v>1.5123400042300514</v>
      </c>
      <c r="AM13">
        <f t="array" ref="AM13">INDEX(Transcriptome!F$2:F$28,MATCH(1,(Transcriptome!$A$2:$A$28=$B13)*(Transcriptome!$C$2:$C$28=$G13),0))</f>
        <v>1.0521277615350864</v>
      </c>
      <c r="AN13">
        <f t="array" ref="AN13">INDEX(Transcriptome!G$2:G$28,MATCH(1,(Transcriptome!$A$2:$A$28=$B13)*(Transcriptome!$C$2:$C$28=$G13),0))</f>
        <v>0.5133599657223511</v>
      </c>
      <c r="AO13">
        <f t="array" ref="AO13">INDEX(Transcriptome!H$2:H$28,MATCH(1,(Transcriptome!$A$2:$A$28=$B13)*(Transcriptome!$C$2:$C$28=$G13),0))</f>
        <v>0</v>
      </c>
      <c r="AP13">
        <f t="array" ref="AP13">INDEX(Transcriptome!I$2:I$28,MATCH(1,(Transcriptome!$A$2:$A$28=$B13)*(Transcriptome!$C$2:$C$28=$G13),0))</f>
        <v>1.2398152787243992</v>
      </c>
      <c r="AQ13">
        <f t="array" ref="AQ13">INDEX(Transcriptome!J$2:J$28,MATCH(1,(Transcriptome!$A$2:$A$28=$B13)*(Transcriptome!$C$2:$C$28=$G13),0))</f>
        <v>1.0261682969814343</v>
      </c>
      <c r="AR13">
        <f t="array" ref="AR13">INDEX(Transcriptome!K$2:K$28,MATCH(1,(Transcriptome!$A$2:$A$28=$B13)*(Transcriptome!$C$2:$C$28=$G13),0))</f>
        <v>0.95017518110960975</v>
      </c>
      <c r="AS13">
        <f t="array" ref="AS13">INDEX(Transcriptome!L$2:L$28,MATCH(1,(Transcriptome!$A$2:$A$28=$B13)*(Transcriptome!$C$2:$C$28=$G13),0))</f>
        <v>1.0437812111620428</v>
      </c>
      <c r="AT13">
        <f t="array" ref="AT13">INDEX(Transcriptome!M$2:M$28,MATCH(1,(Transcriptome!$A$2:$A$28=$B13)*(Transcriptome!$C$2:$C$28=$G13),0))</f>
        <v>1.258591198790004</v>
      </c>
      <c r="AU13">
        <f t="array" ref="AU13">INDEX(Transcriptome!N$2:N$28,MATCH(1,(Transcriptome!$A$2:$A$28=$B13)*(Transcriptome!$C$2:$C$28=$G13),0))</f>
        <v>0.77434648146572427</v>
      </c>
      <c r="AV13">
        <f t="array" ref="AV13">INDEX(Transcriptome!O$2:O$28,MATCH(1,(Transcriptome!$A$2:$A$28=$B13)*(Transcriptome!$C$2:$C$28=$G13),0))</f>
        <v>1.121291200027364</v>
      </c>
      <c r="AW13">
        <f t="array" ref="AW13">INDEX(Transcriptome!P$2:P$28,MATCH(1,(Transcriptome!$A$2:$A$28=$B13)*(Transcriptome!$C$2:$C$28=$G13),0))</f>
        <v>1.1614656927518718</v>
      </c>
      <c r="AX13">
        <f t="array" ref="AX13">INDEX(Transcriptome!Q$2:Q$28,MATCH(1,(Transcriptome!$A$2:$A$28=$B13)*(Transcriptome!$C$2:$C$28=$G13),0))</f>
        <v>0.59136874021180552</v>
      </c>
      <c r="AY13">
        <f t="array" ref="AY13">INDEX(Transcriptome!R$2:R$28,MATCH(1,(Transcriptome!$A$2:$A$28=$B13)*(Transcriptome!$C$2:$C$28=$G13),0))</f>
        <v>0.47269805732547182</v>
      </c>
      <c r="AZ13">
        <f t="array" ref="AZ13">INDEX(Transcriptome!S$2:S$28,MATCH(1,(Transcriptome!$A$2:$A$28=$B13)*(Transcriptome!$C$2:$C$28=$G13),0))</f>
        <v>0.474505313564063</v>
      </c>
      <c r="BA13">
        <f t="array" ref="BA13">INDEX(Transcriptome!T$2:T$28,MATCH(1,(Transcriptome!$A$2:$A$28=$B13)*(Transcriptome!$C$2:$C$28=$G13),0))</f>
        <v>1.0978419176178189</v>
      </c>
      <c r="BB13">
        <f t="array" ref="BB13">INDEX(Transcriptome!U$2:U$28,MATCH(1,(Transcriptome!$A$2:$A$28=$B13)*(Transcriptome!$C$2:$C$28=$G13),0))</f>
        <v>2.8509841652726999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0.84543020602019414</v>
      </c>
      <c r="BF13">
        <f t="array" ref="BF13">INDEX(Transcriptome!Y$2:Y$28,MATCH(1,(Transcriptome!$A$2:$A$28=$B13)*(Transcriptome!$C$2:$C$28=$G13),0))</f>
        <v>0</v>
      </c>
      <c r="BG13">
        <f t="array" ref="BG13">INDEX(Transcriptome!Z$2:Z$28,MATCH(1,(Transcriptome!$A$2:$A$28=$B13)*(Transcriptome!$C$2:$C$28=$G13),0))</f>
        <v>1.1999757206668764</v>
      </c>
      <c r="BH13">
        <f t="array" ref="BH13">INDEX(Transcriptome!AA$2:AA$28,MATCH(1,(Transcriptome!$A$2:$A$28=$B13)*(Transcriptome!$C$2:$C$28=$G13),0))</f>
        <v>1.1786179837995219</v>
      </c>
      <c r="BI13">
        <f t="array" ref="BI13">INDEX(Transcriptome!AB$2:AB$28,MATCH(1,(Transcriptome!$A$2:$A$28=$B13)*(Transcriptome!$C$2:$C$28=$G13),0))</f>
        <v>0.41419411976174364</v>
      </c>
      <c r="BJ13">
        <f t="array" ref="BJ13">INDEX(Transcriptome!AC$2:AC$28,MATCH(1,(Transcriptome!$A$2:$A$28=$B13)*(Transcriptome!$C$2:$C$28=$G13),0))</f>
        <v>0.98175251921782147</v>
      </c>
      <c r="BK13">
        <f t="array" ref="BK13">INDEX(Transcriptome!AD$2:AD$28,MATCH(1,(Transcriptome!$A$2:$A$28=$B13)*(Transcriptome!$C$2:$C$28=$G13),0))</f>
        <v>0.87998427903657706</v>
      </c>
      <c r="BL13">
        <f t="array" ref="BL13">INDEX(Transcriptome!AE$2:AE$28,MATCH(1,(Transcriptome!$A$2:$A$28=$B13)*(Transcriptome!$C$2:$C$28=$G13),0))</f>
        <v>1.4142784439316789</v>
      </c>
      <c r="BM13">
        <f t="array" ref="BM13">INDEX(Transcriptome!AF$2:AF$28,MATCH(1,(Transcriptome!$A$2:$A$28=$B13)*(Transcriptome!$C$2:$C$28=$G13),0))</f>
        <v>0.62050516044316251</v>
      </c>
      <c r="BN13">
        <f t="array" ref="BN13">INDEX(Transcriptome!AG$2:AG$28,MATCH(1,(Transcriptome!$A$2:$A$28=$B13)*(Transcriptome!$C$2:$C$28=$G13),0))</f>
        <v>0.47877111295830344</v>
      </c>
      <c r="BO13">
        <f t="array" ref="BO13">INDEX(Transcriptome!AH$2:AH$28,MATCH(1,(Transcriptome!$A$2:$A$28=$B13)*(Transcriptome!$C$2:$C$28=$G13),0))</f>
        <v>1.9424108020287747</v>
      </c>
      <c r="BP13">
        <f t="array" ref="BP13">INDEX(Transcriptome!AI$2:AI$28,MATCH(1,(Transcriptome!$A$2:$A$28=$B13)*(Transcriptome!$C$2:$C$28=$G13),0))</f>
        <v>0.69973249608039367</v>
      </c>
      <c r="BQ13">
        <f t="array" ref="BQ13">INDEX(Transcriptome!AJ$2:AJ$28,MATCH(1,(Transcriptome!$A$2:$A$28=$B13)*(Transcriptome!$C$2:$C$28=$G13),0))</f>
        <v>0.87016237596091195</v>
      </c>
      <c r="BR13">
        <f t="array" ref="BR13">INDEX(Transcriptome!AK$2:AK$28,MATCH(1,(Transcriptome!$A$2:$A$28=$B13)*(Transcriptome!$C$2:$C$28=$G13),0))</f>
        <v>0.6586808592339628</v>
      </c>
      <c r="BS13">
        <f t="array" ref="BS13">INDEX(Transcriptome!AL$2:AL$28,MATCH(1,(Transcriptome!$A$2:$A$28=$B13)*(Transcriptome!$C$2:$C$28=$G13),0))</f>
        <v>1</v>
      </c>
      <c r="BT13">
        <f t="array" ref="BT13">INDEX(Transcriptome!AM$2:AM$28,MATCH(1,(Transcriptome!$A$2:$A$28=$B13)*(Transcriptome!$C$2:$C$28=$G13),0))</f>
        <v>0.67957260004345588</v>
      </c>
      <c r="BU13">
        <f t="array" ref="BU13">INDEX(Transcriptome!AN$2:AN$28,MATCH(1,(Transcriptome!$A$2:$A$28=$B13)*(Transcriptome!$C$2:$C$28=$G13),0))</f>
        <v>1.0396865895601093</v>
      </c>
      <c r="BV13">
        <f t="array" ref="BV13">INDEX(Transcriptome!AO$2:AO$28,MATCH(1,(Transcriptome!$A$2:$A$28=$B13)*(Transcriptome!$C$2:$C$28=$G13),0))</f>
        <v>1.0737206253123761</v>
      </c>
      <c r="BW13">
        <f t="array" ref="BW13">INDEX(Transcriptome!AP$2:AP$28,MATCH(1,(Transcriptome!$A$2:$A$28=$B13)*(Transcriptome!$C$2:$C$28=$G13),0))</f>
        <v>1.043863376552195</v>
      </c>
      <c r="BX13">
        <f t="array" ref="BX13">INDEX(Transcriptome!AQ$2:AQ$28,MATCH(1,(Transcriptome!$A$2:$A$28=$B13)*(Transcriptome!$C$2:$C$28=$G13),0))</f>
        <v>1.3503170364365213</v>
      </c>
      <c r="BY13">
        <f t="array" ref="BY13">INDEX(Transcriptome!AR$2:AR$28,MATCH(1,(Transcriptome!$A$2:$A$28=$B13)*(Transcriptome!$C$2:$C$28=$G13),0))</f>
        <v>0.72050873297971718</v>
      </c>
      <c r="BZ13">
        <f t="array" ref="BZ13">INDEX(Transcriptome!AS$2:AS$28,MATCH(1,(Transcriptome!$A$2:$A$28=$B13)*(Transcriptome!$C$2:$C$28=$G13),0))</f>
        <v>0.90321144457455538</v>
      </c>
      <c r="CA13">
        <f t="array" ref="CA13">INDEX(Transcriptome!AT$2:AT$28,MATCH(1,(Transcriptome!$A$2:$A$28=$B13)*(Transcriptome!$C$2:$C$28=$G13),0))</f>
        <v>0.78737301878765809</v>
      </c>
      <c r="CB13">
        <f t="array" ref="CB13">INDEX(Transcriptome!AU$2:AU$28,MATCH(1,(Transcriptome!$A$2:$A$28=$B13)*(Transcriptome!$C$2:$C$28=$G13),0))</f>
        <v>1.6895519123272416</v>
      </c>
      <c r="CC13">
        <f t="array" ref="CC13">INDEX(Transcriptome!AV$2:AV$28,MATCH(1,(Transcriptome!$A$2:$A$28=$B13)*(Transcriptome!$C$2:$C$28=$G13),0))</f>
        <v>0.62033240120281474</v>
      </c>
      <c r="CD13">
        <f t="array" ref="CD13">INDEX(Transcriptome!AW$2:AW$28,MATCH(1,(Transcriptome!$A$2:$A$28=$B13)*(Transcriptome!$C$2:$C$28=$G13),0))</f>
        <v>0.79737424067079876</v>
      </c>
      <c r="CE13">
        <f t="array" ref="CE13">INDEX(Transcriptome!AX$2:AX$28,MATCH(1,(Transcriptome!$A$2:$A$28=$B13)*(Transcriptome!$C$2:$C$28=$G13),0))</f>
        <v>0.92460282224808421</v>
      </c>
      <c r="CF13">
        <f t="array" ref="CF13">INDEX(Transcriptome!AY$2:AY$28,MATCH(1,(Transcriptome!$A$2:$A$28=$B13)*(Transcriptome!$C$2:$C$28=$G13),0))</f>
        <v>0.87345230197929324</v>
      </c>
      <c r="CG13">
        <f t="array" ref="CG13">INDEX(Transcriptome!AZ$2:AZ$28,MATCH(1,(Transcriptome!$A$2:$A$28=$B13)*(Transcriptome!$C$2:$C$28=$G13),0))</f>
        <v>0.58498531711834134</v>
      </c>
      <c r="CH13">
        <f t="array" ref="CH13">INDEX(Transcriptome!BA$2:BA$28,MATCH(1,(Transcriptome!$A$2:$A$28=$B13)*(Transcriptome!$C$2:$C$28=$G13),0))</f>
        <v>1.7684157507469151</v>
      </c>
      <c r="CI13">
        <f t="array" ref="CI13">INDEX(Transcriptome!BB$2:BB$28,MATCH(1,(Transcriptome!$A$2:$A$28=$B13)*(Transcriptome!$C$2:$C$28=$G13),0))</f>
        <v>2.0951376227639771</v>
      </c>
      <c r="CJ13">
        <f t="array" ref="CJ13">INDEX(Transcriptome!BC$2:BC$28,MATCH(1,(Transcriptome!$A$2:$A$28=$B13)*(Transcriptome!$C$2:$C$28=$G13),0))</f>
        <v>0</v>
      </c>
      <c r="CK13">
        <f t="array" ref="CK13">INDEX(Transcriptome!BD$2:BD$28,MATCH(1,(Transcriptome!$A$2:$A$28=$B13)*(Transcriptome!$C$2:$C$28=$G13),0))</f>
        <v>1.4723274304126319</v>
      </c>
      <c r="CL13">
        <f t="array" ref="CL13">INDEX(Transcriptome!BE$2:BE$28,MATCH(1,(Transcriptome!$A$2:$A$28=$B13)*(Transcriptome!$C$2:$C$28=$G13),0))</f>
        <v>1.6435709135417447</v>
      </c>
      <c r="CM13">
        <f t="array" ref="CM13">INDEX(Transcriptome!BF$2:BF$28,MATCH(1,(Transcriptome!$A$2:$A$28=$B13)*(Transcriptome!$C$2:$C$28=$G13),0))</f>
        <v>1.4913517712775683</v>
      </c>
      <c r="CN13">
        <f t="array" ref="CN13">INDEX(Transcriptome!BG$2:BG$28,MATCH(1,(Transcriptome!$A$2:$A$28=$B13)*(Transcriptome!$C$2:$C$28=$G13),0))</f>
        <v>2.4868891875698469</v>
      </c>
      <c r="CO13">
        <f t="array" ref="CO13">INDEX(Transcriptome!BH$2:BH$28,MATCH(1,(Transcriptome!$A$2:$A$28=$B13)*(Transcriptome!$C$2:$C$28=$G13),0))</f>
        <v>0.60155455584899675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3.4589818564937866</v>
      </c>
      <c r="CS13">
        <f t="array" ref="CS13">INDEX(Transcriptome!BL$2:BL$28,MATCH(1,(Transcriptome!$A$2:$A$28=$B13)*(Transcriptome!$C$2:$C$28=$G13),0))</f>
        <v>2.3656901554574197</v>
      </c>
      <c r="CT13">
        <f t="array" ref="CT13">INDEX(Transcriptome!BM$2:BM$28,MATCH(1,(Transcriptome!$A$2:$A$28=$B13)*(Transcriptome!$C$2:$C$28=$G13),0))</f>
        <v>0.62485198092475902</v>
      </c>
      <c r="CU13">
        <f t="array" ref="CU13">INDEX(Transcriptome!BN$2:BN$28,MATCH(1,(Transcriptome!$A$2:$A$28=$B13)*(Transcriptome!$C$2:$C$28=$G13),0))</f>
        <v>37.408629658664857</v>
      </c>
      <c r="CV13">
        <f t="array" ref="CV13">INDEX(Transcriptome!BO$2:BO$28,MATCH(1,(Transcriptome!$A$2:$A$28=$B13)*(Transcriptome!$C$2:$C$28=$G13),0))</f>
        <v>1.4849223539828664</v>
      </c>
      <c r="CW13">
        <f t="array" ref="CW13">INDEX(Transcriptome!BP$2:BP$28,MATCH(1,(Transcriptome!$A$2:$A$28=$B13)*(Transcriptome!$C$2:$C$28=$G13),0))</f>
        <v>0.60155455584899675</v>
      </c>
      <c r="CX13">
        <f t="array" ref="CX13">INDEX(Transcriptome!BQ$2:BQ$28,MATCH(1,(Transcriptome!$A$2:$A$28=$B13)*(Transcriptome!$C$2:$C$28=$G13),0))</f>
        <v>1</v>
      </c>
      <c r="CY13">
        <f t="array" ref="CY13">INDEX(Transcriptome!BR$2:BR$28,MATCH(1,(Transcriptome!$A$2:$A$28=$B13)*(Transcriptome!$C$2:$C$28=$G13),0))</f>
        <v>1.7962987005908342</v>
      </c>
    </row>
    <row r="14" spans="1:103">
      <c r="A14">
        <f>'Measured Data'!A19</f>
        <v>12</v>
      </c>
      <c r="B14" t="s">
        <v>583</v>
      </c>
      <c r="C14" s="324" t="s">
        <v>586</v>
      </c>
      <c r="D14">
        <v>1</v>
      </c>
      <c r="E14">
        <f>'Measured Data'!H19</f>
        <v>16.129900796508789</v>
      </c>
      <c r="F14" s="477">
        <f>'Measured Data'!K19</f>
        <v>96.091499328613281</v>
      </c>
      <c r="G14" t="s">
        <v>512</v>
      </c>
      <c r="H14" s="321">
        <f>'Measured Data'!B19</f>
        <v>11.868055555554747</v>
      </c>
      <c r="I14" s="322">
        <f>'Measured Data'!C19</f>
        <v>284.83333333331393</v>
      </c>
      <c r="J14">
        <f>'In Process Calc.'!B15</f>
        <v>11.868055555554747</v>
      </c>
      <c r="K14">
        <f>'In Process Calc.'!C15</f>
        <v>284.83333333331393</v>
      </c>
      <c r="L14">
        <f>'Measured Data'!Z19</f>
        <v>8.8811918559470691</v>
      </c>
      <c r="M14">
        <f>'Measured Data'!AF19</f>
        <v>3.3303730017761985</v>
      </c>
      <c r="N14">
        <f>'Measured Data'!AA19</f>
        <v>2.5529999999999999</v>
      </c>
      <c r="O14">
        <f>'Measured Data'!W19</f>
        <v>6.7000000000000004E-2</v>
      </c>
      <c r="P14">
        <f>'Measured Data'!X19</f>
        <v>1.716</v>
      </c>
      <c r="Q14">
        <f>'Growth Regression'!P14</f>
        <v>9.2506131667759368E-4</v>
      </c>
      <c r="R14">
        <f>Q14/'Growth Regression'!$O$24</f>
        <v>3.4515159713359403E-2</v>
      </c>
      <c r="S14">
        <f>'Post Process Calc.'!K15</f>
        <v>4.0464969614902244E-2</v>
      </c>
      <c r="T14">
        <f>'Post Process Calc.'!Q15</f>
        <v>-7.9755282549017568E-3</v>
      </c>
      <c r="U14">
        <f>'Post Process Calc.'!L15</f>
        <v>1.2367299010639639E-3</v>
      </c>
      <c r="V14">
        <f>'Post Process Calc.'!H15</f>
        <v>4.6205087507694622E-4</v>
      </c>
      <c r="W14">
        <f>'Post Process Calc.'!I15</f>
        <v>1.5660468505655179E-3</v>
      </c>
      <c r="X14">
        <f>'Post Process Calc.'!AG15</f>
        <v>-0.19709710227891949</v>
      </c>
      <c r="Y14">
        <f t="shared" si="2"/>
        <v>25.290606009313901</v>
      </c>
      <c r="Z14">
        <f t="shared" si="2"/>
        <v>-4.9847051593135978</v>
      </c>
      <c r="AA14">
        <f t="shared" si="0"/>
        <v>0.77295618816497735</v>
      </c>
      <c r="AB14">
        <f t="shared" si="0"/>
        <v>0.28878179692309136</v>
      </c>
      <c r="AC14">
        <f t="shared" si="0"/>
        <v>0.97877928160344863</v>
      </c>
      <c r="AD14">
        <v>100</v>
      </c>
      <c r="AE14">
        <v>0.32</v>
      </c>
      <c r="AF14">
        <v>7</v>
      </c>
      <c r="AG14">
        <v>0.7</v>
      </c>
      <c r="AH14">
        <f t="shared" si="1"/>
        <v>5.0118723362727164E-8</v>
      </c>
      <c r="AI14">
        <v>1</v>
      </c>
      <c r="AJ14">
        <v>0.311</v>
      </c>
      <c r="AK14">
        <f t="array" ref="AK14">INDEX(Transcriptome!D$2:D$28,MATCH(1,(Transcriptome!$A$2:$A$28=$B14)*(Transcriptome!$C$2:$C$28=$G14),0))</f>
        <v>0.84529065750573906</v>
      </c>
      <c r="AL14">
        <f t="array" ref="AL14">INDEX(Transcriptome!E$2:E$28,MATCH(1,(Transcriptome!$A$2:$A$28=$B14)*(Transcriptome!$C$2:$C$28=$G14),0))</f>
        <v>1.5123400042300514</v>
      </c>
      <c r="AM14">
        <f t="array" ref="AM14">INDEX(Transcriptome!F$2:F$28,MATCH(1,(Transcriptome!$A$2:$A$28=$B14)*(Transcriptome!$C$2:$C$28=$G14),0))</f>
        <v>1.0521277615350864</v>
      </c>
      <c r="AN14">
        <f t="array" ref="AN14">INDEX(Transcriptome!G$2:G$28,MATCH(1,(Transcriptome!$A$2:$A$28=$B14)*(Transcriptome!$C$2:$C$28=$G14),0))</f>
        <v>0.5133599657223511</v>
      </c>
      <c r="AO14">
        <f t="array" ref="AO14">INDEX(Transcriptome!H$2:H$28,MATCH(1,(Transcriptome!$A$2:$A$28=$B14)*(Transcriptome!$C$2:$C$28=$G14),0))</f>
        <v>0</v>
      </c>
      <c r="AP14">
        <f t="array" ref="AP14">INDEX(Transcriptome!I$2:I$28,MATCH(1,(Transcriptome!$A$2:$A$28=$B14)*(Transcriptome!$C$2:$C$28=$G14),0))</f>
        <v>1.2398152787243992</v>
      </c>
      <c r="AQ14">
        <f t="array" ref="AQ14">INDEX(Transcriptome!J$2:J$28,MATCH(1,(Transcriptome!$A$2:$A$28=$B14)*(Transcriptome!$C$2:$C$28=$G14),0))</f>
        <v>1.0261682969814343</v>
      </c>
      <c r="AR14">
        <f t="array" ref="AR14">INDEX(Transcriptome!K$2:K$28,MATCH(1,(Transcriptome!$A$2:$A$28=$B14)*(Transcriptome!$C$2:$C$28=$G14),0))</f>
        <v>0.95017518110960975</v>
      </c>
      <c r="AS14">
        <f t="array" ref="AS14">INDEX(Transcriptome!L$2:L$28,MATCH(1,(Transcriptome!$A$2:$A$28=$B14)*(Transcriptome!$C$2:$C$28=$G14),0))</f>
        <v>1.0437812111620428</v>
      </c>
      <c r="AT14">
        <f t="array" ref="AT14">INDEX(Transcriptome!M$2:M$28,MATCH(1,(Transcriptome!$A$2:$A$28=$B14)*(Transcriptome!$C$2:$C$28=$G14),0))</f>
        <v>1.258591198790004</v>
      </c>
      <c r="AU14">
        <f t="array" ref="AU14">INDEX(Transcriptome!N$2:N$28,MATCH(1,(Transcriptome!$A$2:$A$28=$B14)*(Transcriptome!$C$2:$C$28=$G14),0))</f>
        <v>0.77434648146572427</v>
      </c>
      <c r="AV14">
        <f t="array" ref="AV14">INDEX(Transcriptome!O$2:O$28,MATCH(1,(Transcriptome!$A$2:$A$28=$B14)*(Transcriptome!$C$2:$C$28=$G14),0))</f>
        <v>1.121291200027364</v>
      </c>
      <c r="AW14">
        <f t="array" ref="AW14">INDEX(Transcriptome!P$2:P$28,MATCH(1,(Transcriptome!$A$2:$A$28=$B14)*(Transcriptome!$C$2:$C$28=$G14),0))</f>
        <v>1.1614656927518718</v>
      </c>
      <c r="AX14">
        <f t="array" ref="AX14">INDEX(Transcriptome!Q$2:Q$28,MATCH(1,(Transcriptome!$A$2:$A$28=$B14)*(Transcriptome!$C$2:$C$28=$G14),0))</f>
        <v>0.59136874021180552</v>
      </c>
      <c r="AY14">
        <f t="array" ref="AY14">INDEX(Transcriptome!R$2:R$28,MATCH(1,(Transcriptome!$A$2:$A$28=$B14)*(Transcriptome!$C$2:$C$28=$G14),0))</f>
        <v>0.47269805732547182</v>
      </c>
      <c r="AZ14">
        <f t="array" ref="AZ14">INDEX(Transcriptome!S$2:S$28,MATCH(1,(Transcriptome!$A$2:$A$28=$B14)*(Transcriptome!$C$2:$C$28=$G14),0))</f>
        <v>0.474505313564063</v>
      </c>
      <c r="BA14">
        <f t="array" ref="BA14">INDEX(Transcriptome!T$2:T$28,MATCH(1,(Transcriptome!$A$2:$A$28=$B14)*(Transcriptome!$C$2:$C$28=$G14),0))</f>
        <v>1.0978419176178189</v>
      </c>
      <c r="BB14">
        <f t="array" ref="BB14">INDEX(Transcriptome!U$2:U$28,MATCH(1,(Transcriptome!$A$2:$A$28=$B14)*(Transcriptome!$C$2:$C$28=$G14),0))</f>
        <v>2.8509841652726999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0.84543020602019414</v>
      </c>
      <c r="BF14">
        <f t="array" ref="BF14">INDEX(Transcriptome!Y$2:Y$28,MATCH(1,(Transcriptome!$A$2:$A$28=$B14)*(Transcriptome!$C$2:$C$28=$G14),0))</f>
        <v>0</v>
      </c>
      <c r="BG14">
        <f t="array" ref="BG14">INDEX(Transcriptome!Z$2:Z$28,MATCH(1,(Transcriptome!$A$2:$A$28=$B14)*(Transcriptome!$C$2:$C$28=$G14),0))</f>
        <v>1.1999757206668764</v>
      </c>
      <c r="BH14">
        <f t="array" ref="BH14">INDEX(Transcriptome!AA$2:AA$28,MATCH(1,(Transcriptome!$A$2:$A$28=$B14)*(Transcriptome!$C$2:$C$28=$G14),0))</f>
        <v>1.1786179837995219</v>
      </c>
      <c r="BI14">
        <f t="array" ref="BI14">INDEX(Transcriptome!AB$2:AB$28,MATCH(1,(Transcriptome!$A$2:$A$28=$B14)*(Transcriptome!$C$2:$C$28=$G14),0))</f>
        <v>0.41419411976174364</v>
      </c>
      <c r="BJ14">
        <f t="array" ref="BJ14">INDEX(Transcriptome!AC$2:AC$28,MATCH(1,(Transcriptome!$A$2:$A$28=$B14)*(Transcriptome!$C$2:$C$28=$G14),0))</f>
        <v>0.98175251921782147</v>
      </c>
      <c r="BK14">
        <f t="array" ref="BK14">INDEX(Transcriptome!AD$2:AD$28,MATCH(1,(Transcriptome!$A$2:$A$28=$B14)*(Transcriptome!$C$2:$C$28=$G14),0))</f>
        <v>0.87998427903657706</v>
      </c>
      <c r="BL14">
        <f t="array" ref="BL14">INDEX(Transcriptome!AE$2:AE$28,MATCH(1,(Transcriptome!$A$2:$A$28=$B14)*(Transcriptome!$C$2:$C$28=$G14),0))</f>
        <v>1.4142784439316789</v>
      </c>
      <c r="BM14">
        <f t="array" ref="BM14">INDEX(Transcriptome!AF$2:AF$28,MATCH(1,(Transcriptome!$A$2:$A$28=$B14)*(Transcriptome!$C$2:$C$28=$G14),0))</f>
        <v>0.62050516044316251</v>
      </c>
      <c r="BN14">
        <f t="array" ref="BN14">INDEX(Transcriptome!AG$2:AG$28,MATCH(1,(Transcriptome!$A$2:$A$28=$B14)*(Transcriptome!$C$2:$C$28=$G14),0))</f>
        <v>0.47877111295830344</v>
      </c>
      <c r="BO14">
        <f t="array" ref="BO14">INDEX(Transcriptome!AH$2:AH$28,MATCH(1,(Transcriptome!$A$2:$A$28=$B14)*(Transcriptome!$C$2:$C$28=$G14),0))</f>
        <v>1.9424108020287747</v>
      </c>
      <c r="BP14">
        <f t="array" ref="BP14">INDEX(Transcriptome!AI$2:AI$28,MATCH(1,(Transcriptome!$A$2:$A$28=$B14)*(Transcriptome!$C$2:$C$28=$G14),0))</f>
        <v>0.69973249608039367</v>
      </c>
      <c r="BQ14">
        <f t="array" ref="BQ14">INDEX(Transcriptome!AJ$2:AJ$28,MATCH(1,(Transcriptome!$A$2:$A$28=$B14)*(Transcriptome!$C$2:$C$28=$G14),0))</f>
        <v>0.87016237596091195</v>
      </c>
      <c r="BR14">
        <f t="array" ref="BR14">INDEX(Transcriptome!AK$2:AK$28,MATCH(1,(Transcriptome!$A$2:$A$28=$B14)*(Transcriptome!$C$2:$C$28=$G14),0))</f>
        <v>0.6586808592339628</v>
      </c>
      <c r="BS14">
        <f t="array" ref="BS14">INDEX(Transcriptome!AL$2:AL$28,MATCH(1,(Transcriptome!$A$2:$A$28=$B14)*(Transcriptome!$C$2:$C$28=$G14),0))</f>
        <v>1</v>
      </c>
      <c r="BT14">
        <f t="array" ref="BT14">INDEX(Transcriptome!AM$2:AM$28,MATCH(1,(Transcriptome!$A$2:$A$28=$B14)*(Transcriptome!$C$2:$C$28=$G14),0))</f>
        <v>0.67957260004345588</v>
      </c>
      <c r="BU14">
        <f t="array" ref="BU14">INDEX(Transcriptome!AN$2:AN$28,MATCH(1,(Transcriptome!$A$2:$A$28=$B14)*(Transcriptome!$C$2:$C$28=$G14),0))</f>
        <v>1.0396865895601093</v>
      </c>
      <c r="BV14">
        <f t="array" ref="BV14">INDEX(Transcriptome!AO$2:AO$28,MATCH(1,(Transcriptome!$A$2:$A$28=$B14)*(Transcriptome!$C$2:$C$28=$G14),0))</f>
        <v>1.0737206253123761</v>
      </c>
      <c r="BW14">
        <f t="array" ref="BW14">INDEX(Transcriptome!AP$2:AP$28,MATCH(1,(Transcriptome!$A$2:$A$28=$B14)*(Transcriptome!$C$2:$C$28=$G14),0))</f>
        <v>1.043863376552195</v>
      </c>
      <c r="BX14">
        <f t="array" ref="BX14">INDEX(Transcriptome!AQ$2:AQ$28,MATCH(1,(Transcriptome!$A$2:$A$28=$B14)*(Transcriptome!$C$2:$C$28=$G14),0))</f>
        <v>1.3503170364365213</v>
      </c>
      <c r="BY14">
        <f t="array" ref="BY14">INDEX(Transcriptome!AR$2:AR$28,MATCH(1,(Transcriptome!$A$2:$A$28=$B14)*(Transcriptome!$C$2:$C$28=$G14),0))</f>
        <v>0.72050873297971718</v>
      </c>
      <c r="BZ14">
        <f t="array" ref="BZ14">INDEX(Transcriptome!AS$2:AS$28,MATCH(1,(Transcriptome!$A$2:$A$28=$B14)*(Transcriptome!$C$2:$C$28=$G14),0))</f>
        <v>0.90321144457455538</v>
      </c>
      <c r="CA14">
        <f t="array" ref="CA14">INDEX(Transcriptome!AT$2:AT$28,MATCH(1,(Transcriptome!$A$2:$A$28=$B14)*(Transcriptome!$C$2:$C$28=$G14),0))</f>
        <v>0.78737301878765809</v>
      </c>
      <c r="CB14">
        <f t="array" ref="CB14">INDEX(Transcriptome!AU$2:AU$28,MATCH(1,(Transcriptome!$A$2:$A$28=$B14)*(Transcriptome!$C$2:$C$28=$G14),0))</f>
        <v>1.6895519123272416</v>
      </c>
      <c r="CC14">
        <f t="array" ref="CC14">INDEX(Transcriptome!AV$2:AV$28,MATCH(1,(Transcriptome!$A$2:$A$28=$B14)*(Transcriptome!$C$2:$C$28=$G14),0))</f>
        <v>0.62033240120281474</v>
      </c>
      <c r="CD14">
        <f t="array" ref="CD14">INDEX(Transcriptome!AW$2:AW$28,MATCH(1,(Transcriptome!$A$2:$A$28=$B14)*(Transcriptome!$C$2:$C$28=$G14),0))</f>
        <v>0.79737424067079876</v>
      </c>
      <c r="CE14">
        <f t="array" ref="CE14">INDEX(Transcriptome!AX$2:AX$28,MATCH(1,(Transcriptome!$A$2:$A$28=$B14)*(Transcriptome!$C$2:$C$28=$G14),0))</f>
        <v>0.92460282224808421</v>
      </c>
      <c r="CF14">
        <f t="array" ref="CF14">INDEX(Transcriptome!AY$2:AY$28,MATCH(1,(Transcriptome!$A$2:$A$28=$B14)*(Transcriptome!$C$2:$C$28=$G14),0))</f>
        <v>0.87345230197929324</v>
      </c>
      <c r="CG14">
        <f t="array" ref="CG14">INDEX(Transcriptome!AZ$2:AZ$28,MATCH(1,(Transcriptome!$A$2:$A$28=$B14)*(Transcriptome!$C$2:$C$28=$G14),0))</f>
        <v>0.58498531711834134</v>
      </c>
      <c r="CH14">
        <f t="array" ref="CH14">INDEX(Transcriptome!BA$2:BA$28,MATCH(1,(Transcriptome!$A$2:$A$28=$B14)*(Transcriptome!$C$2:$C$28=$G14),0))</f>
        <v>1.7684157507469151</v>
      </c>
      <c r="CI14">
        <f t="array" ref="CI14">INDEX(Transcriptome!BB$2:BB$28,MATCH(1,(Transcriptome!$A$2:$A$28=$B14)*(Transcriptome!$C$2:$C$28=$G14),0))</f>
        <v>2.0951376227639771</v>
      </c>
      <c r="CJ14">
        <f t="array" ref="CJ14">INDEX(Transcriptome!BC$2:BC$28,MATCH(1,(Transcriptome!$A$2:$A$28=$B14)*(Transcriptome!$C$2:$C$28=$G14),0))</f>
        <v>0</v>
      </c>
      <c r="CK14">
        <f t="array" ref="CK14">INDEX(Transcriptome!BD$2:BD$28,MATCH(1,(Transcriptome!$A$2:$A$28=$B14)*(Transcriptome!$C$2:$C$28=$G14),0))</f>
        <v>1.4723274304126319</v>
      </c>
      <c r="CL14">
        <f t="array" ref="CL14">INDEX(Transcriptome!BE$2:BE$28,MATCH(1,(Transcriptome!$A$2:$A$28=$B14)*(Transcriptome!$C$2:$C$28=$G14),0))</f>
        <v>1.6435709135417447</v>
      </c>
      <c r="CM14">
        <f t="array" ref="CM14">INDEX(Transcriptome!BF$2:BF$28,MATCH(1,(Transcriptome!$A$2:$A$28=$B14)*(Transcriptome!$C$2:$C$28=$G14),0))</f>
        <v>1.4913517712775683</v>
      </c>
      <c r="CN14">
        <f t="array" ref="CN14">INDEX(Transcriptome!BG$2:BG$28,MATCH(1,(Transcriptome!$A$2:$A$28=$B14)*(Transcriptome!$C$2:$C$28=$G14),0))</f>
        <v>2.4868891875698469</v>
      </c>
      <c r="CO14">
        <f t="array" ref="CO14">INDEX(Transcriptome!BH$2:BH$28,MATCH(1,(Transcriptome!$A$2:$A$28=$B14)*(Transcriptome!$C$2:$C$28=$G14),0))</f>
        <v>0.60155455584899675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3.4589818564937866</v>
      </c>
      <c r="CS14">
        <f t="array" ref="CS14">INDEX(Transcriptome!BL$2:BL$28,MATCH(1,(Transcriptome!$A$2:$A$28=$B14)*(Transcriptome!$C$2:$C$28=$G14),0))</f>
        <v>2.3656901554574197</v>
      </c>
      <c r="CT14">
        <f t="array" ref="CT14">INDEX(Transcriptome!BM$2:BM$28,MATCH(1,(Transcriptome!$A$2:$A$28=$B14)*(Transcriptome!$C$2:$C$28=$G14),0))</f>
        <v>0.62485198092475902</v>
      </c>
      <c r="CU14">
        <f t="array" ref="CU14">INDEX(Transcriptome!BN$2:BN$28,MATCH(1,(Transcriptome!$A$2:$A$28=$B14)*(Transcriptome!$C$2:$C$28=$G14),0))</f>
        <v>37.408629658664857</v>
      </c>
      <c r="CV14">
        <f t="array" ref="CV14">INDEX(Transcriptome!BO$2:BO$28,MATCH(1,(Transcriptome!$A$2:$A$28=$B14)*(Transcriptome!$C$2:$C$28=$G14),0))</f>
        <v>1.4849223539828664</v>
      </c>
      <c r="CW14">
        <f t="array" ref="CW14">INDEX(Transcriptome!BP$2:BP$28,MATCH(1,(Transcriptome!$A$2:$A$28=$B14)*(Transcriptome!$C$2:$C$28=$G14),0))</f>
        <v>0.60155455584899675</v>
      </c>
      <c r="CX14">
        <f t="array" ref="CX14">INDEX(Transcriptome!BQ$2:BQ$28,MATCH(1,(Transcriptome!$A$2:$A$28=$B14)*(Transcriptome!$C$2:$C$28=$G14),0))</f>
        <v>1</v>
      </c>
      <c r="CY14">
        <f t="array" ref="CY14">INDEX(Transcriptome!BR$2:BR$28,MATCH(1,(Transcriptome!$A$2:$A$28=$B14)*(Transcriptome!$C$2:$C$28=$G14),0))</f>
        <v>1.7962987005908342</v>
      </c>
    </row>
    <row r="15" spans="1:103">
      <c r="A15">
        <f>'Measured Data'!A20</f>
        <v>13</v>
      </c>
      <c r="B15" t="s">
        <v>583</v>
      </c>
      <c r="C15" s="324" t="s">
        <v>586</v>
      </c>
      <c r="D15">
        <v>1</v>
      </c>
      <c r="E15">
        <f>'Measured Data'!H20</f>
        <v>15.486100061035156</v>
      </c>
      <c r="F15" s="477">
        <f>'Measured Data'!K20</f>
        <v>93.142097473144531</v>
      </c>
      <c r="G15" t="s">
        <v>712</v>
      </c>
      <c r="H15" s="321">
        <f>'Measured Data'!B20</f>
        <v>12.861111111109494</v>
      </c>
      <c r="I15" s="322">
        <f>'Measured Data'!C20</f>
        <v>308.66666666662786</v>
      </c>
      <c r="J15">
        <f>'In Process Calc.'!B16</f>
        <v>12.861111111109494</v>
      </c>
      <c r="K15">
        <f>'In Process Calc.'!C16</f>
        <v>308.66666666662786</v>
      </c>
      <c r="L15">
        <f>'Measured Data'!Z20</f>
        <v>12.65569839472457</v>
      </c>
      <c r="M15">
        <f>'Measured Data'!AF20</f>
        <v>2.1092362344582591</v>
      </c>
      <c r="N15">
        <f>'Measured Data'!AA20</f>
        <v>2.3639999999999999</v>
      </c>
      <c r="O15">
        <f>'Measured Data'!W20</f>
        <v>7.4999999999999997E-2</v>
      </c>
      <c r="P15">
        <f>'Measured Data'!X20</f>
        <v>1.448</v>
      </c>
      <c r="Q15">
        <f>'Growth Regression'!P15</f>
        <v>4.9646653685272426E-4</v>
      </c>
      <c r="R15">
        <f>Q15/'Growth Regression'!$O$24</f>
        <v>1.8523768644173443E-2</v>
      </c>
      <c r="S15">
        <f>'Post Process Calc.'!K16</f>
        <v>0</v>
      </c>
      <c r="T15">
        <f>'Post Process Calc.'!Q16</f>
        <v>0</v>
      </c>
      <c r="U15">
        <f>'Post Process Calc.'!L16</f>
        <v>0</v>
      </c>
      <c r="V15">
        <f>'Post Process Calc.'!H16</f>
        <v>0</v>
      </c>
      <c r="W15">
        <f>'Post Process Calc.'!I16</f>
        <v>0</v>
      </c>
      <c r="X15">
        <f>'Post Process Calc.'!AG16</f>
        <v>0</v>
      </c>
      <c r="Y15">
        <f t="shared" ref="Y15:Y16" si="3">S15/0.0016</f>
        <v>0</v>
      </c>
      <c r="Z15">
        <f t="shared" ref="Z15:Z16" si="4">T15/0.0016</f>
        <v>0</v>
      </c>
      <c r="AA15">
        <f t="shared" ref="AA15:AA16" si="5">U15/0.0016</f>
        <v>0</v>
      </c>
      <c r="AB15">
        <f t="shared" ref="AB15:AB16" si="6">V15/0.0016</f>
        <v>0</v>
      </c>
      <c r="AC15">
        <f t="shared" ref="AC15:AC16" si="7">W15/0.0016</f>
        <v>0</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583</v>
      </c>
      <c r="C16" s="324" t="s">
        <v>586</v>
      </c>
      <c r="D16">
        <v>1</v>
      </c>
      <c r="E16">
        <f>'Measured Data'!H21</f>
        <v>12.884300096130371</v>
      </c>
      <c r="F16" s="477">
        <f>'Measured Data'!K21</f>
        <v>82.006500244140625</v>
      </c>
      <c r="G16" t="s">
        <v>712</v>
      </c>
      <c r="H16" s="321">
        <f>'Measured Data'!B21</f>
        <v>13.875694444439432</v>
      </c>
      <c r="I16" s="322">
        <f>'Measured Data'!C21</f>
        <v>333.01666666654637</v>
      </c>
      <c r="J16">
        <f>'In Process Calc.'!B17</f>
        <v>13.875694444439432</v>
      </c>
      <c r="K16">
        <f>'In Process Calc.'!C17</f>
        <v>333.01666666654637</v>
      </c>
      <c r="L16">
        <f>'Measured Data'!Z21</f>
        <v>14.265414418614977</v>
      </c>
      <c r="M16">
        <f>'Measured Data'!AF21</f>
        <v>3.6634103019538191</v>
      </c>
      <c r="N16">
        <f>'Measured Data'!AA21</f>
        <v>1.6970000000000001</v>
      </c>
      <c r="O16">
        <f>'Measured Data'!W21</f>
        <v>8.1000000000000003E-2</v>
      </c>
      <c r="P16">
        <f>'Measured Data'!X21</f>
        <v>2.2229999999999999</v>
      </c>
      <c r="Q16">
        <f>'Growth Regression'!P16</f>
        <v>2.6081613936711147E-4</v>
      </c>
      <c r="R16">
        <f>Q16/'Growth Regression'!$O$24</f>
        <v>9.7313664983951671E-3</v>
      </c>
      <c r="S16">
        <f>'Post Process Calc.'!K17</f>
        <v>0</v>
      </c>
      <c r="T16">
        <f>'Post Process Calc.'!Q17</f>
        <v>0</v>
      </c>
      <c r="U16">
        <f>'Post Process Calc.'!L17</f>
        <v>0</v>
      </c>
      <c r="V16">
        <f>'Post Process Calc.'!H17</f>
        <v>0</v>
      </c>
      <c r="W16">
        <f>'Post Process Calc.'!I17</f>
        <v>0</v>
      </c>
      <c r="X16">
        <f>'Post Process Calc.'!AG17</f>
        <v>0</v>
      </c>
      <c r="Y16">
        <f t="shared" si="3"/>
        <v>0</v>
      </c>
      <c r="Z16">
        <f t="shared" si="4"/>
        <v>0</v>
      </c>
      <c r="AA16">
        <f t="shared" si="5"/>
        <v>0</v>
      </c>
      <c r="AB16">
        <f t="shared" si="6"/>
        <v>0</v>
      </c>
      <c r="AC16">
        <f t="shared" si="7"/>
        <v>0</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583</v>
      </c>
      <c r="C2" s="324" t="s">
        <v>586</v>
      </c>
      <c r="D2">
        <v>1</v>
      </c>
      <c r="E2" t="s">
        <v>513</v>
      </c>
      <c r="F2" s="477">
        <f>'Growth Regression'!R2</f>
        <v>0.45277777777664596</v>
      </c>
      <c r="G2" s="477">
        <f>'Growth Regression'!S2</f>
        <v>10.866666666639503</v>
      </c>
      <c r="H2">
        <f>AVERAGE('TL input - regression'!L2:L3)</f>
        <v>33.359976908901174</v>
      </c>
      <c r="I2">
        <f>AVERAGE('TL input - regression'!M2:M3)</f>
        <v>1.1101243339253997</v>
      </c>
      <c r="J2">
        <f>AVERAGE('TL input - regression'!N2:N3)</f>
        <v>0</v>
      </c>
      <c r="K2">
        <f>AVERAGE('TL input - regression'!O2:O3)</f>
        <v>6.0395000000000003</v>
      </c>
      <c r="L2">
        <f>AVERAGE('TL input - regression'!P2:P3)</f>
        <v>1.7290000000000001</v>
      </c>
      <c r="M2">
        <f>'Growth Regression'!P2</f>
        <v>2.6438696334164732E-2</v>
      </c>
      <c r="N2">
        <f>M2/'Growth Regression'!$O$24</f>
        <v>0.98645982718651115</v>
      </c>
      <c r="O2">
        <f>'Post Process Calc.'!C20</f>
        <v>3.2104395037506034E-2</v>
      </c>
      <c r="P2">
        <f>'Post Process Calc.'!D20</f>
        <v>4.8589801521378671E-3</v>
      </c>
      <c r="Q2">
        <f>'Post Process Calc.'!E20</f>
        <v>-4.3997318398012915E-2</v>
      </c>
      <c r="R2">
        <f>'Post Process Calc.'!F20</f>
        <v>3.6828969147388785E-2</v>
      </c>
      <c r="S2">
        <f>'Post Process Calc.'!G20</f>
        <v>9.6430413678712981E-2</v>
      </c>
      <c r="T2">
        <f>P2/O2</f>
        <v>0.15134937588642777</v>
      </c>
      <c r="U2">
        <f>O2/0.0016</f>
        <v>20.06524689844127</v>
      </c>
      <c r="V2">
        <f>P2/0.0016</f>
        <v>3.0368625950861667</v>
      </c>
      <c r="W2">
        <f t="shared" ref="W2:Y13" si="0">Q2/0.0016</f>
        <v>-27.498323998758071</v>
      </c>
      <c r="X2">
        <f t="shared" si="0"/>
        <v>23.01810571711799</v>
      </c>
      <c r="Y2">
        <f t="shared" si="0"/>
        <v>60.269008549195611</v>
      </c>
      <c r="Z2">
        <v>100</v>
      </c>
      <c r="AA2">
        <v>0.32</v>
      </c>
      <c r="AB2">
        <v>7</v>
      </c>
      <c r="AC2">
        <v>0.7</v>
      </c>
      <c r="AD2">
        <f t="shared" ref="AD2:AD15" si="1">10^(-7.3)</f>
        <v>5.0118723362727164E-8</v>
      </c>
      <c r="AE2">
        <v>1</v>
      </c>
      <c r="AF2">
        <v>0.311</v>
      </c>
      <c r="AG2">
        <f t="array" ref="AG2">INDEX(Transcriptome!D$2:D$28,MATCH(1,(Transcriptome!$A$2:$A$28=$B2)*(Transcriptome!$C$2:$C$28=$E2),0))</f>
        <v>0.80840159635551412</v>
      </c>
      <c r="AH2">
        <f t="array" ref="AH2">INDEX(Transcriptome!E$2:E$28,MATCH(1,(Transcriptome!$A$2:$A$28=$B2)*(Transcriptome!$C$2:$C$28=$E2),0))</f>
        <v>1.5163732496679212</v>
      </c>
      <c r="AI2">
        <f t="array" ref="AI2">INDEX(Transcriptome!F$2:F$28,MATCH(1,(Transcriptome!$A$2:$A$28=$B2)*(Transcriptome!$C$2:$C$28=$E2),0))</f>
        <v>1.1218283788538985</v>
      </c>
      <c r="AJ2">
        <f t="array" ref="AJ2">INDEX(Transcriptome!G$2:G$28,MATCH(1,(Transcriptome!$A$2:$A$28=$B2)*(Transcriptome!$C$2:$C$28=$E2),0))</f>
        <v>0.54718463568993359</v>
      </c>
      <c r="AK2">
        <f t="array" ref="AK2">INDEX(Transcriptome!H$2:H$28,MATCH(1,(Transcriptome!$A$2:$A$28=$B2)*(Transcriptome!$C$2:$C$28=$E2),0))</f>
        <v>0</v>
      </c>
      <c r="AL2">
        <f t="array" ref="AL2">INDEX(Transcriptome!I$2:I$28,MATCH(1,(Transcriptome!$A$2:$A$28=$B2)*(Transcriptome!$C$2:$C$28=$E2),0))</f>
        <v>1.21326487788329</v>
      </c>
      <c r="AM2">
        <f t="array" ref="AM2">INDEX(Transcriptome!J$2:J$28,MATCH(1,(Transcriptome!$A$2:$A$28=$B2)*(Transcriptome!$C$2:$C$28=$E2),0))</f>
        <v>1.0655409214479317</v>
      </c>
      <c r="AN2">
        <f t="array" ref="AN2">INDEX(Transcriptome!K$2:K$28,MATCH(1,(Transcriptome!$A$2:$A$28=$B2)*(Transcriptome!$C$2:$C$28=$E2),0))</f>
        <v>0.99473906672325785</v>
      </c>
      <c r="AO2">
        <f t="array" ref="AO2">INDEX(Transcriptome!L$2:L$28,MATCH(1,(Transcriptome!$A$2:$A$28=$B2)*(Transcriptome!$C$2:$C$28=$E2),0))</f>
        <v>1.0003087268363742</v>
      </c>
      <c r="AP2">
        <f t="array" ref="AP2">INDEX(Transcriptome!M$2:M$28,MATCH(1,(Transcriptome!$A$2:$A$28=$B2)*(Transcriptome!$C$2:$C$28=$E2),0))</f>
        <v>1.3775577585380128</v>
      </c>
      <c r="AQ2">
        <f t="array" ref="AQ2">INDEX(Transcriptome!N$2:N$28,MATCH(1,(Transcriptome!$A$2:$A$28=$B2)*(Transcriptome!$C$2:$C$28=$E2),0))</f>
        <v>0.81114178526603686</v>
      </c>
      <c r="AR2">
        <f t="array" ref="AR2">INDEX(Transcriptome!O$2:O$28,MATCH(1,(Transcriptome!$A$2:$A$28=$B2)*(Transcriptome!$C$2:$C$28=$E2),0))</f>
        <v>1.1696661685593308</v>
      </c>
      <c r="AS2">
        <f t="array" ref="AS2">INDEX(Transcriptome!P$2:P$28,MATCH(1,(Transcriptome!$A$2:$A$28=$B2)*(Transcriptome!$C$2:$C$28=$E2),0))</f>
        <v>1.2073370579107578</v>
      </c>
      <c r="AT2">
        <f t="array" ref="AT2">INDEX(Transcriptome!Q$2:Q$28,MATCH(1,(Transcriptome!$A$2:$A$28=$B2)*(Transcriptome!$C$2:$C$28=$E2),0))</f>
        <v>0.58362943726722871</v>
      </c>
      <c r="AU2">
        <f t="array" ref="AU2">INDEX(Transcriptome!R$2:R$28,MATCH(1,(Transcriptome!$A$2:$A$28=$B2)*(Transcriptome!$C$2:$C$28=$E2),0))</f>
        <v>0.50376877903698547</v>
      </c>
      <c r="AV2">
        <f t="array" ref="AV2">INDEX(Transcriptome!S$2:S$28,MATCH(1,(Transcriptome!$A$2:$A$28=$B2)*(Transcriptome!$C$2:$C$28=$E2),0))</f>
        <v>0.46985710445636059</v>
      </c>
      <c r="AW2">
        <f t="array" ref="AW2">INDEX(Transcriptome!T$2:T$28,MATCH(1,(Transcriptome!$A$2:$A$28=$B2)*(Transcriptome!$C$2:$C$28=$E2),0))</f>
        <v>1.1189256123640647</v>
      </c>
      <c r="AX2">
        <f t="array" ref="AX2">INDEX(Transcriptome!U$2:U$28,MATCH(1,(Transcriptome!$A$2:$A$28=$B2)*(Transcriptome!$C$2:$C$28=$E2),0))</f>
        <v>3.5410137925199292</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0.88665697502311858</v>
      </c>
      <c r="BB2">
        <f t="array" ref="BB2">INDEX(Transcriptome!Y$2:Y$28,MATCH(1,(Transcriptome!$A$2:$A$28=$B2)*(Transcriptome!$C$2:$C$28=$E2),0))</f>
        <v>0</v>
      </c>
      <c r="BC2">
        <f t="array" ref="BC2">INDEX(Transcriptome!Z$2:Z$28,MATCH(1,(Transcriptome!$A$2:$A$28=$B2)*(Transcriptome!$C$2:$C$28=$E2),0))</f>
        <v>1.1899558091643074</v>
      </c>
      <c r="BD2">
        <f t="array" ref="BD2">INDEX(Transcriptome!AA$2:AA$28,MATCH(1,(Transcriptome!$A$2:$A$28=$B2)*(Transcriptome!$C$2:$C$28=$E2),0))</f>
        <v>1.2011425699950584</v>
      </c>
      <c r="BE2">
        <f t="array" ref="BE2">INDEX(Transcriptome!AB$2:AB$28,MATCH(1,(Transcriptome!$A$2:$A$28=$B2)*(Transcriptome!$C$2:$C$28=$E2),0))</f>
        <v>0.42782681289615299</v>
      </c>
      <c r="BF2">
        <f t="array" ref="BF2">INDEX(Transcriptome!AC$2:AC$28,MATCH(1,(Transcriptome!$A$2:$A$28=$B2)*(Transcriptome!$C$2:$C$28=$E2),0))</f>
        <v>0.99882183295258842</v>
      </c>
      <c r="BG2">
        <f t="array" ref="BG2">INDEX(Transcriptome!AD$2:AD$28,MATCH(1,(Transcriptome!$A$2:$A$28=$B2)*(Transcriptome!$C$2:$C$28=$E2),0))</f>
        <v>0.85625549574435611</v>
      </c>
      <c r="BH2">
        <f t="array" ref="BH2">INDEX(Transcriptome!AE$2:AE$28,MATCH(1,(Transcriptome!$A$2:$A$28=$B2)*(Transcriptome!$C$2:$C$28=$E2),0))</f>
        <v>1.432947670810945</v>
      </c>
      <c r="BI2">
        <f t="array" ref="BI2">INDEX(Transcriptome!AF$2:AF$28,MATCH(1,(Transcriptome!$A$2:$A$28=$B2)*(Transcriptome!$C$2:$C$28=$E2),0))</f>
        <v>0.59392555830865223</v>
      </c>
      <c r="BJ2">
        <f t="array" ref="BJ2">INDEX(Transcriptome!AG$2:AG$28,MATCH(1,(Transcriptome!$A$2:$A$28=$B2)*(Transcriptome!$C$2:$C$28=$E2),0))</f>
        <v>0.48730497239940024</v>
      </c>
      <c r="BK2">
        <f t="array" ref="BK2">INDEX(Transcriptome!AH$2:AH$28,MATCH(1,(Transcriptome!$A$2:$A$28=$B2)*(Transcriptome!$C$2:$C$28=$E2),0))</f>
        <v>1.8095179354972706</v>
      </c>
      <c r="BL2">
        <f t="array" ref="BL2">INDEX(Transcriptome!AI$2:AI$28,MATCH(1,(Transcriptome!$A$2:$A$28=$B2)*(Transcriptome!$C$2:$C$28=$E2),0))</f>
        <v>0.71240057843874782</v>
      </c>
      <c r="BM2">
        <f t="array" ref="BM2">INDEX(Transcriptome!AJ$2:AJ$28,MATCH(1,(Transcriptome!$A$2:$A$28=$B2)*(Transcriptome!$C$2:$C$28=$E2),0))</f>
        <v>0.87499852201140327</v>
      </c>
      <c r="BN2">
        <f t="array" ref="BN2">INDEX(Transcriptome!AK$2:AK$28,MATCH(1,(Transcriptome!$A$2:$A$28=$B2)*(Transcriptome!$C$2:$C$28=$E2),0))</f>
        <v>0.65277414413996737</v>
      </c>
      <c r="BO2">
        <f t="array" ref="BO2">INDEX(Transcriptome!AL$2:AL$28,MATCH(1,(Transcriptome!$A$2:$A$28=$B2)*(Transcriptome!$C$2:$C$28=$E2),0))</f>
        <v>1</v>
      </c>
      <c r="BP2">
        <f t="array" ref="BP2">INDEX(Transcriptome!AM$2:AM$28,MATCH(1,(Transcriptome!$A$2:$A$28=$B2)*(Transcriptome!$C$2:$C$28=$E2),0))</f>
        <v>0.71122483365382949</v>
      </c>
      <c r="BQ2">
        <f t="array" ref="BQ2">INDEX(Transcriptome!AN$2:AN$28,MATCH(1,(Transcriptome!$A$2:$A$28=$B2)*(Transcriptome!$C$2:$C$28=$E2),0))</f>
        <v>0.98918496260154987</v>
      </c>
      <c r="BR2">
        <f t="array" ref="BR2">INDEX(Transcriptome!AO$2:AO$28,MATCH(1,(Transcriptome!$A$2:$A$28=$B2)*(Transcriptome!$C$2:$C$28=$E2),0))</f>
        <v>1.0632881677534851</v>
      </c>
      <c r="BS2">
        <f t="array" ref="BS2">INDEX(Transcriptome!AP$2:AP$28,MATCH(1,(Transcriptome!$A$2:$A$28=$B2)*(Transcriptome!$C$2:$C$28=$E2),0))</f>
        <v>1.0207894409757674</v>
      </c>
      <c r="BT2">
        <f t="array" ref="BT2">INDEX(Transcriptome!AQ$2:AQ$28,MATCH(1,(Transcriptome!$A$2:$A$28=$B2)*(Transcriptome!$C$2:$C$28=$E2),0))</f>
        <v>1.3069351817787282</v>
      </c>
      <c r="BU2">
        <f t="array" ref="BU2">INDEX(Transcriptome!AR$2:AR$28,MATCH(1,(Transcriptome!$A$2:$A$28=$B2)*(Transcriptome!$C$2:$C$28=$E2),0))</f>
        <v>0.72172948001285797</v>
      </c>
      <c r="BV2">
        <f t="array" ref="BV2">INDEX(Transcriptome!AS$2:AS$28,MATCH(1,(Transcriptome!$A$2:$A$28=$B2)*(Transcriptome!$C$2:$C$28=$E2),0))</f>
        <v>0.88310890556595556</v>
      </c>
      <c r="BW2">
        <f t="array" ref="BW2">INDEX(Transcriptome!AT$2:AT$28,MATCH(1,(Transcriptome!$A$2:$A$28=$B2)*(Transcriptome!$C$2:$C$28=$E2),0))</f>
        <v>0.78068554124751866</v>
      </c>
      <c r="BX2">
        <f t="array" ref="BX2">INDEX(Transcriptome!AU$2:AU$28,MATCH(1,(Transcriptome!$A$2:$A$28=$B2)*(Transcriptome!$C$2:$C$28=$E2),0))</f>
        <v>1.6853604227569587</v>
      </c>
      <c r="BY2">
        <f t="array" ref="BY2">INDEX(Transcriptome!AV$2:AV$28,MATCH(1,(Transcriptome!$A$2:$A$28=$B2)*(Transcriptome!$C$2:$C$28=$E2),0))</f>
        <v>0.60019145421519393</v>
      </c>
      <c r="BZ2">
        <f t="array" ref="BZ2">INDEX(Transcriptome!AW$2:AW$28,MATCH(1,(Transcriptome!$A$2:$A$28=$B2)*(Transcriptome!$C$2:$C$28=$E2),0))</f>
        <v>0.81640008350667004</v>
      </c>
      <c r="CA2">
        <f t="array" ref="CA2">INDEX(Transcriptome!AX$2:AX$28,MATCH(1,(Transcriptome!$A$2:$A$28=$B2)*(Transcriptome!$C$2:$C$28=$E2),0))</f>
        <v>0.82787377286856667</v>
      </c>
      <c r="CB2">
        <f t="array" ref="CB2">INDEX(Transcriptome!AY$2:AY$28,MATCH(1,(Transcriptome!$A$2:$A$28=$B2)*(Transcriptome!$C$2:$C$28=$E2),0))</f>
        <v>0.89890108706972605</v>
      </c>
      <c r="CC2">
        <f t="array" ref="CC2">INDEX(Transcriptome!AZ$2:AZ$28,MATCH(1,(Transcriptome!$A$2:$A$28=$B2)*(Transcriptome!$C$2:$C$28=$E2),0))</f>
        <v>0.59861399415185224</v>
      </c>
      <c r="CD2">
        <f t="array" ref="CD2">INDEX(Transcriptome!BA$2:BA$28,MATCH(1,(Transcriptome!$A$2:$A$28=$B2)*(Transcriptome!$C$2:$C$28=$E2),0))</f>
        <v>1.8026104389010524</v>
      </c>
      <c r="CE2">
        <f t="array" ref="CE2">INDEX(Transcriptome!BB$2:BB$28,MATCH(1,(Transcriptome!$A$2:$A$28=$B2)*(Transcriptome!$C$2:$C$28=$E2),0))</f>
        <v>2.1137531601340016</v>
      </c>
      <c r="CF2">
        <f t="array" ref="CF2">INDEX(Transcriptome!BC$2:BC$28,MATCH(1,(Transcriptome!$A$2:$A$28=$B2)*(Transcriptome!$C$2:$C$28=$E2),0))</f>
        <v>0</v>
      </c>
      <c r="CG2">
        <f t="array" ref="CG2">INDEX(Transcriptome!BD$2:BD$28,MATCH(1,(Transcriptome!$A$2:$A$28=$B2)*(Transcriptome!$C$2:$C$28=$E2),0))</f>
        <v>1.4782234663879816</v>
      </c>
      <c r="CH2">
        <f t="array" ref="CH2">INDEX(Transcriptome!BE$2:BE$28,MATCH(1,(Transcriptome!$A$2:$A$28=$B2)*(Transcriptome!$C$2:$C$28=$E2),0))</f>
        <v>1.4666747772910123</v>
      </c>
      <c r="CI2">
        <f t="array" ref="CI2">INDEX(Transcriptome!BF$2:BF$28,MATCH(1,(Transcriptome!$A$2:$A$28=$B2)*(Transcriptome!$C$2:$C$28=$E2),0))</f>
        <v>1.507625498431161</v>
      </c>
      <c r="CJ2">
        <f t="array" ref="CJ2">INDEX(Transcriptome!BG$2:BG$28,MATCH(1,(Transcriptome!$A$2:$A$28=$B2)*(Transcriptome!$C$2:$C$28=$E2),0))</f>
        <v>2.5212399808112504</v>
      </c>
      <c r="CK2">
        <f t="array" ref="CK2">INDEX(Transcriptome!BH$2:BH$28,MATCH(1,(Transcriptome!$A$2:$A$28=$B2)*(Transcriptome!$C$2:$C$28=$E2),0))</f>
        <v>0.5793848749027265</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3.5568635172654277</v>
      </c>
      <c r="CO2">
        <f t="array" ref="CO2">INDEX(Transcriptome!BL$2:BL$28,MATCH(1,(Transcriptome!$A$2:$A$28=$B2)*(Transcriptome!$C$2:$C$28=$E2),0))</f>
        <v>2.3392666351837739</v>
      </c>
      <c r="CP2">
        <f t="array" ref="CP2">INDEX(Transcriptome!BM$2:BM$28,MATCH(1,(Transcriptome!$A$2:$A$28=$B2)*(Transcriptome!$C$2:$C$28=$E2),0))</f>
        <v>0.65806154225315017</v>
      </c>
      <c r="CQ2">
        <f t="array" ref="CQ2">INDEX(Transcriptome!BN$2:BN$28,MATCH(1,(Transcriptome!$A$2:$A$28=$B2)*(Transcriptome!$C$2:$C$28=$E2),0))</f>
        <v>36.47398676016153</v>
      </c>
      <c r="CR2">
        <f t="array" ref="CR2">INDEX(Transcriptome!BO$2:BO$28,MATCH(1,(Transcriptome!$A$2:$A$28=$B2)*(Transcriptome!$C$2:$C$28=$E2),0))</f>
        <v>1.4410124598864966</v>
      </c>
      <c r="CS2">
        <f t="array" ref="CS2">INDEX(Transcriptome!BP$2:BP$28,MATCH(1,(Transcriptome!$A$2:$A$28=$B2)*(Transcriptome!$C$2:$C$28=$E2),0))</f>
        <v>0.5793848749027265</v>
      </c>
      <c r="CT2">
        <f t="array" ref="CT2">INDEX(Transcriptome!BQ$2:BQ$28,MATCH(1,(Transcriptome!$A$2:$A$28=$B2)*(Transcriptome!$C$2:$C$28=$E2),0))</f>
        <v>1</v>
      </c>
      <c r="CU2">
        <f t="array" ref="CU2">INDEX(Transcriptome!BR$2:BR$28,MATCH(1,(Transcriptome!$A$2:$A$28=$B2)*(Transcriptome!$C$2:$C$28=$E2),0))</f>
        <v>1.3555456312582743</v>
      </c>
    </row>
    <row r="3" spans="1:99">
      <c r="A3">
        <f>'Measured Data'!A8</f>
        <v>1</v>
      </c>
      <c r="B3" t="s">
        <v>583</v>
      </c>
      <c r="C3" s="324" t="s">
        <v>586</v>
      </c>
      <c r="D3">
        <v>1</v>
      </c>
      <c r="E3" t="s">
        <v>513</v>
      </c>
      <c r="F3" s="477">
        <f>'Growth Regression'!R3</f>
        <v>1.4513888888868678</v>
      </c>
      <c r="G3" s="477">
        <f>'Growth Regression'!S3</f>
        <v>34.833333333284827</v>
      </c>
      <c r="H3">
        <f>AVERAGE('TL input - regression'!L3:L4)</f>
        <v>32.693887519705143</v>
      </c>
      <c r="I3">
        <f>AVERAGE('TL input - regression'!M3:M4)</f>
        <v>1.9427175843694495</v>
      </c>
      <c r="J3">
        <f>AVERAGE('TL input - regression'!N3:N4)</f>
        <v>0.13300000000000001</v>
      </c>
      <c r="K3">
        <f>AVERAGE('TL input - regression'!O3:O4)</f>
        <v>5.5875000000000004</v>
      </c>
      <c r="L3">
        <f>AVERAGE('TL input - regression'!P3:P4)</f>
        <v>1.7414999999999998</v>
      </c>
      <c r="M3">
        <f>'Growth Regression'!P3</f>
        <v>2.617640691287184E-2</v>
      </c>
      <c r="N3">
        <f>M3/'Growth Regression'!$O$24</f>
        <v>0.97667349075255128</v>
      </c>
      <c r="O3">
        <f>'Post Process Calc.'!C21</f>
        <v>7.4853757248542888E-2</v>
      </c>
      <c r="P3">
        <f>'Post Process Calc.'!D21</f>
        <v>5.1586916974178672E-2</v>
      </c>
      <c r="Q3">
        <f>'Post Process Calc.'!E21</f>
        <v>5.9736459475640503E-3</v>
      </c>
      <c r="R3">
        <f>'Post Process Calc.'!F21</f>
        <v>-9.0904810043970942E-5</v>
      </c>
      <c r="S3">
        <f>'Post Process Calc.'!G21</f>
        <v>1.1067591840009371E-2</v>
      </c>
      <c r="T3">
        <f t="shared" ref="T3:T13" si="2">P3/O3</f>
        <v>0.68916937332738726</v>
      </c>
      <c r="U3">
        <f>O3/0.0016</f>
        <v>46.783598280339305</v>
      </c>
      <c r="V3">
        <f t="shared" ref="V3" si="3">P3/0.0016</f>
        <v>32.241823108861666</v>
      </c>
      <c r="W3">
        <f t="shared" si="0"/>
        <v>3.7335287172275313</v>
      </c>
      <c r="X3">
        <f t="shared" si="0"/>
        <v>-5.6815506277481838E-2</v>
      </c>
      <c r="Y3">
        <f t="shared" si="0"/>
        <v>6.9172449000058567</v>
      </c>
      <c r="Z3">
        <v>100</v>
      </c>
      <c r="AA3">
        <v>0.32</v>
      </c>
      <c r="AB3">
        <v>7</v>
      </c>
      <c r="AC3">
        <v>0.7</v>
      </c>
      <c r="AD3">
        <f t="shared" si="1"/>
        <v>5.0118723362727164E-8</v>
      </c>
      <c r="AE3">
        <v>1</v>
      </c>
      <c r="AF3">
        <v>0.311</v>
      </c>
      <c r="AG3">
        <f t="array" ref="AG3">INDEX(Transcriptome!D$2:D$28,MATCH(1,(Transcriptome!$A$2:$A$28=$B3)*(Transcriptome!$C$2:$C$28=$E3),0))</f>
        <v>0.80840159635551412</v>
      </c>
      <c r="AH3">
        <f t="array" ref="AH3">INDEX(Transcriptome!E$2:E$28,MATCH(1,(Transcriptome!$A$2:$A$28=$B3)*(Transcriptome!$C$2:$C$28=$E3),0))</f>
        <v>1.5163732496679212</v>
      </c>
      <c r="AI3">
        <f t="array" ref="AI3">INDEX(Transcriptome!F$2:F$28,MATCH(1,(Transcriptome!$A$2:$A$28=$B3)*(Transcriptome!$C$2:$C$28=$E3),0))</f>
        <v>1.1218283788538985</v>
      </c>
      <c r="AJ3">
        <f t="array" ref="AJ3">INDEX(Transcriptome!G$2:G$28,MATCH(1,(Transcriptome!$A$2:$A$28=$B3)*(Transcriptome!$C$2:$C$28=$E3),0))</f>
        <v>0.54718463568993359</v>
      </c>
      <c r="AK3">
        <f t="array" ref="AK3">INDEX(Transcriptome!H$2:H$28,MATCH(1,(Transcriptome!$A$2:$A$28=$B3)*(Transcriptome!$C$2:$C$28=$E3),0))</f>
        <v>0</v>
      </c>
      <c r="AL3">
        <f t="array" ref="AL3">INDEX(Transcriptome!I$2:I$28,MATCH(1,(Transcriptome!$A$2:$A$28=$B3)*(Transcriptome!$C$2:$C$28=$E3),0))</f>
        <v>1.21326487788329</v>
      </c>
      <c r="AM3">
        <f t="array" ref="AM3">INDEX(Transcriptome!J$2:J$28,MATCH(1,(Transcriptome!$A$2:$A$28=$B3)*(Transcriptome!$C$2:$C$28=$E3),0))</f>
        <v>1.0655409214479317</v>
      </c>
      <c r="AN3">
        <f t="array" ref="AN3">INDEX(Transcriptome!K$2:K$28,MATCH(1,(Transcriptome!$A$2:$A$28=$B3)*(Transcriptome!$C$2:$C$28=$E3),0))</f>
        <v>0.99473906672325785</v>
      </c>
      <c r="AO3">
        <f t="array" ref="AO3">INDEX(Transcriptome!L$2:L$28,MATCH(1,(Transcriptome!$A$2:$A$28=$B3)*(Transcriptome!$C$2:$C$28=$E3),0))</f>
        <v>1.0003087268363742</v>
      </c>
      <c r="AP3">
        <f t="array" ref="AP3">INDEX(Transcriptome!M$2:M$28,MATCH(1,(Transcriptome!$A$2:$A$28=$B3)*(Transcriptome!$C$2:$C$28=$E3),0))</f>
        <v>1.3775577585380128</v>
      </c>
      <c r="AQ3">
        <f t="array" ref="AQ3">INDEX(Transcriptome!N$2:N$28,MATCH(1,(Transcriptome!$A$2:$A$28=$B3)*(Transcriptome!$C$2:$C$28=$E3),0))</f>
        <v>0.81114178526603686</v>
      </c>
      <c r="AR3">
        <f t="array" ref="AR3">INDEX(Transcriptome!O$2:O$28,MATCH(1,(Transcriptome!$A$2:$A$28=$B3)*(Transcriptome!$C$2:$C$28=$E3),0))</f>
        <v>1.1696661685593308</v>
      </c>
      <c r="AS3">
        <f t="array" ref="AS3">INDEX(Transcriptome!P$2:P$28,MATCH(1,(Transcriptome!$A$2:$A$28=$B3)*(Transcriptome!$C$2:$C$28=$E3),0))</f>
        <v>1.2073370579107578</v>
      </c>
      <c r="AT3">
        <f t="array" ref="AT3">INDEX(Transcriptome!Q$2:Q$28,MATCH(1,(Transcriptome!$A$2:$A$28=$B3)*(Transcriptome!$C$2:$C$28=$E3),0))</f>
        <v>0.58362943726722871</v>
      </c>
      <c r="AU3">
        <f t="array" ref="AU3">INDEX(Transcriptome!R$2:R$28,MATCH(1,(Transcriptome!$A$2:$A$28=$B3)*(Transcriptome!$C$2:$C$28=$E3),0))</f>
        <v>0.50376877903698547</v>
      </c>
      <c r="AV3">
        <f t="array" ref="AV3">INDEX(Transcriptome!S$2:S$28,MATCH(1,(Transcriptome!$A$2:$A$28=$B3)*(Transcriptome!$C$2:$C$28=$E3),0))</f>
        <v>0.46985710445636059</v>
      </c>
      <c r="AW3">
        <f t="array" ref="AW3">INDEX(Transcriptome!T$2:T$28,MATCH(1,(Transcriptome!$A$2:$A$28=$B3)*(Transcriptome!$C$2:$C$28=$E3),0))</f>
        <v>1.1189256123640647</v>
      </c>
      <c r="AX3">
        <f t="array" ref="AX3">INDEX(Transcriptome!U$2:U$28,MATCH(1,(Transcriptome!$A$2:$A$28=$B3)*(Transcriptome!$C$2:$C$28=$E3),0))</f>
        <v>3.5410137925199292</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0.88665697502311858</v>
      </c>
      <c r="BB3">
        <f t="array" ref="BB3">INDEX(Transcriptome!Y$2:Y$28,MATCH(1,(Transcriptome!$A$2:$A$28=$B3)*(Transcriptome!$C$2:$C$28=$E3),0))</f>
        <v>0</v>
      </c>
      <c r="BC3">
        <f t="array" ref="BC3">INDEX(Transcriptome!Z$2:Z$28,MATCH(1,(Transcriptome!$A$2:$A$28=$B3)*(Transcriptome!$C$2:$C$28=$E3),0))</f>
        <v>1.1899558091643074</v>
      </c>
      <c r="BD3">
        <f t="array" ref="BD3">INDEX(Transcriptome!AA$2:AA$28,MATCH(1,(Transcriptome!$A$2:$A$28=$B3)*(Transcriptome!$C$2:$C$28=$E3),0))</f>
        <v>1.2011425699950584</v>
      </c>
      <c r="BE3">
        <f t="array" ref="BE3">INDEX(Transcriptome!AB$2:AB$28,MATCH(1,(Transcriptome!$A$2:$A$28=$B3)*(Transcriptome!$C$2:$C$28=$E3),0))</f>
        <v>0.42782681289615299</v>
      </c>
      <c r="BF3">
        <f t="array" ref="BF3">INDEX(Transcriptome!AC$2:AC$28,MATCH(1,(Transcriptome!$A$2:$A$28=$B3)*(Transcriptome!$C$2:$C$28=$E3),0))</f>
        <v>0.99882183295258842</v>
      </c>
      <c r="BG3">
        <f t="array" ref="BG3">INDEX(Transcriptome!AD$2:AD$28,MATCH(1,(Transcriptome!$A$2:$A$28=$B3)*(Transcriptome!$C$2:$C$28=$E3),0))</f>
        <v>0.85625549574435611</v>
      </c>
      <c r="BH3">
        <f t="array" ref="BH3">INDEX(Transcriptome!AE$2:AE$28,MATCH(1,(Transcriptome!$A$2:$A$28=$B3)*(Transcriptome!$C$2:$C$28=$E3),0))</f>
        <v>1.432947670810945</v>
      </c>
      <c r="BI3">
        <f t="array" ref="BI3">INDEX(Transcriptome!AF$2:AF$28,MATCH(1,(Transcriptome!$A$2:$A$28=$B3)*(Transcriptome!$C$2:$C$28=$E3),0))</f>
        <v>0.59392555830865223</v>
      </c>
      <c r="BJ3">
        <f t="array" ref="BJ3">INDEX(Transcriptome!AG$2:AG$28,MATCH(1,(Transcriptome!$A$2:$A$28=$B3)*(Transcriptome!$C$2:$C$28=$E3),0))</f>
        <v>0.48730497239940024</v>
      </c>
      <c r="BK3">
        <f t="array" ref="BK3">INDEX(Transcriptome!AH$2:AH$28,MATCH(1,(Transcriptome!$A$2:$A$28=$B3)*(Transcriptome!$C$2:$C$28=$E3),0))</f>
        <v>1.8095179354972706</v>
      </c>
      <c r="BL3">
        <f t="array" ref="BL3">INDEX(Transcriptome!AI$2:AI$28,MATCH(1,(Transcriptome!$A$2:$A$28=$B3)*(Transcriptome!$C$2:$C$28=$E3),0))</f>
        <v>0.71240057843874782</v>
      </c>
      <c r="BM3">
        <f t="array" ref="BM3">INDEX(Transcriptome!AJ$2:AJ$28,MATCH(1,(Transcriptome!$A$2:$A$28=$B3)*(Transcriptome!$C$2:$C$28=$E3),0))</f>
        <v>0.87499852201140327</v>
      </c>
      <c r="BN3">
        <f t="array" ref="BN3">INDEX(Transcriptome!AK$2:AK$28,MATCH(1,(Transcriptome!$A$2:$A$28=$B3)*(Transcriptome!$C$2:$C$28=$E3),0))</f>
        <v>0.65277414413996737</v>
      </c>
      <c r="BO3">
        <f t="array" ref="BO3">INDEX(Transcriptome!AL$2:AL$28,MATCH(1,(Transcriptome!$A$2:$A$28=$B3)*(Transcriptome!$C$2:$C$28=$E3),0))</f>
        <v>1</v>
      </c>
      <c r="BP3">
        <f t="array" ref="BP3">INDEX(Transcriptome!AM$2:AM$28,MATCH(1,(Transcriptome!$A$2:$A$28=$B3)*(Transcriptome!$C$2:$C$28=$E3),0))</f>
        <v>0.71122483365382949</v>
      </c>
      <c r="BQ3">
        <f t="array" ref="BQ3">INDEX(Transcriptome!AN$2:AN$28,MATCH(1,(Transcriptome!$A$2:$A$28=$B3)*(Transcriptome!$C$2:$C$28=$E3),0))</f>
        <v>0.98918496260154987</v>
      </c>
      <c r="BR3">
        <f t="array" ref="BR3">INDEX(Transcriptome!AO$2:AO$28,MATCH(1,(Transcriptome!$A$2:$A$28=$B3)*(Transcriptome!$C$2:$C$28=$E3),0))</f>
        <v>1.0632881677534851</v>
      </c>
      <c r="BS3">
        <f t="array" ref="BS3">INDEX(Transcriptome!AP$2:AP$28,MATCH(1,(Transcriptome!$A$2:$A$28=$B3)*(Transcriptome!$C$2:$C$28=$E3),0))</f>
        <v>1.0207894409757674</v>
      </c>
      <c r="BT3">
        <f t="array" ref="BT3">INDEX(Transcriptome!AQ$2:AQ$28,MATCH(1,(Transcriptome!$A$2:$A$28=$B3)*(Transcriptome!$C$2:$C$28=$E3),0))</f>
        <v>1.3069351817787282</v>
      </c>
      <c r="BU3">
        <f t="array" ref="BU3">INDEX(Transcriptome!AR$2:AR$28,MATCH(1,(Transcriptome!$A$2:$A$28=$B3)*(Transcriptome!$C$2:$C$28=$E3),0))</f>
        <v>0.72172948001285797</v>
      </c>
      <c r="BV3">
        <f t="array" ref="BV3">INDEX(Transcriptome!AS$2:AS$28,MATCH(1,(Transcriptome!$A$2:$A$28=$B3)*(Transcriptome!$C$2:$C$28=$E3),0))</f>
        <v>0.88310890556595556</v>
      </c>
      <c r="BW3">
        <f t="array" ref="BW3">INDEX(Transcriptome!AT$2:AT$28,MATCH(1,(Transcriptome!$A$2:$A$28=$B3)*(Transcriptome!$C$2:$C$28=$E3),0))</f>
        <v>0.78068554124751866</v>
      </c>
      <c r="BX3">
        <f t="array" ref="BX3">INDEX(Transcriptome!AU$2:AU$28,MATCH(1,(Transcriptome!$A$2:$A$28=$B3)*(Transcriptome!$C$2:$C$28=$E3),0))</f>
        <v>1.6853604227569587</v>
      </c>
      <c r="BY3">
        <f t="array" ref="BY3">INDEX(Transcriptome!AV$2:AV$28,MATCH(1,(Transcriptome!$A$2:$A$28=$B3)*(Transcriptome!$C$2:$C$28=$E3),0))</f>
        <v>0.60019145421519393</v>
      </c>
      <c r="BZ3">
        <f t="array" ref="BZ3">INDEX(Transcriptome!AW$2:AW$28,MATCH(1,(Transcriptome!$A$2:$A$28=$B3)*(Transcriptome!$C$2:$C$28=$E3),0))</f>
        <v>0.81640008350667004</v>
      </c>
      <c r="CA3">
        <f t="array" ref="CA3">INDEX(Transcriptome!AX$2:AX$28,MATCH(1,(Transcriptome!$A$2:$A$28=$B3)*(Transcriptome!$C$2:$C$28=$E3),0))</f>
        <v>0.82787377286856667</v>
      </c>
      <c r="CB3">
        <f t="array" ref="CB3">INDEX(Transcriptome!AY$2:AY$28,MATCH(1,(Transcriptome!$A$2:$A$28=$B3)*(Transcriptome!$C$2:$C$28=$E3),0))</f>
        <v>0.89890108706972605</v>
      </c>
      <c r="CC3">
        <f t="array" ref="CC3">INDEX(Transcriptome!AZ$2:AZ$28,MATCH(1,(Transcriptome!$A$2:$A$28=$B3)*(Transcriptome!$C$2:$C$28=$E3),0))</f>
        <v>0.59861399415185224</v>
      </c>
      <c r="CD3">
        <f t="array" ref="CD3">INDEX(Transcriptome!BA$2:BA$28,MATCH(1,(Transcriptome!$A$2:$A$28=$B3)*(Transcriptome!$C$2:$C$28=$E3),0))</f>
        <v>1.8026104389010524</v>
      </c>
      <c r="CE3">
        <f t="array" ref="CE3">INDEX(Transcriptome!BB$2:BB$28,MATCH(1,(Transcriptome!$A$2:$A$28=$B3)*(Transcriptome!$C$2:$C$28=$E3),0))</f>
        <v>2.1137531601340016</v>
      </c>
      <c r="CF3">
        <f t="array" ref="CF3">INDEX(Transcriptome!BC$2:BC$28,MATCH(1,(Transcriptome!$A$2:$A$28=$B3)*(Transcriptome!$C$2:$C$28=$E3),0))</f>
        <v>0</v>
      </c>
      <c r="CG3">
        <f t="array" ref="CG3">INDEX(Transcriptome!BD$2:BD$28,MATCH(1,(Transcriptome!$A$2:$A$28=$B3)*(Transcriptome!$C$2:$C$28=$E3),0))</f>
        <v>1.4782234663879816</v>
      </c>
      <c r="CH3">
        <f t="array" ref="CH3">INDEX(Transcriptome!BE$2:BE$28,MATCH(1,(Transcriptome!$A$2:$A$28=$B3)*(Transcriptome!$C$2:$C$28=$E3),0))</f>
        <v>1.4666747772910123</v>
      </c>
      <c r="CI3">
        <f t="array" ref="CI3">INDEX(Transcriptome!BF$2:BF$28,MATCH(1,(Transcriptome!$A$2:$A$28=$B3)*(Transcriptome!$C$2:$C$28=$E3),0))</f>
        <v>1.507625498431161</v>
      </c>
      <c r="CJ3">
        <f t="array" ref="CJ3">INDEX(Transcriptome!BG$2:BG$28,MATCH(1,(Transcriptome!$A$2:$A$28=$B3)*(Transcriptome!$C$2:$C$28=$E3),0))</f>
        <v>2.5212399808112504</v>
      </c>
      <c r="CK3">
        <f t="array" ref="CK3">INDEX(Transcriptome!BH$2:BH$28,MATCH(1,(Transcriptome!$A$2:$A$28=$B3)*(Transcriptome!$C$2:$C$28=$E3),0))</f>
        <v>0.5793848749027265</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3.5568635172654277</v>
      </c>
      <c r="CO3">
        <f t="array" ref="CO3">INDEX(Transcriptome!BL$2:BL$28,MATCH(1,(Transcriptome!$A$2:$A$28=$B3)*(Transcriptome!$C$2:$C$28=$E3),0))</f>
        <v>2.3392666351837739</v>
      </c>
      <c r="CP3">
        <f t="array" ref="CP3">INDEX(Transcriptome!BM$2:BM$28,MATCH(1,(Transcriptome!$A$2:$A$28=$B3)*(Transcriptome!$C$2:$C$28=$E3),0))</f>
        <v>0.65806154225315017</v>
      </c>
      <c r="CQ3">
        <f t="array" ref="CQ3">INDEX(Transcriptome!BN$2:BN$28,MATCH(1,(Transcriptome!$A$2:$A$28=$B3)*(Transcriptome!$C$2:$C$28=$E3),0))</f>
        <v>36.47398676016153</v>
      </c>
      <c r="CR3">
        <f t="array" ref="CR3">INDEX(Transcriptome!BO$2:BO$28,MATCH(1,(Transcriptome!$A$2:$A$28=$B3)*(Transcriptome!$C$2:$C$28=$E3),0))</f>
        <v>1.4410124598864966</v>
      </c>
      <c r="CS3">
        <f t="array" ref="CS3">INDEX(Transcriptome!BP$2:BP$28,MATCH(1,(Transcriptome!$A$2:$A$28=$B3)*(Transcriptome!$C$2:$C$28=$E3),0))</f>
        <v>0.5793848749027265</v>
      </c>
      <c r="CT3">
        <f t="array" ref="CT3">INDEX(Transcriptome!BQ$2:BQ$28,MATCH(1,(Transcriptome!$A$2:$A$28=$B3)*(Transcriptome!$C$2:$C$28=$E3),0))</f>
        <v>1</v>
      </c>
      <c r="CU3">
        <f t="array" ref="CU3">INDEX(Transcriptome!BR$2:BR$28,MATCH(1,(Transcriptome!$A$2:$A$28=$B3)*(Transcriptome!$C$2:$C$28=$E3),0))</f>
        <v>1.3555456312582743</v>
      </c>
    </row>
    <row r="4" spans="1:99">
      <c r="A4">
        <f>'Measured Data'!A9</f>
        <v>2</v>
      </c>
      <c r="B4" t="s">
        <v>583</v>
      </c>
      <c r="C4" s="324" t="s">
        <v>586</v>
      </c>
      <c r="D4">
        <v>1</v>
      </c>
      <c r="E4" t="s">
        <v>513</v>
      </c>
      <c r="F4" s="477">
        <f>'Growth Regression'!R4</f>
        <v>2.4881944444423425</v>
      </c>
      <c r="G4" s="477">
        <f>'Growth Regression'!S4</f>
        <v>59.71666666661622</v>
      </c>
      <c r="H4">
        <f>AVERAGE('TL input - regression'!L4:L5)</f>
        <v>31.111925220364572</v>
      </c>
      <c r="I4">
        <f>AVERAGE('TL input - regression'!M4:M5)</f>
        <v>3.2193605683836592</v>
      </c>
      <c r="J4">
        <f>AVERAGE('TL input - regression'!N4:N5)</f>
        <v>0.312</v>
      </c>
      <c r="K4">
        <f>AVERAGE('TL input - regression'!O4:O5)</f>
        <v>4.8584999999999994</v>
      </c>
      <c r="L4">
        <f>AVERAGE('TL input - regression'!P4:P5)</f>
        <v>1.722</v>
      </c>
      <c r="M4">
        <f>'Growth Regression'!P4</f>
        <v>2.5535064670795828E-2</v>
      </c>
      <c r="N4">
        <f>M4/'Growth Regression'!$O$24</f>
        <v>0.95274423382969109</v>
      </c>
      <c r="O4">
        <f>'Post Process Calc.'!C22</f>
        <v>9.5706170287010089E-2</v>
      </c>
      <c r="P4">
        <f>'Post Process Calc.'!D22</f>
        <v>6.7489362516996207E-2</v>
      </c>
      <c r="Q4">
        <f>'Post Process Calc.'!E22</f>
        <v>-1.2566537523588665E-3</v>
      </c>
      <c r="R4">
        <f>'Post Process Calc.'!F22</f>
        <v>-2.6072777157438113E-3</v>
      </c>
      <c r="S4">
        <f>'Post Process Calc.'!G22</f>
        <v>-9.3166804255870959E-3</v>
      </c>
      <c r="T4">
        <f t="shared" si="2"/>
        <v>0.70517253291615967</v>
      </c>
      <c r="U4">
        <f t="shared" ref="U4:V13" si="4">O4/0.0016</f>
        <v>59.816356429381301</v>
      </c>
      <c r="V4">
        <f t="shared" si="4"/>
        <v>42.180851573122631</v>
      </c>
      <c r="W4">
        <f t="shared" si="0"/>
        <v>-0.78540859522429152</v>
      </c>
      <c r="X4">
        <f t="shared" si="0"/>
        <v>-1.6295485723398819</v>
      </c>
      <c r="Y4">
        <f t="shared" si="0"/>
        <v>-5.8229252659919348</v>
      </c>
      <c r="Z4">
        <v>100</v>
      </c>
      <c r="AA4">
        <v>0.32</v>
      </c>
      <c r="AB4">
        <v>7</v>
      </c>
      <c r="AC4">
        <v>0.7</v>
      </c>
      <c r="AD4">
        <f t="shared" si="1"/>
        <v>5.0118723362727164E-8</v>
      </c>
      <c r="AE4">
        <v>1</v>
      </c>
      <c r="AF4">
        <v>0.311</v>
      </c>
      <c r="AG4">
        <f t="array" ref="AG4">INDEX(Transcriptome!D$2:D$28,MATCH(1,(Transcriptome!$A$2:$A$28=$B4)*(Transcriptome!$C$2:$C$28=$E4),0))</f>
        <v>0.80840159635551412</v>
      </c>
      <c r="AH4">
        <f t="array" ref="AH4">INDEX(Transcriptome!E$2:E$28,MATCH(1,(Transcriptome!$A$2:$A$28=$B4)*(Transcriptome!$C$2:$C$28=$E4),0))</f>
        <v>1.5163732496679212</v>
      </c>
      <c r="AI4">
        <f t="array" ref="AI4">INDEX(Transcriptome!F$2:F$28,MATCH(1,(Transcriptome!$A$2:$A$28=$B4)*(Transcriptome!$C$2:$C$28=$E4),0))</f>
        <v>1.1218283788538985</v>
      </c>
      <c r="AJ4">
        <f t="array" ref="AJ4">INDEX(Transcriptome!G$2:G$28,MATCH(1,(Transcriptome!$A$2:$A$28=$B4)*(Transcriptome!$C$2:$C$28=$E4),0))</f>
        <v>0.54718463568993359</v>
      </c>
      <c r="AK4">
        <f t="array" ref="AK4">INDEX(Transcriptome!H$2:H$28,MATCH(1,(Transcriptome!$A$2:$A$28=$B4)*(Transcriptome!$C$2:$C$28=$E4),0))</f>
        <v>0</v>
      </c>
      <c r="AL4">
        <f t="array" ref="AL4">INDEX(Transcriptome!I$2:I$28,MATCH(1,(Transcriptome!$A$2:$A$28=$B4)*(Transcriptome!$C$2:$C$28=$E4),0))</f>
        <v>1.21326487788329</v>
      </c>
      <c r="AM4">
        <f t="array" ref="AM4">INDEX(Transcriptome!J$2:J$28,MATCH(1,(Transcriptome!$A$2:$A$28=$B4)*(Transcriptome!$C$2:$C$28=$E4),0))</f>
        <v>1.0655409214479317</v>
      </c>
      <c r="AN4">
        <f t="array" ref="AN4">INDEX(Transcriptome!K$2:K$28,MATCH(1,(Transcriptome!$A$2:$A$28=$B4)*(Transcriptome!$C$2:$C$28=$E4),0))</f>
        <v>0.99473906672325785</v>
      </c>
      <c r="AO4">
        <f t="array" ref="AO4">INDEX(Transcriptome!L$2:L$28,MATCH(1,(Transcriptome!$A$2:$A$28=$B4)*(Transcriptome!$C$2:$C$28=$E4),0))</f>
        <v>1.0003087268363742</v>
      </c>
      <c r="AP4">
        <f t="array" ref="AP4">INDEX(Transcriptome!M$2:M$28,MATCH(1,(Transcriptome!$A$2:$A$28=$B4)*(Transcriptome!$C$2:$C$28=$E4),0))</f>
        <v>1.3775577585380128</v>
      </c>
      <c r="AQ4">
        <f t="array" ref="AQ4">INDEX(Transcriptome!N$2:N$28,MATCH(1,(Transcriptome!$A$2:$A$28=$B4)*(Transcriptome!$C$2:$C$28=$E4),0))</f>
        <v>0.81114178526603686</v>
      </c>
      <c r="AR4">
        <f t="array" ref="AR4">INDEX(Transcriptome!O$2:O$28,MATCH(1,(Transcriptome!$A$2:$A$28=$B4)*(Transcriptome!$C$2:$C$28=$E4),0))</f>
        <v>1.1696661685593308</v>
      </c>
      <c r="AS4">
        <f t="array" ref="AS4">INDEX(Transcriptome!P$2:P$28,MATCH(1,(Transcriptome!$A$2:$A$28=$B4)*(Transcriptome!$C$2:$C$28=$E4),0))</f>
        <v>1.2073370579107578</v>
      </c>
      <c r="AT4">
        <f t="array" ref="AT4">INDEX(Transcriptome!Q$2:Q$28,MATCH(1,(Transcriptome!$A$2:$A$28=$B4)*(Transcriptome!$C$2:$C$28=$E4),0))</f>
        <v>0.58362943726722871</v>
      </c>
      <c r="AU4">
        <f t="array" ref="AU4">INDEX(Transcriptome!R$2:R$28,MATCH(1,(Transcriptome!$A$2:$A$28=$B4)*(Transcriptome!$C$2:$C$28=$E4),0))</f>
        <v>0.50376877903698547</v>
      </c>
      <c r="AV4">
        <f t="array" ref="AV4">INDEX(Transcriptome!S$2:S$28,MATCH(1,(Transcriptome!$A$2:$A$28=$B4)*(Transcriptome!$C$2:$C$28=$E4),0))</f>
        <v>0.46985710445636059</v>
      </c>
      <c r="AW4">
        <f t="array" ref="AW4">INDEX(Transcriptome!T$2:T$28,MATCH(1,(Transcriptome!$A$2:$A$28=$B4)*(Transcriptome!$C$2:$C$28=$E4),0))</f>
        <v>1.1189256123640647</v>
      </c>
      <c r="AX4">
        <f t="array" ref="AX4">INDEX(Transcriptome!U$2:U$28,MATCH(1,(Transcriptome!$A$2:$A$28=$B4)*(Transcriptome!$C$2:$C$28=$E4),0))</f>
        <v>3.5410137925199292</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0.88665697502311858</v>
      </c>
      <c r="BB4">
        <f t="array" ref="BB4">INDEX(Transcriptome!Y$2:Y$28,MATCH(1,(Transcriptome!$A$2:$A$28=$B4)*(Transcriptome!$C$2:$C$28=$E4),0))</f>
        <v>0</v>
      </c>
      <c r="BC4">
        <f t="array" ref="BC4">INDEX(Transcriptome!Z$2:Z$28,MATCH(1,(Transcriptome!$A$2:$A$28=$B4)*(Transcriptome!$C$2:$C$28=$E4),0))</f>
        <v>1.1899558091643074</v>
      </c>
      <c r="BD4">
        <f t="array" ref="BD4">INDEX(Transcriptome!AA$2:AA$28,MATCH(1,(Transcriptome!$A$2:$A$28=$B4)*(Transcriptome!$C$2:$C$28=$E4),0))</f>
        <v>1.2011425699950584</v>
      </c>
      <c r="BE4">
        <f t="array" ref="BE4">INDEX(Transcriptome!AB$2:AB$28,MATCH(1,(Transcriptome!$A$2:$A$28=$B4)*(Transcriptome!$C$2:$C$28=$E4),0))</f>
        <v>0.42782681289615299</v>
      </c>
      <c r="BF4">
        <f t="array" ref="BF4">INDEX(Transcriptome!AC$2:AC$28,MATCH(1,(Transcriptome!$A$2:$A$28=$B4)*(Transcriptome!$C$2:$C$28=$E4),0))</f>
        <v>0.99882183295258842</v>
      </c>
      <c r="BG4">
        <f t="array" ref="BG4">INDEX(Transcriptome!AD$2:AD$28,MATCH(1,(Transcriptome!$A$2:$A$28=$B4)*(Transcriptome!$C$2:$C$28=$E4),0))</f>
        <v>0.85625549574435611</v>
      </c>
      <c r="BH4">
        <f t="array" ref="BH4">INDEX(Transcriptome!AE$2:AE$28,MATCH(1,(Transcriptome!$A$2:$A$28=$B4)*(Transcriptome!$C$2:$C$28=$E4),0))</f>
        <v>1.432947670810945</v>
      </c>
      <c r="BI4">
        <f t="array" ref="BI4">INDEX(Transcriptome!AF$2:AF$28,MATCH(1,(Transcriptome!$A$2:$A$28=$B4)*(Transcriptome!$C$2:$C$28=$E4),0))</f>
        <v>0.59392555830865223</v>
      </c>
      <c r="BJ4">
        <f t="array" ref="BJ4">INDEX(Transcriptome!AG$2:AG$28,MATCH(1,(Transcriptome!$A$2:$A$28=$B4)*(Transcriptome!$C$2:$C$28=$E4),0))</f>
        <v>0.48730497239940024</v>
      </c>
      <c r="BK4">
        <f t="array" ref="BK4">INDEX(Transcriptome!AH$2:AH$28,MATCH(1,(Transcriptome!$A$2:$A$28=$B4)*(Transcriptome!$C$2:$C$28=$E4),0))</f>
        <v>1.8095179354972706</v>
      </c>
      <c r="BL4">
        <f t="array" ref="BL4">INDEX(Transcriptome!AI$2:AI$28,MATCH(1,(Transcriptome!$A$2:$A$28=$B4)*(Transcriptome!$C$2:$C$28=$E4),0))</f>
        <v>0.71240057843874782</v>
      </c>
      <c r="BM4">
        <f t="array" ref="BM4">INDEX(Transcriptome!AJ$2:AJ$28,MATCH(1,(Transcriptome!$A$2:$A$28=$B4)*(Transcriptome!$C$2:$C$28=$E4),0))</f>
        <v>0.87499852201140327</v>
      </c>
      <c r="BN4">
        <f t="array" ref="BN4">INDEX(Transcriptome!AK$2:AK$28,MATCH(1,(Transcriptome!$A$2:$A$28=$B4)*(Transcriptome!$C$2:$C$28=$E4),0))</f>
        <v>0.65277414413996737</v>
      </c>
      <c r="BO4">
        <f t="array" ref="BO4">INDEX(Transcriptome!AL$2:AL$28,MATCH(1,(Transcriptome!$A$2:$A$28=$B4)*(Transcriptome!$C$2:$C$28=$E4),0))</f>
        <v>1</v>
      </c>
      <c r="BP4">
        <f t="array" ref="BP4">INDEX(Transcriptome!AM$2:AM$28,MATCH(1,(Transcriptome!$A$2:$A$28=$B4)*(Transcriptome!$C$2:$C$28=$E4),0))</f>
        <v>0.71122483365382949</v>
      </c>
      <c r="BQ4">
        <f t="array" ref="BQ4">INDEX(Transcriptome!AN$2:AN$28,MATCH(1,(Transcriptome!$A$2:$A$28=$B4)*(Transcriptome!$C$2:$C$28=$E4),0))</f>
        <v>0.98918496260154987</v>
      </c>
      <c r="BR4">
        <f t="array" ref="BR4">INDEX(Transcriptome!AO$2:AO$28,MATCH(1,(Transcriptome!$A$2:$A$28=$B4)*(Transcriptome!$C$2:$C$28=$E4),0))</f>
        <v>1.0632881677534851</v>
      </c>
      <c r="BS4">
        <f t="array" ref="BS4">INDEX(Transcriptome!AP$2:AP$28,MATCH(1,(Transcriptome!$A$2:$A$28=$B4)*(Transcriptome!$C$2:$C$28=$E4),0))</f>
        <v>1.0207894409757674</v>
      </c>
      <c r="BT4">
        <f t="array" ref="BT4">INDEX(Transcriptome!AQ$2:AQ$28,MATCH(1,(Transcriptome!$A$2:$A$28=$B4)*(Transcriptome!$C$2:$C$28=$E4),0))</f>
        <v>1.3069351817787282</v>
      </c>
      <c r="BU4">
        <f t="array" ref="BU4">INDEX(Transcriptome!AR$2:AR$28,MATCH(1,(Transcriptome!$A$2:$A$28=$B4)*(Transcriptome!$C$2:$C$28=$E4),0))</f>
        <v>0.72172948001285797</v>
      </c>
      <c r="BV4">
        <f t="array" ref="BV4">INDEX(Transcriptome!AS$2:AS$28,MATCH(1,(Transcriptome!$A$2:$A$28=$B4)*(Transcriptome!$C$2:$C$28=$E4),0))</f>
        <v>0.88310890556595556</v>
      </c>
      <c r="BW4">
        <f t="array" ref="BW4">INDEX(Transcriptome!AT$2:AT$28,MATCH(1,(Transcriptome!$A$2:$A$28=$B4)*(Transcriptome!$C$2:$C$28=$E4),0))</f>
        <v>0.78068554124751866</v>
      </c>
      <c r="BX4">
        <f t="array" ref="BX4">INDEX(Transcriptome!AU$2:AU$28,MATCH(1,(Transcriptome!$A$2:$A$28=$B4)*(Transcriptome!$C$2:$C$28=$E4),0))</f>
        <v>1.6853604227569587</v>
      </c>
      <c r="BY4">
        <f t="array" ref="BY4">INDEX(Transcriptome!AV$2:AV$28,MATCH(1,(Transcriptome!$A$2:$A$28=$B4)*(Transcriptome!$C$2:$C$28=$E4),0))</f>
        <v>0.60019145421519393</v>
      </c>
      <c r="BZ4">
        <f t="array" ref="BZ4">INDEX(Transcriptome!AW$2:AW$28,MATCH(1,(Transcriptome!$A$2:$A$28=$B4)*(Transcriptome!$C$2:$C$28=$E4),0))</f>
        <v>0.81640008350667004</v>
      </c>
      <c r="CA4">
        <f t="array" ref="CA4">INDEX(Transcriptome!AX$2:AX$28,MATCH(1,(Transcriptome!$A$2:$A$28=$B4)*(Transcriptome!$C$2:$C$28=$E4),0))</f>
        <v>0.82787377286856667</v>
      </c>
      <c r="CB4">
        <f t="array" ref="CB4">INDEX(Transcriptome!AY$2:AY$28,MATCH(1,(Transcriptome!$A$2:$A$28=$B4)*(Transcriptome!$C$2:$C$28=$E4),0))</f>
        <v>0.89890108706972605</v>
      </c>
      <c r="CC4">
        <f t="array" ref="CC4">INDEX(Transcriptome!AZ$2:AZ$28,MATCH(1,(Transcriptome!$A$2:$A$28=$B4)*(Transcriptome!$C$2:$C$28=$E4),0))</f>
        <v>0.59861399415185224</v>
      </c>
      <c r="CD4">
        <f t="array" ref="CD4">INDEX(Transcriptome!BA$2:BA$28,MATCH(1,(Transcriptome!$A$2:$A$28=$B4)*(Transcriptome!$C$2:$C$28=$E4),0))</f>
        <v>1.8026104389010524</v>
      </c>
      <c r="CE4">
        <f t="array" ref="CE4">INDEX(Transcriptome!BB$2:BB$28,MATCH(1,(Transcriptome!$A$2:$A$28=$B4)*(Transcriptome!$C$2:$C$28=$E4),0))</f>
        <v>2.1137531601340016</v>
      </c>
      <c r="CF4">
        <f t="array" ref="CF4">INDEX(Transcriptome!BC$2:BC$28,MATCH(1,(Transcriptome!$A$2:$A$28=$B4)*(Transcriptome!$C$2:$C$28=$E4),0))</f>
        <v>0</v>
      </c>
      <c r="CG4">
        <f t="array" ref="CG4">INDEX(Transcriptome!BD$2:BD$28,MATCH(1,(Transcriptome!$A$2:$A$28=$B4)*(Transcriptome!$C$2:$C$28=$E4),0))</f>
        <v>1.4782234663879816</v>
      </c>
      <c r="CH4">
        <f t="array" ref="CH4">INDEX(Transcriptome!BE$2:BE$28,MATCH(1,(Transcriptome!$A$2:$A$28=$B4)*(Transcriptome!$C$2:$C$28=$E4),0))</f>
        <v>1.4666747772910123</v>
      </c>
      <c r="CI4">
        <f t="array" ref="CI4">INDEX(Transcriptome!BF$2:BF$28,MATCH(1,(Transcriptome!$A$2:$A$28=$B4)*(Transcriptome!$C$2:$C$28=$E4),0))</f>
        <v>1.507625498431161</v>
      </c>
      <c r="CJ4">
        <f t="array" ref="CJ4">INDEX(Transcriptome!BG$2:BG$28,MATCH(1,(Transcriptome!$A$2:$A$28=$B4)*(Transcriptome!$C$2:$C$28=$E4),0))</f>
        <v>2.5212399808112504</v>
      </c>
      <c r="CK4">
        <f t="array" ref="CK4">INDEX(Transcriptome!BH$2:BH$28,MATCH(1,(Transcriptome!$A$2:$A$28=$B4)*(Transcriptome!$C$2:$C$28=$E4),0))</f>
        <v>0.5793848749027265</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3.5568635172654277</v>
      </c>
      <c r="CO4">
        <f t="array" ref="CO4">INDEX(Transcriptome!BL$2:BL$28,MATCH(1,(Transcriptome!$A$2:$A$28=$B4)*(Transcriptome!$C$2:$C$28=$E4),0))</f>
        <v>2.3392666351837739</v>
      </c>
      <c r="CP4">
        <f t="array" ref="CP4">INDEX(Transcriptome!BM$2:BM$28,MATCH(1,(Transcriptome!$A$2:$A$28=$B4)*(Transcriptome!$C$2:$C$28=$E4),0))</f>
        <v>0.65806154225315017</v>
      </c>
      <c r="CQ4">
        <f t="array" ref="CQ4">INDEX(Transcriptome!BN$2:BN$28,MATCH(1,(Transcriptome!$A$2:$A$28=$B4)*(Transcriptome!$C$2:$C$28=$E4),0))</f>
        <v>36.47398676016153</v>
      </c>
      <c r="CR4">
        <f t="array" ref="CR4">INDEX(Transcriptome!BO$2:BO$28,MATCH(1,(Transcriptome!$A$2:$A$28=$B4)*(Transcriptome!$C$2:$C$28=$E4),0))</f>
        <v>1.4410124598864966</v>
      </c>
      <c r="CS4">
        <f t="array" ref="CS4">INDEX(Transcriptome!BP$2:BP$28,MATCH(1,(Transcriptome!$A$2:$A$28=$B4)*(Transcriptome!$C$2:$C$28=$E4),0))</f>
        <v>0.5793848749027265</v>
      </c>
      <c r="CT4">
        <f t="array" ref="CT4">INDEX(Transcriptome!BQ$2:BQ$28,MATCH(1,(Transcriptome!$A$2:$A$28=$B4)*(Transcriptome!$C$2:$C$28=$E4),0))</f>
        <v>1</v>
      </c>
      <c r="CU4">
        <f t="array" ref="CU4">INDEX(Transcriptome!BR$2:BR$28,MATCH(1,(Transcriptome!$A$2:$A$28=$B4)*(Transcriptome!$C$2:$C$28=$E4),0))</f>
        <v>1.3555456312582743</v>
      </c>
    </row>
    <row r="5" spans="1:99">
      <c r="A5">
        <f>'Measured Data'!A10</f>
        <v>3</v>
      </c>
      <c r="B5" t="s">
        <v>583</v>
      </c>
      <c r="C5" s="324" t="s">
        <v>586</v>
      </c>
      <c r="D5">
        <v>1</v>
      </c>
      <c r="E5" t="s">
        <v>513</v>
      </c>
      <c r="F5" s="477">
        <f>'Growth Regression'!R5</f>
        <v>3.4670138888868678</v>
      </c>
      <c r="G5" s="477">
        <f>'Growth Regression'!S5</f>
        <v>83.208333333284827</v>
      </c>
      <c r="H5">
        <f>AVERAGE('TL input - regression'!L5:L6)</f>
        <v>31.666999711361264</v>
      </c>
      <c r="I5">
        <f>AVERAGE('TL input - regression'!M5:M6)</f>
        <v>4.8290408525754884</v>
      </c>
      <c r="J5">
        <f>AVERAGE('TL input - regression'!N5:N6)</f>
        <v>0.503</v>
      </c>
      <c r="K5">
        <f>AVERAGE('TL input - regression'!O5:O6)</f>
        <v>5.0984999999999996</v>
      </c>
      <c r="L5">
        <f>AVERAGE('TL input - regression'!P5:P6)</f>
        <v>1.6545000000000001</v>
      </c>
      <c r="M5">
        <f>'Growth Regression'!P5</f>
        <v>2.4573937262705133E-2</v>
      </c>
      <c r="N5">
        <f>M5/'Growth Regression'!$O$24</f>
        <v>0.91688340450187766</v>
      </c>
      <c r="O5">
        <f>'Post Process Calc.'!C23</f>
        <v>8.6604471299917329E-2</v>
      </c>
      <c r="P5">
        <f>'Post Process Calc.'!D23</f>
        <v>5.2883106584454796E-2</v>
      </c>
      <c r="Q5">
        <f>'Post Process Calc.'!E23</f>
        <v>-7.1954531825508599E-3</v>
      </c>
      <c r="R5">
        <f>'Post Process Calc.'!F23</f>
        <v>9.3928315076893039E-4</v>
      </c>
      <c r="S5">
        <f>'Post Process Calc.'!G23</f>
        <v>-9.1239625228728399E-3</v>
      </c>
      <c r="T5">
        <f t="shared" si="2"/>
        <v>0.61062790166245462</v>
      </c>
      <c r="U5">
        <f t="shared" si="4"/>
        <v>54.127794562448329</v>
      </c>
      <c r="V5">
        <f t="shared" si="4"/>
        <v>33.05194161528425</v>
      </c>
      <c r="W5">
        <f t="shared" si="0"/>
        <v>-4.4971582390942872</v>
      </c>
      <c r="X5">
        <f t="shared" si="0"/>
        <v>0.58705196923058145</v>
      </c>
      <c r="Y5">
        <f t="shared" si="0"/>
        <v>-5.702476576795525</v>
      </c>
      <c r="Z5">
        <v>100</v>
      </c>
      <c r="AA5">
        <v>0.32</v>
      </c>
      <c r="AB5">
        <v>7</v>
      </c>
      <c r="AC5">
        <v>0.7</v>
      </c>
      <c r="AD5">
        <f t="shared" si="1"/>
        <v>5.0118723362727164E-8</v>
      </c>
      <c r="AE5">
        <v>1</v>
      </c>
      <c r="AF5">
        <v>0.311</v>
      </c>
      <c r="AG5">
        <f t="array" ref="AG5">INDEX(Transcriptome!D$2:D$28,MATCH(1,(Transcriptome!$A$2:$A$28=$B5)*(Transcriptome!$C$2:$C$28=$E5),0))</f>
        <v>0.80840159635551412</v>
      </c>
      <c r="AH5">
        <f t="array" ref="AH5">INDEX(Transcriptome!E$2:E$28,MATCH(1,(Transcriptome!$A$2:$A$28=$B5)*(Transcriptome!$C$2:$C$28=$E5),0))</f>
        <v>1.5163732496679212</v>
      </c>
      <c r="AI5">
        <f t="array" ref="AI5">INDEX(Transcriptome!F$2:F$28,MATCH(1,(Transcriptome!$A$2:$A$28=$B5)*(Transcriptome!$C$2:$C$28=$E5),0))</f>
        <v>1.1218283788538985</v>
      </c>
      <c r="AJ5">
        <f t="array" ref="AJ5">INDEX(Transcriptome!G$2:G$28,MATCH(1,(Transcriptome!$A$2:$A$28=$B5)*(Transcriptome!$C$2:$C$28=$E5),0))</f>
        <v>0.54718463568993359</v>
      </c>
      <c r="AK5">
        <f t="array" ref="AK5">INDEX(Transcriptome!H$2:H$28,MATCH(1,(Transcriptome!$A$2:$A$28=$B5)*(Transcriptome!$C$2:$C$28=$E5),0))</f>
        <v>0</v>
      </c>
      <c r="AL5">
        <f t="array" ref="AL5">INDEX(Transcriptome!I$2:I$28,MATCH(1,(Transcriptome!$A$2:$A$28=$B5)*(Transcriptome!$C$2:$C$28=$E5),0))</f>
        <v>1.21326487788329</v>
      </c>
      <c r="AM5">
        <f t="array" ref="AM5">INDEX(Transcriptome!J$2:J$28,MATCH(1,(Transcriptome!$A$2:$A$28=$B5)*(Transcriptome!$C$2:$C$28=$E5),0))</f>
        <v>1.0655409214479317</v>
      </c>
      <c r="AN5">
        <f t="array" ref="AN5">INDEX(Transcriptome!K$2:K$28,MATCH(1,(Transcriptome!$A$2:$A$28=$B5)*(Transcriptome!$C$2:$C$28=$E5),0))</f>
        <v>0.99473906672325785</v>
      </c>
      <c r="AO5">
        <f t="array" ref="AO5">INDEX(Transcriptome!L$2:L$28,MATCH(1,(Transcriptome!$A$2:$A$28=$B5)*(Transcriptome!$C$2:$C$28=$E5),0))</f>
        <v>1.0003087268363742</v>
      </c>
      <c r="AP5">
        <f t="array" ref="AP5">INDEX(Transcriptome!M$2:M$28,MATCH(1,(Transcriptome!$A$2:$A$28=$B5)*(Transcriptome!$C$2:$C$28=$E5),0))</f>
        <v>1.3775577585380128</v>
      </c>
      <c r="AQ5">
        <f t="array" ref="AQ5">INDEX(Transcriptome!N$2:N$28,MATCH(1,(Transcriptome!$A$2:$A$28=$B5)*(Transcriptome!$C$2:$C$28=$E5),0))</f>
        <v>0.81114178526603686</v>
      </c>
      <c r="AR5">
        <f t="array" ref="AR5">INDEX(Transcriptome!O$2:O$28,MATCH(1,(Transcriptome!$A$2:$A$28=$B5)*(Transcriptome!$C$2:$C$28=$E5),0))</f>
        <v>1.1696661685593308</v>
      </c>
      <c r="AS5">
        <f t="array" ref="AS5">INDEX(Transcriptome!P$2:P$28,MATCH(1,(Transcriptome!$A$2:$A$28=$B5)*(Transcriptome!$C$2:$C$28=$E5),0))</f>
        <v>1.2073370579107578</v>
      </c>
      <c r="AT5">
        <f t="array" ref="AT5">INDEX(Transcriptome!Q$2:Q$28,MATCH(1,(Transcriptome!$A$2:$A$28=$B5)*(Transcriptome!$C$2:$C$28=$E5),0))</f>
        <v>0.58362943726722871</v>
      </c>
      <c r="AU5">
        <f t="array" ref="AU5">INDEX(Transcriptome!R$2:R$28,MATCH(1,(Transcriptome!$A$2:$A$28=$B5)*(Transcriptome!$C$2:$C$28=$E5),0))</f>
        <v>0.50376877903698547</v>
      </c>
      <c r="AV5">
        <f t="array" ref="AV5">INDEX(Transcriptome!S$2:S$28,MATCH(1,(Transcriptome!$A$2:$A$28=$B5)*(Transcriptome!$C$2:$C$28=$E5),0))</f>
        <v>0.46985710445636059</v>
      </c>
      <c r="AW5">
        <f t="array" ref="AW5">INDEX(Transcriptome!T$2:T$28,MATCH(1,(Transcriptome!$A$2:$A$28=$B5)*(Transcriptome!$C$2:$C$28=$E5),0))</f>
        <v>1.1189256123640647</v>
      </c>
      <c r="AX5">
        <f t="array" ref="AX5">INDEX(Transcriptome!U$2:U$28,MATCH(1,(Transcriptome!$A$2:$A$28=$B5)*(Transcriptome!$C$2:$C$28=$E5),0))</f>
        <v>3.5410137925199292</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0.88665697502311858</v>
      </c>
      <c r="BB5">
        <f t="array" ref="BB5">INDEX(Transcriptome!Y$2:Y$28,MATCH(1,(Transcriptome!$A$2:$A$28=$B5)*(Transcriptome!$C$2:$C$28=$E5),0))</f>
        <v>0</v>
      </c>
      <c r="BC5">
        <f t="array" ref="BC5">INDEX(Transcriptome!Z$2:Z$28,MATCH(1,(Transcriptome!$A$2:$A$28=$B5)*(Transcriptome!$C$2:$C$28=$E5),0))</f>
        <v>1.1899558091643074</v>
      </c>
      <c r="BD5">
        <f t="array" ref="BD5">INDEX(Transcriptome!AA$2:AA$28,MATCH(1,(Transcriptome!$A$2:$A$28=$B5)*(Transcriptome!$C$2:$C$28=$E5),0))</f>
        <v>1.2011425699950584</v>
      </c>
      <c r="BE5">
        <f t="array" ref="BE5">INDEX(Transcriptome!AB$2:AB$28,MATCH(1,(Transcriptome!$A$2:$A$28=$B5)*(Transcriptome!$C$2:$C$28=$E5),0))</f>
        <v>0.42782681289615299</v>
      </c>
      <c r="BF5">
        <f t="array" ref="BF5">INDEX(Transcriptome!AC$2:AC$28,MATCH(1,(Transcriptome!$A$2:$A$28=$B5)*(Transcriptome!$C$2:$C$28=$E5),0))</f>
        <v>0.99882183295258842</v>
      </c>
      <c r="BG5">
        <f t="array" ref="BG5">INDEX(Transcriptome!AD$2:AD$28,MATCH(1,(Transcriptome!$A$2:$A$28=$B5)*(Transcriptome!$C$2:$C$28=$E5),0))</f>
        <v>0.85625549574435611</v>
      </c>
      <c r="BH5">
        <f t="array" ref="BH5">INDEX(Transcriptome!AE$2:AE$28,MATCH(1,(Transcriptome!$A$2:$A$28=$B5)*(Transcriptome!$C$2:$C$28=$E5),0))</f>
        <v>1.432947670810945</v>
      </c>
      <c r="BI5">
        <f t="array" ref="BI5">INDEX(Transcriptome!AF$2:AF$28,MATCH(1,(Transcriptome!$A$2:$A$28=$B5)*(Transcriptome!$C$2:$C$28=$E5),0))</f>
        <v>0.59392555830865223</v>
      </c>
      <c r="BJ5">
        <f t="array" ref="BJ5">INDEX(Transcriptome!AG$2:AG$28,MATCH(1,(Transcriptome!$A$2:$A$28=$B5)*(Transcriptome!$C$2:$C$28=$E5),0))</f>
        <v>0.48730497239940024</v>
      </c>
      <c r="BK5">
        <f t="array" ref="BK5">INDEX(Transcriptome!AH$2:AH$28,MATCH(1,(Transcriptome!$A$2:$A$28=$B5)*(Transcriptome!$C$2:$C$28=$E5),0))</f>
        <v>1.8095179354972706</v>
      </c>
      <c r="BL5">
        <f t="array" ref="BL5">INDEX(Transcriptome!AI$2:AI$28,MATCH(1,(Transcriptome!$A$2:$A$28=$B5)*(Transcriptome!$C$2:$C$28=$E5),0))</f>
        <v>0.71240057843874782</v>
      </c>
      <c r="BM5">
        <f t="array" ref="BM5">INDEX(Transcriptome!AJ$2:AJ$28,MATCH(1,(Transcriptome!$A$2:$A$28=$B5)*(Transcriptome!$C$2:$C$28=$E5),0))</f>
        <v>0.87499852201140327</v>
      </c>
      <c r="BN5">
        <f t="array" ref="BN5">INDEX(Transcriptome!AK$2:AK$28,MATCH(1,(Transcriptome!$A$2:$A$28=$B5)*(Transcriptome!$C$2:$C$28=$E5),0))</f>
        <v>0.65277414413996737</v>
      </c>
      <c r="BO5">
        <f t="array" ref="BO5">INDEX(Transcriptome!AL$2:AL$28,MATCH(1,(Transcriptome!$A$2:$A$28=$B5)*(Transcriptome!$C$2:$C$28=$E5),0))</f>
        <v>1</v>
      </c>
      <c r="BP5">
        <f t="array" ref="BP5">INDEX(Transcriptome!AM$2:AM$28,MATCH(1,(Transcriptome!$A$2:$A$28=$B5)*(Transcriptome!$C$2:$C$28=$E5),0))</f>
        <v>0.71122483365382949</v>
      </c>
      <c r="BQ5">
        <f t="array" ref="BQ5">INDEX(Transcriptome!AN$2:AN$28,MATCH(1,(Transcriptome!$A$2:$A$28=$B5)*(Transcriptome!$C$2:$C$28=$E5),0))</f>
        <v>0.98918496260154987</v>
      </c>
      <c r="BR5">
        <f t="array" ref="BR5">INDEX(Transcriptome!AO$2:AO$28,MATCH(1,(Transcriptome!$A$2:$A$28=$B5)*(Transcriptome!$C$2:$C$28=$E5),0))</f>
        <v>1.0632881677534851</v>
      </c>
      <c r="BS5">
        <f t="array" ref="BS5">INDEX(Transcriptome!AP$2:AP$28,MATCH(1,(Transcriptome!$A$2:$A$28=$B5)*(Transcriptome!$C$2:$C$28=$E5),0))</f>
        <v>1.0207894409757674</v>
      </c>
      <c r="BT5">
        <f t="array" ref="BT5">INDEX(Transcriptome!AQ$2:AQ$28,MATCH(1,(Transcriptome!$A$2:$A$28=$B5)*(Transcriptome!$C$2:$C$28=$E5),0))</f>
        <v>1.3069351817787282</v>
      </c>
      <c r="BU5">
        <f t="array" ref="BU5">INDEX(Transcriptome!AR$2:AR$28,MATCH(1,(Transcriptome!$A$2:$A$28=$B5)*(Transcriptome!$C$2:$C$28=$E5),0))</f>
        <v>0.72172948001285797</v>
      </c>
      <c r="BV5">
        <f t="array" ref="BV5">INDEX(Transcriptome!AS$2:AS$28,MATCH(1,(Transcriptome!$A$2:$A$28=$B5)*(Transcriptome!$C$2:$C$28=$E5),0))</f>
        <v>0.88310890556595556</v>
      </c>
      <c r="BW5">
        <f t="array" ref="BW5">INDEX(Transcriptome!AT$2:AT$28,MATCH(1,(Transcriptome!$A$2:$A$28=$B5)*(Transcriptome!$C$2:$C$28=$E5),0))</f>
        <v>0.78068554124751866</v>
      </c>
      <c r="BX5">
        <f t="array" ref="BX5">INDEX(Transcriptome!AU$2:AU$28,MATCH(1,(Transcriptome!$A$2:$A$28=$B5)*(Transcriptome!$C$2:$C$28=$E5),0))</f>
        <v>1.6853604227569587</v>
      </c>
      <c r="BY5">
        <f t="array" ref="BY5">INDEX(Transcriptome!AV$2:AV$28,MATCH(1,(Transcriptome!$A$2:$A$28=$B5)*(Transcriptome!$C$2:$C$28=$E5),0))</f>
        <v>0.60019145421519393</v>
      </c>
      <c r="BZ5">
        <f t="array" ref="BZ5">INDEX(Transcriptome!AW$2:AW$28,MATCH(1,(Transcriptome!$A$2:$A$28=$B5)*(Transcriptome!$C$2:$C$28=$E5),0))</f>
        <v>0.81640008350667004</v>
      </c>
      <c r="CA5">
        <f t="array" ref="CA5">INDEX(Transcriptome!AX$2:AX$28,MATCH(1,(Transcriptome!$A$2:$A$28=$B5)*(Transcriptome!$C$2:$C$28=$E5),0))</f>
        <v>0.82787377286856667</v>
      </c>
      <c r="CB5">
        <f t="array" ref="CB5">INDEX(Transcriptome!AY$2:AY$28,MATCH(1,(Transcriptome!$A$2:$A$28=$B5)*(Transcriptome!$C$2:$C$28=$E5),0))</f>
        <v>0.89890108706972605</v>
      </c>
      <c r="CC5">
        <f t="array" ref="CC5">INDEX(Transcriptome!AZ$2:AZ$28,MATCH(1,(Transcriptome!$A$2:$A$28=$B5)*(Transcriptome!$C$2:$C$28=$E5),0))</f>
        <v>0.59861399415185224</v>
      </c>
      <c r="CD5">
        <f t="array" ref="CD5">INDEX(Transcriptome!BA$2:BA$28,MATCH(1,(Transcriptome!$A$2:$A$28=$B5)*(Transcriptome!$C$2:$C$28=$E5),0))</f>
        <v>1.8026104389010524</v>
      </c>
      <c r="CE5">
        <f t="array" ref="CE5">INDEX(Transcriptome!BB$2:BB$28,MATCH(1,(Transcriptome!$A$2:$A$28=$B5)*(Transcriptome!$C$2:$C$28=$E5),0))</f>
        <v>2.1137531601340016</v>
      </c>
      <c r="CF5">
        <f t="array" ref="CF5">INDEX(Transcriptome!BC$2:BC$28,MATCH(1,(Transcriptome!$A$2:$A$28=$B5)*(Transcriptome!$C$2:$C$28=$E5),0))</f>
        <v>0</v>
      </c>
      <c r="CG5">
        <f t="array" ref="CG5">INDEX(Transcriptome!BD$2:BD$28,MATCH(1,(Transcriptome!$A$2:$A$28=$B5)*(Transcriptome!$C$2:$C$28=$E5),0))</f>
        <v>1.4782234663879816</v>
      </c>
      <c r="CH5">
        <f t="array" ref="CH5">INDEX(Transcriptome!BE$2:BE$28,MATCH(1,(Transcriptome!$A$2:$A$28=$B5)*(Transcriptome!$C$2:$C$28=$E5),0))</f>
        <v>1.4666747772910123</v>
      </c>
      <c r="CI5">
        <f t="array" ref="CI5">INDEX(Transcriptome!BF$2:BF$28,MATCH(1,(Transcriptome!$A$2:$A$28=$B5)*(Transcriptome!$C$2:$C$28=$E5),0))</f>
        <v>1.507625498431161</v>
      </c>
      <c r="CJ5">
        <f t="array" ref="CJ5">INDEX(Transcriptome!BG$2:BG$28,MATCH(1,(Transcriptome!$A$2:$A$28=$B5)*(Transcriptome!$C$2:$C$28=$E5),0))</f>
        <v>2.5212399808112504</v>
      </c>
      <c r="CK5">
        <f t="array" ref="CK5">INDEX(Transcriptome!BH$2:BH$28,MATCH(1,(Transcriptome!$A$2:$A$28=$B5)*(Transcriptome!$C$2:$C$28=$E5),0))</f>
        <v>0.5793848749027265</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3.5568635172654277</v>
      </c>
      <c r="CO5">
        <f t="array" ref="CO5">INDEX(Transcriptome!BL$2:BL$28,MATCH(1,(Transcriptome!$A$2:$A$28=$B5)*(Transcriptome!$C$2:$C$28=$E5),0))</f>
        <v>2.3392666351837739</v>
      </c>
      <c r="CP5">
        <f t="array" ref="CP5">INDEX(Transcriptome!BM$2:BM$28,MATCH(1,(Transcriptome!$A$2:$A$28=$B5)*(Transcriptome!$C$2:$C$28=$E5),0))</f>
        <v>0.65806154225315017</v>
      </c>
      <c r="CQ5">
        <f t="array" ref="CQ5">INDEX(Transcriptome!BN$2:BN$28,MATCH(1,(Transcriptome!$A$2:$A$28=$B5)*(Transcriptome!$C$2:$C$28=$E5),0))</f>
        <v>36.47398676016153</v>
      </c>
      <c r="CR5">
        <f t="array" ref="CR5">INDEX(Transcriptome!BO$2:BO$28,MATCH(1,(Transcriptome!$A$2:$A$28=$B5)*(Transcriptome!$C$2:$C$28=$E5),0))</f>
        <v>1.4410124598864966</v>
      </c>
      <c r="CS5">
        <f t="array" ref="CS5">INDEX(Transcriptome!BP$2:BP$28,MATCH(1,(Transcriptome!$A$2:$A$28=$B5)*(Transcriptome!$C$2:$C$28=$E5),0))</f>
        <v>0.5793848749027265</v>
      </c>
      <c r="CT5">
        <f t="array" ref="CT5">INDEX(Transcriptome!BQ$2:BQ$28,MATCH(1,(Transcriptome!$A$2:$A$28=$B5)*(Transcriptome!$C$2:$C$28=$E5),0))</f>
        <v>1</v>
      </c>
      <c r="CU5">
        <f t="array" ref="CU5">INDEX(Transcriptome!BR$2:BR$28,MATCH(1,(Transcriptome!$A$2:$A$28=$B5)*(Transcriptome!$C$2:$C$28=$E5),0))</f>
        <v>1.3555456312582743</v>
      </c>
    </row>
    <row r="6" spans="1:99">
      <c r="A6">
        <f>'Measured Data'!A11</f>
        <v>4</v>
      </c>
      <c r="B6" t="s">
        <v>583</v>
      </c>
      <c r="C6" s="324" t="s">
        <v>586</v>
      </c>
      <c r="D6">
        <v>1</v>
      </c>
      <c r="E6" t="s">
        <v>513</v>
      </c>
      <c r="F6" s="477">
        <f>'Growth Regression'!R6</f>
        <v>4.4027777777773736</v>
      </c>
      <c r="G6" s="477">
        <f>'Growth Regression'!S6</f>
        <v>105.66666666665697</v>
      </c>
      <c r="H6">
        <f>AVERAGE('TL input - regression'!L6:L7)</f>
        <v>33.665267878949351</v>
      </c>
      <c r="I6">
        <f>AVERAGE('TL input - regression'!M6:M7)</f>
        <v>6.7162522202486681</v>
      </c>
      <c r="J6">
        <f>AVERAGE('TL input - regression'!N6:N7)</f>
        <v>0.80400000000000005</v>
      </c>
      <c r="K6">
        <f>AVERAGE('TL input - regression'!O6:O7)</f>
        <v>6.0880000000000001</v>
      </c>
      <c r="L6">
        <f>AVERAGE('TL input - regression'!P6:P7)</f>
        <v>1.696</v>
      </c>
      <c r="M6">
        <f>'Growth Regression'!P6</f>
        <v>2.2815212816208186E-2</v>
      </c>
      <c r="N6">
        <f>M6/'Growth Regression'!$O$24</f>
        <v>0.85126326228184779</v>
      </c>
      <c r="O6">
        <f>'Post Process Calc.'!C24</f>
        <v>7.5325407257936558E-2</v>
      </c>
      <c r="P6">
        <f>'Post Process Calc.'!D24</f>
        <v>3.6162685614812624E-2</v>
      </c>
      <c r="Q6">
        <f>'Post Process Calc.'!E24</f>
        <v>-7.8010140067021495E-3</v>
      </c>
      <c r="R6">
        <f>'Post Process Calc.'!F24</f>
        <v>3.3083444115931532E-3</v>
      </c>
      <c r="S6">
        <f>'Post Process Calc.'!G24</f>
        <v>-6.0721165722529809E-3</v>
      </c>
      <c r="T6">
        <f t="shared" si="2"/>
        <v>0.48008616124677367</v>
      </c>
      <c r="U6">
        <f t="shared" si="4"/>
        <v>47.078379536210349</v>
      </c>
      <c r="V6">
        <f t="shared" si="4"/>
        <v>22.601678509257891</v>
      </c>
      <c r="W6">
        <f t="shared" si="0"/>
        <v>-4.8756337541888435</v>
      </c>
      <c r="X6">
        <f t="shared" si="0"/>
        <v>2.0677152572457205</v>
      </c>
      <c r="Y6">
        <f t="shared" si="0"/>
        <v>-3.7950728576581128</v>
      </c>
      <c r="Z6">
        <v>100</v>
      </c>
      <c r="AA6">
        <v>0.32</v>
      </c>
      <c r="AB6">
        <v>7</v>
      </c>
      <c r="AC6">
        <v>0.7</v>
      </c>
      <c r="AD6">
        <f t="shared" si="1"/>
        <v>5.0118723362727164E-8</v>
      </c>
      <c r="AE6">
        <v>1</v>
      </c>
      <c r="AF6">
        <v>0.311</v>
      </c>
      <c r="AG6">
        <f t="array" ref="AG6">INDEX(Transcriptome!D$2:D$28,MATCH(1,(Transcriptome!$A$2:$A$28=$B6)*(Transcriptome!$C$2:$C$28=$E6),0))</f>
        <v>0.80840159635551412</v>
      </c>
      <c r="AH6">
        <f t="array" ref="AH6">INDEX(Transcriptome!E$2:E$28,MATCH(1,(Transcriptome!$A$2:$A$28=$B6)*(Transcriptome!$C$2:$C$28=$E6),0))</f>
        <v>1.5163732496679212</v>
      </c>
      <c r="AI6">
        <f t="array" ref="AI6">INDEX(Transcriptome!F$2:F$28,MATCH(1,(Transcriptome!$A$2:$A$28=$B6)*(Transcriptome!$C$2:$C$28=$E6),0))</f>
        <v>1.1218283788538985</v>
      </c>
      <c r="AJ6">
        <f t="array" ref="AJ6">INDEX(Transcriptome!G$2:G$28,MATCH(1,(Transcriptome!$A$2:$A$28=$B6)*(Transcriptome!$C$2:$C$28=$E6),0))</f>
        <v>0.54718463568993359</v>
      </c>
      <c r="AK6">
        <f t="array" ref="AK6">INDEX(Transcriptome!H$2:H$28,MATCH(1,(Transcriptome!$A$2:$A$28=$B6)*(Transcriptome!$C$2:$C$28=$E6),0))</f>
        <v>0</v>
      </c>
      <c r="AL6">
        <f t="array" ref="AL6">INDEX(Transcriptome!I$2:I$28,MATCH(1,(Transcriptome!$A$2:$A$28=$B6)*(Transcriptome!$C$2:$C$28=$E6),0))</f>
        <v>1.21326487788329</v>
      </c>
      <c r="AM6">
        <f t="array" ref="AM6">INDEX(Transcriptome!J$2:J$28,MATCH(1,(Transcriptome!$A$2:$A$28=$B6)*(Transcriptome!$C$2:$C$28=$E6),0))</f>
        <v>1.0655409214479317</v>
      </c>
      <c r="AN6">
        <f t="array" ref="AN6">INDEX(Transcriptome!K$2:K$28,MATCH(1,(Transcriptome!$A$2:$A$28=$B6)*(Transcriptome!$C$2:$C$28=$E6),0))</f>
        <v>0.99473906672325785</v>
      </c>
      <c r="AO6">
        <f t="array" ref="AO6">INDEX(Transcriptome!L$2:L$28,MATCH(1,(Transcriptome!$A$2:$A$28=$B6)*(Transcriptome!$C$2:$C$28=$E6),0))</f>
        <v>1.0003087268363742</v>
      </c>
      <c r="AP6">
        <f t="array" ref="AP6">INDEX(Transcriptome!M$2:M$28,MATCH(1,(Transcriptome!$A$2:$A$28=$B6)*(Transcriptome!$C$2:$C$28=$E6),0))</f>
        <v>1.3775577585380128</v>
      </c>
      <c r="AQ6">
        <f t="array" ref="AQ6">INDEX(Transcriptome!N$2:N$28,MATCH(1,(Transcriptome!$A$2:$A$28=$B6)*(Transcriptome!$C$2:$C$28=$E6),0))</f>
        <v>0.81114178526603686</v>
      </c>
      <c r="AR6">
        <f t="array" ref="AR6">INDEX(Transcriptome!O$2:O$28,MATCH(1,(Transcriptome!$A$2:$A$28=$B6)*(Transcriptome!$C$2:$C$28=$E6),0))</f>
        <v>1.1696661685593308</v>
      </c>
      <c r="AS6">
        <f t="array" ref="AS6">INDEX(Transcriptome!P$2:P$28,MATCH(1,(Transcriptome!$A$2:$A$28=$B6)*(Transcriptome!$C$2:$C$28=$E6),0))</f>
        <v>1.2073370579107578</v>
      </c>
      <c r="AT6">
        <f t="array" ref="AT6">INDEX(Transcriptome!Q$2:Q$28,MATCH(1,(Transcriptome!$A$2:$A$28=$B6)*(Transcriptome!$C$2:$C$28=$E6),0))</f>
        <v>0.58362943726722871</v>
      </c>
      <c r="AU6">
        <f t="array" ref="AU6">INDEX(Transcriptome!R$2:R$28,MATCH(1,(Transcriptome!$A$2:$A$28=$B6)*(Transcriptome!$C$2:$C$28=$E6),0))</f>
        <v>0.50376877903698547</v>
      </c>
      <c r="AV6">
        <f t="array" ref="AV6">INDEX(Transcriptome!S$2:S$28,MATCH(1,(Transcriptome!$A$2:$A$28=$B6)*(Transcriptome!$C$2:$C$28=$E6),0))</f>
        <v>0.46985710445636059</v>
      </c>
      <c r="AW6">
        <f t="array" ref="AW6">INDEX(Transcriptome!T$2:T$28,MATCH(1,(Transcriptome!$A$2:$A$28=$B6)*(Transcriptome!$C$2:$C$28=$E6),0))</f>
        <v>1.1189256123640647</v>
      </c>
      <c r="AX6">
        <f t="array" ref="AX6">INDEX(Transcriptome!U$2:U$28,MATCH(1,(Transcriptome!$A$2:$A$28=$B6)*(Transcriptome!$C$2:$C$28=$E6),0))</f>
        <v>3.5410137925199292</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0.88665697502311858</v>
      </c>
      <c r="BB6">
        <f t="array" ref="BB6">INDEX(Transcriptome!Y$2:Y$28,MATCH(1,(Transcriptome!$A$2:$A$28=$B6)*(Transcriptome!$C$2:$C$28=$E6),0))</f>
        <v>0</v>
      </c>
      <c r="BC6">
        <f t="array" ref="BC6">INDEX(Transcriptome!Z$2:Z$28,MATCH(1,(Transcriptome!$A$2:$A$28=$B6)*(Transcriptome!$C$2:$C$28=$E6),0))</f>
        <v>1.1899558091643074</v>
      </c>
      <c r="BD6">
        <f t="array" ref="BD6">INDEX(Transcriptome!AA$2:AA$28,MATCH(1,(Transcriptome!$A$2:$A$28=$B6)*(Transcriptome!$C$2:$C$28=$E6),0))</f>
        <v>1.2011425699950584</v>
      </c>
      <c r="BE6">
        <f t="array" ref="BE6">INDEX(Transcriptome!AB$2:AB$28,MATCH(1,(Transcriptome!$A$2:$A$28=$B6)*(Transcriptome!$C$2:$C$28=$E6),0))</f>
        <v>0.42782681289615299</v>
      </c>
      <c r="BF6">
        <f t="array" ref="BF6">INDEX(Transcriptome!AC$2:AC$28,MATCH(1,(Transcriptome!$A$2:$A$28=$B6)*(Transcriptome!$C$2:$C$28=$E6),0))</f>
        <v>0.99882183295258842</v>
      </c>
      <c r="BG6">
        <f t="array" ref="BG6">INDEX(Transcriptome!AD$2:AD$28,MATCH(1,(Transcriptome!$A$2:$A$28=$B6)*(Transcriptome!$C$2:$C$28=$E6),0))</f>
        <v>0.85625549574435611</v>
      </c>
      <c r="BH6">
        <f t="array" ref="BH6">INDEX(Transcriptome!AE$2:AE$28,MATCH(1,(Transcriptome!$A$2:$A$28=$B6)*(Transcriptome!$C$2:$C$28=$E6),0))</f>
        <v>1.432947670810945</v>
      </c>
      <c r="BI6">
        <f t="array" ref="BI6">INDEX(Transcriptome!AF$2:AF$28,MATCH(1,(Transcriptome!$A$2:$A$28=$B6)*(Transcriptome!$C$2:$C$28=$E6),0))</f>
        <v>0.59392555830865223</v>
      </c>
      <c r="BJ6">
        <f t="array" ref="BJ6">INDEX(Transcriptome!AG$2:AG$28,MATCH(1,(Transcriptome!$A$2:$A$28=$B6)*(Transcriptome!$C$2:$C$28=$E6),0))</f>
        <v>0.48730497239940024</v>
      </c>
      <c r="BK6">
        <f t="array" ref="BK6">INDEX(Transcriptome!AH$2:AH$28,MATCH(1,(Transcriptome!$A$2:$A$28=$B6)*(Transcriptome!$C$2:$C$28=$E6),0))</f>
        <v>1.8095179354972706</v>
      </c>
      <c r="BL6">
        <f t="array" ref="BL6">INDEX(Transcriptome!AI$2:AI$28,MATCH(1,(Transcriptome!$A$2:$A$28=$B6)*(Transcriptome!$C$2:$C$28=$E6),0))</f>
        <v>0.71240057843874782</v>
      </c>
      <c r="BM6">
        <f t="array" ref="BM6">INDEX(Transcriptome!AJ$2:AJ$28,MATCH(1,(Transcriptome!$A$2:$A$28=$B6)*(Transcriptome!$C$2:$C$28=$E6),0))</f>
        <v>0.87499852201140327</v>
      </c>
      <c r="BN6">
        <f t="array" ref="BN6">INDEX(Transcriptome!AK$2:AK$28,MATCH(1,(Transcriptome!$A$2:$A$28=$B6)*(Transcriptome!$C$2:$C$28=$E6),0))</f>
        <v>0.65277414413996737</v>
      </c>
      <c r="BO6">
        <f t="array" ref="BO6">INDEX(Transcriptome!AL$2:AL$28,MATCH(1,(Transcriptome!$A$2:$A$28=$B6)*(Transcriptome!$C$2:$C$28=$E6),0))</f>
        <v>1</v>
      </c>
      <c r="BP6">
        <f t="array" ref="BP6">INDEX(Transcriptome!AM$2:AM$28,MATCH(1,(Transcriptome!$A$2:$A$28=$B6)*(Transcriptome!$C$2:$C$28=$E6),0))</f>
        <v>0.71122483365382949</v>
      </c>
      <c r="BQ6">
        <f t="array" ref="BQ6">INDEX(Transcriptome!AN$2:AN$28,MATCH(1,(Transcriptome!$A$2:$A$28=$B6)*(Transcriptome!$C$2:$C$28=$E6),0))</f>
        <v>0.98918496260154987</v>
      </c>
      <c r="BR6">
        <f t="array" ref="BR6">INDEX(Transcriptome!AO$2:AO$28,MATCH(1,(Transcriptome!$A$2:$A$28=$B6)*(Transcriptome!$C$2:$C$28=$E6),0))</f>
        <v>1.0632881677534851</v>
      </c>
      <c r="BS6">
        <f t="array" ref="BS6">INDEX(Transcriptome!AP$2:AP$28,MATCH(1,(Transcriptome!$A$2:$A$28=$B6)*(Transcriptome!$C$2:$C$28=$E6),0))</f>
        <v>1.0207894409757674</v>
      </c>
      <c r="BT6">
        <f t="array" ref="BT6">INDEX(Transcriptome!AQ$2:AQ$28,MATCH(1,(Transcriptome!$A$2:$A$28=$B6)*(Transcriptome!$C$2:$C$28=$E6),0))</f>
        <v>1.3069351817787282</v>
      </c>
      <c r="BU6">
        <f t="array" ref="BU6">INDEX(Transcriptome!AR$2:AR$28,MATCH(1,(Transcriptome!$A$2:$A$28=$B6)*(Transcriptome!$C$2:$C$28=$E6),0))</f>
        <v>0.72172948001285797</v>
      </c>
      <c r="BV6">
        <f t="array" ref="BV6">INDEX(Transcriptome!AS$2:AS$28,MATCH(1,(Transcriptome!$A$2:$A$28=$B6)*(Transcriptome!$C$2:$C$28=$E6),0))</f>
        <v>0.88310890556595556</v>
      </c>
      <c r="BW6">
        <f t="array" ref="BW6">INDEX(Transcriptome!AT$2:AT$28,MATCH(1,(Transcriptome!$A$2:$A$28=$B6)*(Transcriptome!$C$2:$C$28=$E6),0))</f>
        <v>0.78068554124751866</v>
      </c>
      <c r="BX6">
        <f t="array" ref="BX6">INDEX(Transcriptome!AU$2:AU$28,MATCH(1,(Transcriptome!$A$2:$A$28=$B6)*(Transcriptome!$C$2:$C$28=$E6),0))</f>
        <v>1.6853604227569587</v>
      </c>
      <c r="BY6">
        <f t="array" ref="BY6">INDEX(Transcriptome!AV$2:AV$28,MATCH(1,(Transcriptome!$A$2:$A$28=$B6)*(Transcriptome!$C$2:$C$28=$E6),0))</f>
        <v>0.60019145421519393</v>
      </c>
      <c r="BZ6">
        <f t="array" ref="BZ6">INDEX(Transcriptome!AW$2:AW$28,MATCH(1,(Transcriptome!$A$2:$A$28=$B6)*(Transcriptome!$C$2:$C$28=$E6),0))</f>
        <v>0.81640008350667004</v>
      </c>
      <c r="CA6">
        <f t="array" ref="CA6">INDEX(Transcriptome!AX$2:AX$28,MATCH(1,(Transcriptome!$A$2:$A$28=$B6)*(Transcriptome!$C$2:$C$28=$E6),0))</f>
        <v>0.82787377286856667</v>
      </c>
      <c r="CB6">
        <f t="array" ref="CB6">INDEX(Transcriptome!AY$2:AY$28,MATCH(1,(Transcriptome!$A$2:$A$28=$B6)*(Transcriptome!$C$2:$C$28=$E6),0))</f>
        <v>0.89890108706972605</v>
      </c>
      <c r="CC6">
        <f t="array" ref="CC6">INDEX(Transcriptome!AZ$2:AZ$28,MATCH(1,(Transcriptome!$A$2:$A$28=$B6)*(Transcriptome!$C$2:$C$28=$E6),0))</f>
        <v>0.59861399415185224</v>
      </c>
      <c r="CD6">
        <f t="array" ref="CD6">INDEX(Transcriptome!BA$2:BA$28,MATCH(1,(Transcriptome!$A$2:$A$28=$B6)*(Transcriptome!$C$2:$C$28=$E6),0))</f>
        <v>1.8026104389010524</v>
      </c>
      <c r="CE6">
        <f t="array" ref="CE6">INDEX(Transcriptome!BB$2:BB$28,MATCH(1,(Transcriptome!$A$2:$A$28=$B6)*(Transcriptome!$C$2:$C$28=$E6),0))</f>
        <v>2.1137531601340016</v>
      </c>
      <c r="CF6">
        <f t="array" ref="CF6">INDEX(Transcriptome!BC$2:BC$28,MATCH(1,(Transcriptome!$A$2:$A$28=$B6)*(Transcriptome!$C$2:$C$28=$E6),0))</f>
        <v>0</v>
      </c>
      <c r="CG6">
        <f t="array" ref="CG6">INDEX(Transcriptome!BD$2:BD$28,MATCH(1,(Transcriptome!$A$2:$A$28=$B6)*(Transcriptome!$C$2:$C$28=$E6),0))</f>
        <v>1.4782234663879816</v>
      </c>
      <c r="CH6">
        <f t="array" ref="CH6">INDEX(Transcriptome!BE$2:BE$28,MATCH(1,(Transcriptome!$A$2:$A$28=$B6)*(Transcriptome!$C$2:$C$28=$E6),0))</f>
        <v>1.4666747772910123</v>
      </c>
      <c r="CI6">
        <f t="array" ref="CI6">INDEX(Transcriptome!BF$2:BF$28,MATCH(1,(Transcriptome!$A$2:$A$28=$B6)*(Transcriptome!$C$2:$C$28=$E6),0))</f>
        <v>1.507625498431161</v>
      </c>
      <c r="CJ6">
        <f t="array" ref="CJ6">INDEX(Transcriptome!BG$2:BG$28,MATCH(1,(Transcriptome!$A$2:$A$28=$B6)*(Transcriptome!$C$2:$C$28=$E6),0))</f>
        <v>2.5212399808112504</v>
      </c>
      <c r="CK6">
        <f t="array" ref="CK6">INDEX(Transcriptome!BH$2:BH$28,MATCH(1,(Transcriptome!$A$2:$A$28=$B6)*(Transcriptome!$C$2:$C$28=$E6),0))</f>
        <v>0.5793848749027265</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3.5568635172654277</v>
      </c>
      <c r="CO6">
        <f t="array" ref="CO6">INDEX(Transcriptome!BL$2:BL$28,MATCH(1,(Transcriptome!$A$2:$A$28=$B6)*(Transcriptome!$C$2:$C$28=$E6),0))</f>
        <v>2.3392666351837739</v>
      </c>
      <c r="CP6">
        <f t="array" ref="CP6">INDEX(Transcriptome!BM$2:BM$28,MATCH(1,(Transcriptome!$A$2:$A$28=$B6)*(Transcriptome!$C$2:$C$28=$E6),0))</f>
        <v>0.65806154225315017</v>
      </c>
      <c r="CQ6">
        <f t="array" ref="CQ6">INDEX(Transcriptome!BN$2:BN$28,MATCH(1,(Transcriptome!$A$2:$A$28=$B6)*(Transcriptome!$C$2:$C$28=$E6),0))</f>
        <v>36.47398676016153</v>
      </c>
      <c r="CR6">
        <f t="array" ref="CR6">INDEX(Transcriptome!BO$2:BO$28,MATCH(1,(Transcriptome!$A$2:$A$28=$B6)*(Transcriptome!$C$2:$C$28=$E6),0))</f>
        <v>1.4410124598864966</v>
      </c>
      <c r="CS6">
        <f t="array" ref="CS6">INDEX(Transcriptome!BP$2:BP$28,MATCH(1,(Transcriptome!$A$2:$A$28=$B6)*(Transcriptome!$C$2:$C$28=$E6),0))</f>
        <v>0.5793848749027265</v>
      </c>
      <c r="CT6">
        <f t="array" ref="CT6">INDEX(Transcriptome!BQ$2:BQ$28,MATCH(1,(Transcriptome!$A$2:$A$28=$B6)*(Transcriptome!$C$2:$C$28=$E6),0))</f>
        <v>1</v>
      </c>
      <c r="CU6">
        <f t="array" ref="CU6">INDEX(Transcriptome!BR$2:BR$28,MATCH(1,(Transcriptome!$A$2:$A$28=$B6)*(Transcriptome!$C$2:$C$28=$E6),0))</f>
        <v>1.3555456312582743</v>
      </c>
    </row>
    <row r="7" spans="1:99">
      <c r="A7">
        <f>'Measured Data'!A12</f>
        <v>5</v>
      </c>
      <c r="B7" t="s">
        <v>583</v>
      </c>
      <c r="C7" s="324" t="s">
        <v>586</v>
      </c>
      <c r="D7">
        <v>1</v>
      </c>
      <c r="E7" t="s">
        <v>513</v>
      </c>
      <c r="F7" s="477">
        <f>'Growth Regression'!R7</f>
        <v>5.3534722222211713</v>
      </c>
      <c r="G7" s="477">
        <f>'Growth Regression'!S7</f>
        <v>128.48333333330811</v>
      </c>
      <c r="H7">
        <f>AVERAGE('TL input - regression'!L7:L8)</f>
        <v>33.887297675348037</v>
      </c>
      <c r="I7">
        <f>AVERAGE('TL input - regression'!M7:M8)</f>
        <v>9.2140319715808161</v>
      </c>
      <c r="J7">
        <f>AVERAGE('TL input - regression'!N7:N8)</f>
        <v>1.2690000000000001</v>
      </c>
      <c r="K7">
        <f>AVERAGE('TL input - regression'!O7:O8)</f>
        <v>6.6055000000000001</v>
      </c>
      <c r="L7">
        <f>AVERAGE('TL input - regression'!P7:P8)</f>
        <v>1.994</v>
      </c>
      <c r="M7">
        <f>'Growth Regression'!P7</f>
        <v>2.058288572864507E-2</v>
      </c>
      <c r="N7">
        <f>M7/'Growth Regression'!$O$24</f>
        <v>0.76797243110059665</v>
      </c>
      <c r="O7">
        <f>'Post Process Calc.'!C25</f>
        <v>6.289051606076719E-2</v>
      </c>
      <c r="P7">
        <f>'Post Process Calc.'!D25</f>
        <v>2.1087590806991536E-2</v>
      </c>
      <c r="Q7">
        <f>'Post Process Calc.'!E25</f>
        <v>-6.0312422651329521E-3</v>
      </c>
      <c r="R7">
        <f>'Post Process Calc.'!F25</f>
        <v>4.2779885486106369E-3</v>
      </c>
      <c r="S7">
        <f>'Post Process Calc.'!G25</f>
        <v>-3.2999731679041956E-3</v>
      </c>
      <c r="T7">
        <f t="shared" si="2"/>
        <v>0.3353063725318442</v>
      </c>
      <c r="U7">
        <f t="shared" si="4"/>
        <v>39.306572537979491</v>
      </c>
      <c r="V7">
        <f t="shared" si="4"/>
        <v>13.179744254369709</v>
      </c>
      <c r="W7">
        <f t="shared" si="0"/>
        <v>-3.769526415708095</v>
      </c>
      <c r="X7">
        <f t="shared" si="0"/>
        <v>2.6737428428816479</v>
      </c>
      <c r="Y7">
        <f t="shared" si="0"/>
        <v>-2.0624832299401223</v>
      </c>
      <c r="Z7">
        <v>100</v>
      </c>
      <c r="AA7">
        <v>0.32</v>
      </c>
      <c r="AB7">
        <v>7</v>
      </c>
      <c r="AC7">
        <v>0.7</v>
      </c>
      <c r="AD7">
        <f t="shared" si="1"/>
        <v>5.0118723362727164E-8</v>
      </c>
      <c r="AE7">
        <v>1</v>
      </c>
      <c r="AF7">
        <v>0.311</v>
      </c>
      <c r="AG7">
        <f t="array" ref="AG7">INDEX(Transcriptome!D$2:D$28,MATCH(1,(Transcriptome!$A$2:$A$28=$B7)*(Transcriptome!$C$2:$C$28=$E7),0))</f>
        <v>0.80840159635551412</v>
      </c>
      <c r="AH7">
        <f t="array" ref="AH7">INDEX(Transcriptome!E$2:E$28,MATCH(1,(Transcriptome!$A$2:$A$28=$B7)*(Transcriptome!$C$2:$C$28=$E7),0))</f>
        <v>1.5163732496679212</v>
      </c>
      <c r="AI7">
        <f t="array" ref="AI7">INDEX(Transcriptome!F$2:F$28,MATCH(1,(Transcriptome!$A$2:$A$28=$B7)*(Transcriptome!$C$2:$C$28=$E7),0))</f>
        <v>1.1218283788538985</v>
      </c>
      <c r="AJ7">
        <f t="array" ref="AJ7">INDEX(Transcriptome!G$2:G$28,MATCH(1,(Transcriptome!$A$2:$A$28=$B7)*(Transcriptome!$C$2:$C$28=$E7),0))</f>
        <v>0.54718463568993359</v>
      </c>
      <c r="AK7">
        <f t="array" ref="AK7">INDEX(Transcriptome!H$2:H$28,MATCH(1,(Transcriptome!$A$2:$A$28=$B7)*(Transcriptome!$C$2:$C$28=$E7),0))</f>
        <v>0</v>
      </c>
      <c r="AL7">
        <f t="array" ref="AL7">INDEX(Transcriptome!I$2:I$28,MATCH(1,(Transcriptome!$A$2:$A$28=$B7)*(Transcriptome!$C$2:$C$28=$E7),0))</f>
        <v>1.21326487788329</v>
      </c>
      <c r="AM7">
        <f t="array" ref="AM7">INDEX(Transcriptome!J$2:J$28,MATCH(1,(Transcriptome!$A$2:$A$28=$B7)*(Transcriptome!$C$2:$C$28=$E7),0))</f>
        <v>1.0655409214479317</v>
      </c>
      <c r="AN7">
        <f t="array" ref="AN7">INDEX(Transcriptome!K$2:K$28,MATCH(1,(Transcriptome!$A$2:$A$28=$B7)*(Transcriptome!$C$2:$C$28=$E7),0))</f>
        <v>0.99473906672325785</v>
      </c>
      <c r="AO7">
        <f t="array" ref="AO7">INDEX(Transcriptome!L$2:L$28,MATCH(1,(Transcriptome!$A$2:$A$28=$B7)*(Transcriptome!$C$2:$C$28=$E7),0))</f>
        <v>1.0003087268363742</v>
      </c>
      <c r="AP7">
        <f t="array" ref="AP7">INDEX(Transcriptome!M$2:M$28,MATCH(1,(Transcriptome!$A$2:$A$28=$B7)*(Transcriptome!$C$2:$C$28=$E7),0))</f>
        <v>1.3775577585380128</v>
      </c>
      <c r="AQ7">
        <f t="array" ref="AQ7">INDEX(Transcriptome!N$2:N$28,MATCH(1,(Transcriptome!$A$2:$A$28=$B7)*(Transcriptome!$C$2:$C$28=$E7),0))</f>
        <v>0.81114178526603686</v>
      </c>
      <c r="AR7">
        <f t="array" ref="AR7">INDEX(Transcriptome!O$2:O$28,MATCH(1,(Transcriptome!$A$2:$A$28=$B7)*(Transcriptome!$C$2:$C$28=$E7),0))</f>
        <v>1.1696661685593308</v>
      </c>
      <c r="AS7">
        <f t="array" ref="AS7">INDEX(Transcriptome!P$2:P$28,MATCH(1,(Transcriptome!$A$2:$A$28=$B7)*(Transcriptome!$C$2:$C$28=$E7),0))</f>
        <v>1.2073370579107578</v>
      </c>
      <c r="AT7">
        <f t="array" ref="AT7">INDEX(Transcriptome!Q$2:Q$28,MATCH(1,(Transcriptome!$A$2:$A$28=$B7)*(Transcriptome!$C$2:$C$28=$E7),0))</f>
        <v>0.58362943726722871</v>
      </c>
      <c r="AU7">
        <f t="array" ref="AU7">INDEX(Transcriptome!R$2:R$28,MATCH(1,(Transcriptome!$A$2:$A$28=$B7)*(Transcriptome!$C$2:$C$28=$E7),0))</f>
        <v>0.50376877903698547</v>
      </c>
      <c r="AV7">
        <f t="array" ref="AV7">INDEX(Transcriptome!S$2:S$28,MATCH(1,(Transcriptome!$A$2:$A$28=$B7)*(Transcriptome!$C$2:$C$28=$E7),0))</f>
        <v>0.46985710445636059</v>
      </c>
      <c r="AW7">
        <f t="array" ref="AW7">INDEX(Transcriptome!T$2:T$28,MATCH(1,(Transcriptome!$A$2:$A$28=$B7)*(Transcriptome!$C$2:$C$28=$E7),0))</f>
        <v>1.1189256123640647</v>
      </c>
      <c r="AX7">
        <f t="array" ref="AX7">INDEX(Transcriptome!U$2:U$28,MATCH(1,(Transcriptome!$A$2:$A$28=$B7)*(Transcriptome!$C$2:$C$28=$E7),0))</f>
        <v>3.5410137925199292</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0.88665697502311858</v>
      </c>
      <c r="BB7">
        <f t="array" ref="BB7">INDEX(Transcriptome!Y$2:Y$28,MATCH(1,(Transcriptome!$A$2:$A$28=$B7)*(Transcriptome!$C$2:$C$28=$E7),0))</f>
        <v>0</v>
      </c>
      <c r="BC7">
        <f t="array" ref="BC7">INDEX(Transcriptome!Z$2:Z$28,MATCH(1,(Transcriptome!$A$2:$A$28=$B7)*(Transcriptome!$C$2:$C$28=$E7),0))</f>
        <v>1.1899558091643074</v>
      </c>
      <c r="BD7">
        <f t="array" ref="BD7">INDEX(Transcriptome!AA$2:AA$28,MATCH(1,(Transcriptome!$A$2:$A$28=$B7)*(Transcriptome!$C$2:$C$28=$E7),0))</f>
        <v>1.2011425699950584</v>
      </c>
      <c r="BE7">
        <f t="array" ref="BE7">INDEX(Transcriptome!AB$2:AB$28,MATCH(1,(Transcriptome!$A$2:$A$28=$B7)*(Transcriptome!$C$2:$C$28=$E7),0))</f>
        <v>0.42782681289615299</v>
      </c>
      <c r="BF7">
        <f t="array" ref="BF7">INDEX(Transcriptome!AC$2:AC$28,MATCH(1,(Transcriptome!$A$2:$A$28=$B7)*(Transcriptome!$C$2:$C$28=$E7),0))</f>
        <v>0.99882183295258842</v>
      </c>
      <c r="BG7">
        <f t="array" ref="BG7">INDEX(Transcriptome!AD$2:AD$28,MATCH(1,(Transcriptome!$A$2:$A$28=$B7)*(Transcriptome!$C$2:$C$28=$E7),0))</f>
        <v>0.85625549574435611</v>
      </c>
      <c r="BH7">
        <f t="array" ref="BH7">INDEX(Transcriptome!AE$2:AE$28,MATCH(1,(Transcriptome!$A$2:$A$28=$B7)*(Transcriptome!$C$2:$C$28=$E7),0))</f>
        <v>1.432947670810945</v>
      </c>
      <c r="BI7">
        <f t="array" ref="BI7">INDEX(Transcriptome!AF$2:AF$28,MATCH(1,(Transcriptome!$A$2:$A$28=$B7)*(Transcriptome!$C$2:$C$28=$E7),0))</f>
        <v>0.59392555830865223</v>
      </c>
      <c r="BJ7">
        <f t="array" ref="BJ7">INDEX(Transcriptome!AG$2:AG$28,MATCH(1,(Transcriptome!$A$2:$A$28=$B7)*(Transcriptome!$C$2:$C$28=$E7),0))</f>
        <v>0.48730497239940024</v>
      </c>
      <c r="BK7">
        <f t="array" ref="BK7">INDEX(Transcriptome!AH$2:AH$28,MATCH(1,(Transcriptome!$A$2:$A$28=$B7)*(Transcriptome!$C$2:$C$28=$E7),0))</f>
        <v>1.8095179354972706</v>
      </c>
      <c r="BL7">
        <f t="array" ref="BL7">INDEX(Transcriptome!AI$2:AI$28,MATCH(1,(Transcriptome!$A$2:$A$28=$B7)*(Transcriptome!$C$2:$C$28=$E7),0))</f>
        <v>0.71240057843874782</v>
      </c>
      <c r="BM7">
        <f t="array" ref="BM7">INDEX(Transcriptome!AJ$2:AJ$28,MATCH(1,(Transcriptome!$A$2:$A$28=$B7)*(Transcriptome!$C$2:$C$28=$E7),0))</f>
        <v>0.87499852201140327</v>
      </c>
      <c r="BN7">
        <f t="array" ref="BN7">INDEX(Transcriptome!AK$2:AK$28,MATCH(1,(Transcriptome!$A$2:$A$28=$B7)*(Transcriptome!$C$2:$C$28=$E7),0))</f>
        <v>0.65277414413996737</v>
      </c>
      <c r="BO7">
        <f t="array" ref="BO7">INDEX(Transcriptome!AL$2:AL$28,MATCH(1,(Transcriptome!$A$2:$A$28=$B7)*(Transcriptome!$C$2:$C$28=$E7),0))</f>
        <v>1</v>
      </c>
      <c r="BP7">
        <f t="array" ref="BP7">INDEX(Transcriptome!AM$2:AM$28,MATCH(1,(Transcriptome!$A$2:$A$28=$B7)*(Transcriptome!$C$2:$C$28=$E7),0))</f>
        <v>0.71122483365382949</v>
      </c>
      <c r="BQ7">
        <f t="array" ref="BQ7">INDEX(Transcriptome!AN$2:AN$28,MATCH(1,(Transcriptome!$A$2:$A$28=$B7)*(Transcriptome!$C$2:$C$28=$E7),0))</f>
        <v>0.98918496260154987</v>
      </c>
      <c r="BR7">
        <f t="array" ref="BR7">INDEX(Transcriptome!AO$2:AO$28,MATCH(1,(Transcriptome!$A$2:$A$28=$B7)*(Transcriptome!$C$2:$C$28=$E7),0))</f>
        <v>1.0632881677534851</v>
      </c>
      <c r="BS7">
        <f t="array" ref="BS7">INDEX(Transcriptome!AP$2:AP$28,MATCH(1,(Transcriptome!$A$2:$A$28=$B7)*(Transcriptome!$C$2:$C$28=$E7),0))</f>
        <v>1.0207894409757674</v>
      </c>
      <c r="BT7">
        <f t="array" ref="BT7">INDEX(Transcriptome!AQ$2:AQ$28,MATCH(1,(Transcriptome!$A$2:$A$28=$B7)*(Transcriptome!$C$2:$C$28=$E7),0))</f>
        <v>1.3069351817787282</v>
      </c>
      <c r="BU7">
        <f t="array" ref="BU7">INDEX(Transcriptome!AR$2:AR$28,MATCH(1,(Transcriptome!$A$2:$A$28=$B7)*(Transcriptome!$C$2:$C$28=$E7),0))</f>
        <v>0.72172948001285797</v>
      </c>
      <c r="BV7">
        <f t="array" ref="BV7">INDEX(Transcriptome!AS$2:AS$28,MATCH(1,(Transcriptome!$A$2:$A$28=$B7)*(Transcriptome!$C$2:$C$28=$E7),0))</f>
        <v>0.88310890556595556</v>
      </c>
      <c r="BW7">
        <f t="array" ref="BW7">INDEX(Transcriptome!AT$2:AT$28,MATCH(1,(Transcriptome!$A$2:$A$28=$B7)*(Transcriptome!$C$2:$C$28=$E7),0))</f>
        <v>0.78068554124751866</v>
      </c>
      <c r="BX7">
        <f t="array" ref="BX7">INDEX(Transcriptome!AU$2:AU$28,MATCH(1,(Transcriptome!$A$2:$A$28=$B7)*(Transcriptome!$C$2:$C$28=$E7),0))</f>
        <v>1.6853604227569587</v>
      </c>
      <c r="BY7">
        <f t="array" ref="BY7">INDEX(Transcriptome!AV$2:AV$28,MATCH(1,(Transcriptome!$A$2:$A$28=$B7)*(Transcriptome!$C$2:$C$28=$E7),0))</f>
        <v>0.60019145421519393</v>
      </c>
      <c r="BZ7">
        <f t="array" ref="BZ7">INDEX(Transcriptome!AW$2:AW$28,MATCH(1,(Transcriptome!$A$2:$A$28=$B7)*(Transcriptome!$C$2:$C$28=$E7),0))</f>
        <v>0.81640008350667004</v>
      </c>
      <c r="CA7">
        <f t="array" ref="CA7">INDEX(Transcriptome!AX$2:AX$28,MATCH(1,(Transcriptome!$A$2:$A$28=$B7)*(Transcriptome!$C$2:$C$28=$E7),0))</f>
        <v>0.82787377286856667</v>
      </c>
      <c r="CB7">
        <f t="array" ref="CB7">INDEX(Transcriptome!AY$2:AY$28,MATCH(1,(Transcriptome!$A$2:$A$28=$B7)*(Transcriptome!$C$2:$C$28=$E7),0))</f>
        <v>0.89890108706972605</v>
      </c>
      <c r="CC7">
        <f t="array" ref="CC7">INDEX(Transcriptome!AZ$2:AZ$28,MATCH(1,(Transcriptome!$A$2:$A$28=$B7)*(Transcriptome!$C$2:$C$28=$E7),0))</f>
        <v>0.59861399415185224</v>
      </c>
      <c r="CD7">
        <f t="array" ref="CD7">INDEX(Transcriptome!BA$2:BA$28,MATCH(1,(Transcriptome!$A$2:$A$28=$B7)*(Transcriptome!$C$2:$C$28=$E7),0))</f>
        <v>1.8026104389010524</v>
      </c>
      <c r="CE7">
        <f t="array" ref="CE7">INDEX(Transcriptome!BB$2:BB$28,MATCH(1,(Transcriptome!$A$2:$A$28=$B7)*(Transcriptome!$C$2:$C$28=$E7),0))</f>
        <v>2.1137531601340016</v>
      </c>
      <c r="CF7">
        <f t="array" ref="CF7">INDEX(Transcriptome!BC$2:BC$28,MATCH(1,(Transcriptome!$A$2:$A$28=$B7)*(Transcriptome!$C$2:$C$28=$E7),0))</f>
        <v>0</v>
      </c>
      <c r="CG7">
        <f t="array" ref="CG7">INDEX(Transcriptome!BD$2:BD$28,MATCH(1,(Transcriptome!$A$2:$A$28=$B7)*(Transcriptome!$C$2:$C$28=$E7),0))</f>
        <v>1.4782234663879816</v>
      </c>
      <c r="CH7">
        <f t="array" ref="CH7">INDEX(Transcriptome!BE$2:BE$28,MATCH(1,(Transcriptome!$A$2:$A$28=$B7)*(Transcriptome!$C$2:$C$28=$E7),0))</f>
        <v>1.4666747772910123</v>
      </c>
      <c r="CI7">
        <f t="array" ref="CI7">INDEX(Transcriptome!BF$2:BF$28,MATCH(1,(Transcriptome!$A$2:$A$28=$B7)*(Transcriptome!$C$2:$C$28=$E7),0))</f>
        <v>1.507625498431161</v>
      </c>
      <c r="CJ7">
        <f t="array" ref="CJ7">INDEX(Transcriptome!BG$2:BG$28,MATCH(1,(Transcriptome!$A$2:$A$28=$B7)*(Transcriptome!$C$2:$C$28=$E7),0))</f>
        <v>2.5212399808112504</v>
      </c>
      <c r="CK7">
        <f t="array" ref="CK7">INDEX(Transcriptome!BH$2:BH$28,MATCH(1,(Transcriptome!$A$2:$A$28=$B7)*(Transcriptome!$C$2:$C$28=$E7),0))</f>
        <v>0.5793848749027265</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3.5568635172654277</v>
      </c>
      <c r="CO7">
        <f t="array" ref="CO7">INDEX(Transcriptome!BL$2:BL$28,MATCH(1,(Transcriptome!$A$2:$A$28=$B7)*(Transcriptome!$C$2:$C$28=$E7),0))</f>
        <v>2.3392666351837739</v>
      </c>
      <c r="CP7">
        <f t="array" ref="CP7">INDEX(Transcriptome!BM$2:BM$28,MATCH(1,(Transcriptome!$A$2:$A$28=$B7)*(Transcriptome!$C$2:$C$28=$E7),0))</f>
        <v>0.65806154225315017</v>
      </c>
      <c r="CQ7">
        <f t="array" ref="CQ7">INDEX(Transcriptome!BN$2:BN$28,MATCH(1,(Transcriptome!$A$2:$A$28=$B7)*(Transcriptome!$C$2:$C$28=$E7),0))</f>
        <v>36.47398676016153</v>
      </c>
      <c r="CR7">
        <f t="array" ref="CR7">INDEX(Transcriptome!BO$2:BO$28,MATCH(1,(Transcriptome!$A$2:$A$28=$B7)*(Transcriptome!$C$2:$C$28=$E7),0))</f>
        <v>1.4410124598864966</v>
      </c>
      <c r="CS7">
        <f t="array" ref="CS7">INDEX(Transcriptome!BP$2:BP$28,MATCH(1,(Transcriptome!$A$2:$A$28=$B7)*(Transcriptome!$C$2:$C$28=$E7),0))</f>
        <v>0.5793848749027265</v>
      </c>
      <c r="CT7">
        <f t="array" ref="CT7">INDEX(Transcriptome!BQ$2:BQ$28,MATCH(1,(Transcriptome!$A$2:$A$28=$B7)*(Transcriptome!$C$2:$C$28=$E7),0))</f>
        <v>1</v>
      </c>
      <c r="CU7">
        <f t="array" ref="CU7">INDEX(Transcriptome!BR$2:BR$28,MATCH(1,(Transcriptome!$A$2:$A$28=$B7)*(Transcriptome!$C$2:$C$28=$E7),0))</f>
        <v>1.3555456312582743</v>
      </c>
    </row>
    <row r="8" spans="1:99">
      <c r="A8">
        <f>'Measured Data'!A13</f>
        <v>6</v>
      </c>
      <c r="B8" t="s">
        <v>583</v>
      </c>
      <c r="C8" s="324" t="s">
        <v>586</v>
      </c>
      <c r="D8">
        <v>1</v>
      </c>
      <c r="E8" t="s">
        <v>511</v>
      </c>
      <c r="F8" s="477">
        <f>'Growth Regression'!R8</f>
        <v>6.3711805555540195</v>
      </c>
      <c r="G8" s="477">
        <f>'Growth Regression'!S8</f>
        <v>152.90833333329647</v>
      </c>
      <c r="H8">
        <f>AVERAGE('TL input - regression'!L8:L9)</f>
        <v>31.750260885010768</v>
      </c>
      <c r="I8">
        <f>AVERAGE('TL input - regression'!M8:M9)</f>
        <v>12.377886323268207</v>
      </c>
      <c r="J8">
        <f>AVERAGE('TL input - regression'!N8:N9)</f>
        <v>2.0175000000000001</v>
      </c>
      <c r="K8">
        <f>AVERAGE('TL input - regression'!O8:O9)</f>
        <v>6.1974999999999998</v>
      </c>
      <c r="L8">
        <f>AVERAGE('TL input - regression'!P8:P9)</f>
        <v>2.5825</v>
      </c>
      <c r="M8">
        <f>'Growth Regression'!P8</f>
        <v>1.6817943095409092E-2</v>
      </c>
      <c r="N8">
        <f>M8/'Growth Regression'!$O$24</f>
        <v>0.62749785503196442</v>
      </c>
      <c r="O8">
        <f>'Post Process Calc.'!C26</f>
        <v>5.0831688889231307E-2</v>
      </c>
      <c r="P8">
        <f>'Post Process Calc.'!D26</f>
        <v>9.2720495847371937E-3</v>
      </c>
      <c r="Q8">
        <f>'Post Process Calc.'!E26</f>
        <v>-3.6826215607348605E-3</v>
      </c>
      <c r="R8">
        <f>'Post Process Calc.'!F26</f>
        <v>4.275961448406195E-3</v>
      </c>
      <c r="S8">
        <f>'Post Process Calc.'!G26</f>
        <v>-1.344271123342767E-3</v>
      </c>
      <c r="T8">
        <f t="shared" si="2"/>
        <v>0.18240687624883298</v>
      </c>
      <c r="U8">
        <f t="shared" si="4"/>
        <v>31.769805555769565</v>
      </c>
      <c r="V8">
        <f t="shared" si="4"/>
        <v>5.795030990460746</v>
      </c>
      <c r="W8">
        <f t="shared" si="0"/>
        <v>-2.3016384754592876</v>
      </c>
      <c r="X8">
        <f t="shared" si="0"/>
        <v>2.6724759052538718</v>
      </c>
      <c r="Y8">
        <f t="shared" si="0"/>
        <v>-0.84016945208922933</v>
      </c>
      <c r="Z8">
        <v>100</v>
      </c>
      <c r="AA8">
        <v>0.32</v>
      </c>
      <c r="AB8">
        <v>7</v>
      </c>
      <c r="AC8">
        <v>0.7</v>
      </c>
      <c r="AD8">
        <f t="shared" si="1"/>
        <v>5.0118723362727164E-8</v>
      </c>
      <c r="AE8">
        <v>1</v>
      </c>
      <c r="AF8">
        <v>0.311</v>
      </c>
      <c r="AG8">
        <f t="array" ref="AG8">INDEX(Transcriptome!D$2:D$28,MATCH(1,(Transcriptome!$A$2:$A$28=$B8)*(Transcriptome!$C$2:$C$28=$E8),0))</f>
        <v>0.83983334541737553</v>
      </c>
      <c r="AH8">
        <f t="array" ref="AH8">INDEX(Transcriptome!E$2:E$28,MATCH(1,(Transcriptome!$A$2:$A$28=$B8)*(Transcriptome!$C$2:$C$28=$E8),0))</f>
        <v>1.4975813108811158</v>
      </c>
      <c r="AI8">
        <f t="array" ref="AI8">INDEX(Transcriptome!F$2:F$28,MATCH(1,(Transcriptome!$A$2:$A$28=$B8)*(Transcriptome!$C$2:$C$28=$E8),0))</f>
        <v>1.0863645413117049</v>
      </c>
      <c r="AJ8">
        <f t="array" ref="AJ8">INDEX(Transcriptome!G$2:G$28,MATCH(1,(Transcriptome!$A$2:$A$28=$B8)*(Transcriptome!$C$2:$C$28=$E8),0))</f>
        <v>1.3992148799643307</v>
      </c>
      <c r="AK8">
        <f t="array" ref="AK8">INDEX(Transcriptome!H$2:H$28,MATCH(1,(Transcriptome!$A$2:$A$28=$B8)*(Transcriptome!$C$2:$C$28=$E8),0))</f>
        <v>0</v>
      </c>
      <c r="AL8">
        <f t="array" ref="AL8">INDEX(Transcriptome!I$2:I$28,MATCH(1,(Transcriptome!$A$2:$A$28=$B8)*(Transcriptome!$C$2:$C$28=$E8),0))</f>
        <v>1.2396994996744981</v>
      </c>
      <c r="AM8">
        <f t="array" ref="AM8">INDEX(Transcriptome!J$2:J$28,MATCH(1,(Transcriptome!$A$2:$A$28=$B8)*(Transcriptome!$C$2:$C$28=$E8),0))</f>
        <v>1.077378839510045</v>
      </c>
      <c r="AN8">
        <f t="array" ref="AN8">INDEX(Transcriptome!K$2:K$28,MATCH(1,(Transcriptome!$A$2:$A$28=$B8)*(Transcriptome!$C$2:$C$28=$E8),0))</f>
        <v>1.048943045540466</v>
      </c>
      <c r="AO8">
        <f t="array" ref="AO8">INDEX(Transcriptome!L$2:L$28,MATCH(1,(Transcriptome!$A$2:$A$28=$B8)*(Transcriptome!$C$2:$C$28=$E8),0))</f>
        <v>1.0386505599989455</v>
      </c>
      <c r="AP8">
        <f t="array" ref="AP8">INDEX(Transcriptome!M$2:M$28,MATCH(1,(Transcriptome!$A$2:$A$28=$B8)*(Transcriptome!$C$2:$C$28=$E8),0))</f>
        <v>1.3921248660596082</v>
      </c>
      <c r="AQ8">
        <f t="array" ref="AQ8">INDEX(Transcriptome!N$2:N$28,MATCH(1,(Transcriptome!$A$2:$A$28=$B8)*(Transcriptome!$C$2:$C$28=$E8),0))</f>
        <v>0.80428662927176275</v>
      </c>
      <c r="AR8">
        <f t="array" ref="AR8">INDEX(Transcriptome!O$2:O$28,MATCH(1,(Transcriptome!$A$2:$A$28=$B8)*(Transcriptome!$C$2:$C$28=$E8),0))</f>
        <v>1.1511693155225196</v>
      </c>
      <c r="AS8">
        <f t="array" ref="AS8">INDEX(Transcriptome!P$2:P$28,MATCH(1,(Transcriptome!$A$2:$A$28=$B8)*(Transcriptome!$C$2:$C$28=$E8),0))</f>
        <v>1.2129804210902995</v>
      </c>
      <c r="AT8">
        <f t="array" ref="AT8">INDEX(Transcriptome!Q$2:Q$28,MATCH(1,(Transcriptome!$A$2:$A$28=$B8)*(Transcriptome!$C$2:$C$28=$E8),0))</f>
        <v>0.60167449878388157</v>
      </c>
      <c r="AU8">
        <f t="array" ref="AU8">INDEX(Transcriptome!R$2:R$28,MATCH(1,(Transcriptome!$A$2:$A$28=$B8)*(Transcriptome!$C$2:$C$28=$E8),0))</f>
        <v>0.48523180165768648</v>
      </c>
      <c r="AV8">
        <f t="array" ref="AV8">INDEX(Transcriptome!S$2:S$28,MATCH(1,(Transcriptome!$A$2:$A$28=$B8)*(Transcriptome!$C$2:$C$28=$E8),0))</f>
        <v>0.50051495197747631</v>
      </c>
      <c r="AW8">
        <f t="array" ref="AW8">INDEX(Transcriptome!T$2:T$28,MATCH(1,(Transcriptome!$A$2:$A$28=$B8)*(Transcriptome!$C$2:$C$28=$E8),0))</f>
        <v>1.1402892565540921</v>
      </c>
      <c r="AX8">
        <f t="array" ref="AX8">INDEX(Transcriptome!U$2:U$28,MATCH(1,(Transcriptome!$A$2:$A$28=$B8)*(Transcriptome!$C$2:$C$28=$E8),0))</f>
        <v>3.4643967211167714</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0.87510624714564267</v>
      </c>
      <c r="BB8">
        <f t="array" ref="BB8">INDEX(Transcriptome!Y$2:Y$28,MATCH(1,(Transcriptome!$A$2:$A$28=$B8)*(Transcriptome!$C$2:$C$28=$E8),0))</f>
        <v>0</v>
      </c>
      <c r="BC8">
        <f t="array" ref="BC8">INDEX(Transcriptome!Z$2:Z$28,MATCH(1,(Transcriptome!$A$2:$A$28=$B8)*(Transcriptome!$C$2:$C$28=$E8),0))</f>
        <v>1.1758464976407674</v>
      </c>
      <c r="BD8">
        <f t="array" ref="BD8">INDEX(Transcriptome!AA$2:AA$28,MATCH(1,(Transcriptome!$A$2:$A$28=$B8)*(Transcriptome!$C$2:$C$28=$E8),0))</f>
        <v>1.1856347805545291</v>
      </c>
      <c r="BE8">
        <f t="array" ref="BE8">INDEX(Transcriptome!AB$2:AB$28,MATCH(1,(Transcriptome!$A$2:$A$28=$B8)*(Transcriptome!$C$2:$C$28=$E8),0))</f>
        <v>0.41555972801663571</v>
      </c>
      <c r="BF8">
        <f t="array" ref="BF8">INDEX(Transcriptome!AC$2:AC$28,MATCH(1,(Transcriptome!$A$2:$A$28=$B8)*(Transcriptome!$C$2:$C$28=$E8),0))</f>
        <v>0.96864944883128323</v>
      </c>
      <c r="BG8">
        <f t="array" ref="BG8">INDEX(Transcriptome!AD$2:AD$28,MATCH(1,(Transcriptome!$A$2:$A$28=$B8)*(Transcriptome!$C$2:$C$28=$E8),0))</f>
        <v>0.79079982721062669</v>
      </c>
      <c r="BH8">
        <f t="array" ref="BH8">INDEX(Transcriptome!AE$2:AE$28,MATCH(1,(Transcriptome!$A$2:$A$28=$B8)*(Transcriptome!$C$2:$C$28=$E8),0))</f>
        <v>1.3785459319267952</v>
      </c>
      <c r="BI8">
        <f t="array" ref="BI8">INDEX(Transcriptome!AF$2:AF$28,MATCH(1,(Transcriptome!$A$2:$A$28=$B8)*(Transcriptome!$C$2:$C$28=$E8),0))</f>
        <v>0.58252952595385121</v>
      </c>
      <c r="BJ8">
        <f t="array" ref="BJ8">INDEX(Transcriptome!AG$2:AG$28,MATCH(1,(Transcriptome!$A$2:$A$28=$B8)*(Transcriptome!$C$2:$C$28=$E8),0))</f>
        <v>0.45944021113968969</v>
      </c>
      <c r="BK8">
        <f t="array" ref="BK8">INDEX(Transcriptome!AH$2:AH$28,MATCH(1,(Transcriptome!$A$2:$A$28=$B8)*(Transcriptome!$C$2:$C$28=$E8),0))</f>
        <v>1.939908553060264</v>
      </c>
      <c r="BL8">
        <f t="array" ref="BL8">INDEX(Transcriptome!AI$2:AI$28,MATCH(1,(Transcriptome!$A$2:$A$28=$B8)*(Transcriptome!$C$2:$C$28=$E8),0))</f>
        <v>0.72619141912955099</v>
      </c>
      <c r="BM8">
        <f t="array" ref="BM8">INDEX(Transcriptome!AJ$2:AJ$28,MATCH(1,(Transcriptome!$A$2:$A$28=$B8)*(Transcriptome!$C$2:$C$28=$E8),0))</f>
        <v>0.90634977146097617</v>
      </c>
      <c r="BN8">
        <f t="array" ref="BN8">INDEX(Transcriptome!AK$2:AK$28,MATCH(1,(Transcriptome!$A$2:$A$28=$B8)*(Transcriptome!$C$2:$C$28=$E8),0))</f>
        <v>0.67102238805073788</v>
      </c>
      <c r="BO8">
        <f t="array" ref="BO8">INDEX(Transcriptome!AL$2:AL$28,MATCH(1,(Transcriptome!$A$2:$A$28=$B8)*(Transcriptome!$C$2:$C$28=$E8),0))</f>
        <v>1</v>
      </c>
      <c r="BP8">
        <f t="array" ref="BP8">INDEX(Transcriptome!AM$2:AM$28,MATCH(1,(Transcriptome!$A$2:$A$28=$B8)*(Transcriptome!$C$2:$C$28=$E8),0))</f>
        <v>0.71846570694758194</v>
      </c>
      <c r="BQ8">
        <f t="array" ref="BQ8">INDEX(Transcriptome!AN$2:AN$28,MATCH(1,(Transcriptome!$A$2:$A$28=$B8)*(Transcriptome!$C$2:$C$28=$E8),0))</f>
        <v>1.0357204335376631</v>
      </c>
      <c r="BR8">
        <f t="array" ref="BR8">INDEX(Transcriptome!AO$2:AO$28,MATCH(1,(Transcriptome!$A$2:$A$28=$B8)*(Transcriptome!$C$2:$C$28=$E8),0))</f>
        <v>1.0236705943541682</v>
      </c>
      <c r="BS8">
        <f t="array" ref="BS8">INDEX(Transcriptome!AP$2:AP$28,MATCH(1,(Transcriptome!$A$2:$A$28=$B8)*(Transcriptome!$C$2:$C$28=$E8),0))</f>
        <v>1.0475790988612137</v>
      </c>
      <c r="BT8">
        <f t="array" ref="BT8">INDEX(Transcriptome!AQ$2:AQ$28,MATCH(1,(Transcriptome!$A$2:$A$28=$B8)*(Transcriptome!$C$2:$C$28=$E8),0))</f>
        <v>1.3391539448359624</v>
      </c>
      <c r="BU8">
        <f t="array" ref="BU8">INDEX(Transcriptome!AR$2:AR$28,MATCH(1,(Transcriptome!$A$2:$A$28=$B8)*(Transcriptome!$C$2:$C$28=$E8),0))</f>
        <v>0.7013917915350385</v>
      </c>
      <c r="BV8">
        <f t="array" ref="BV8">INDEX(Transcriptome!AS$2:AS$28,MATCH(1,(Transcriptome!$A$2:$A$28=$B8)*(Transcriptome!$C$2:$C$28=$E8),0))</f>
        <v>0.89631091004770125</v>
      </c>
      <c r="BW8">
        <f t="array" ref="BW8">INDEX(Transcriptome!AT$2:AT$28,MATCH(1,(Transcriptome!$A$2:$A$28=$B8)*(Transcriptome!$C$2:$C$28=$E8),0))</f>
        <v>0.74015048266825856</v>
      </c>
      <c r="BX8">
        <f t="array" ref="BX8">INDEX(Transcriptome!AU$2:AU$28,MATCH(1,(Transcriptome!$A$2:$A$28=$B8)*(Transcriptome!$C$2:$C$28=$E8),0))</f>
        <v>1.6833342666062783</v>
      </c>
      <c r="BY8">
        <f t="array" ref="BY8">INDEX(Transcriptome!AV$2:AV$28,MATCH(1,(Transcriptome!$A$2:$A$28=$B8)*(Transcriptome!$C$2:$C$28=$E8),0))</f>
        <v>0.64230900615145092</v>
      </c>
      <c r="BZ8">
        <f t="array" ref="BZ8">INDEX(Transcriptome!AW$2:AW$28,MATCH(1,(Transcriptome!$A$2:$A$28=$B8)*(Transcriptome!$C$2:$C$28=$E8),0))</f>
        <v>0.81740021810874552</v>
      </c>
      <c r="CA8">
        <f t="array" ref="CA8">INDEX(Transcriptome!AX$2:AX$28,MATCH(1,(Transcriptome!$A$2:$A$28=$B8)*(Transcriptome!$C$2:$C$28=$E8),0))</f>
        <v>0.81543264067946697</v>
      </c>
      <c r="CB8">
        <f t="array" ref="CB8">INDEX(Transcriptome!AY$2:AY$28,MATCH(1,(Transcriptome!$A$2:$A$28=$B8)*(Transcriptome!$C$2:$C$28=$E8),0))</f>
        <v>0.893387807520859</v>
      </c>
      <c r="CC8">
        <f t="array" ref="CC8">INDEX(Transcriptome!AZ$2:AZ$28,MATCH(1,(Transcriptome!$A$2:$A$28=$B8)*(Transcriptome!$C$2:$C$28=$E8),0))</f>
        <v>0.58478305735162239</v>
      </c>
      <c r="CD8">
        <f t="array" ref="CD8">INDEX(Transcriptome!BA$2:BA$28,MATCH(1,(Transcriptome!$A$2:$A$28=$B8)*(Transcriptome!$C$2:$C$28=$E8),0))</f>
        <v>1.9527807129586991</v>
      </c>
      <c r="CE8">
        <f t="array" ref="CE8">INDEX(Transcriptome!BB$2:BB$28,MATCH(1,(Transcriptome!$A$2:$A$28=$B8)*(Transcriptome!$C$2:$C$28=$E8),0))</f>
        <v>2.0477445468289903</v>
      </c>
      <c r="CF8">
        <f t="array" ref="CF8">INDEX(Transcriptome!BC$2:BC$28,MATCH(1,(Transcriptome!$A$2:$A$28=$B8)*(Transcriptome!$C$2:$C$28=$E8),0))</f>
        <v>0</v>
      </c>
      <c r="CG8">
        <f t="array" ref="CG8">INDEX(Transcriptome!BD$2:BD$28,MATCH(1,(Transcriptome!$A$2:$A$28=$B8)*(Transcriptome!$C$2:$C$28=$E8),0))</f>
        <v>1.5191296600446986</v>
      </c>
      <c r="CH8">
        <f t="array" ref="CH8">INDEX(Transcriptome!BE$2:BE$28,MATCH(1,(Transcriptome!$A$2:$A$28=$B8)*(Transcriptome!$C$2:$C$28=$E8),0))</f>
        <v>1.7681049434294362</v>
      </c>
      <c r="CI8">
        <f t="array" ref="CI8">INDEX(Transcriptome!BF$2:BF$28,MATCH(1,(Transcriptome!$A$2:$A$28=$B8)*(Transcriptome!$C$2:$C$28=$E8),0))</f>
        <v>1.6268835883508099</v>
      </c>
      <c r="CJ8">
        <f t="array" ref="CJ8">INDEX(Transcriptome!BG$2:BG$28,MATCH(1,(Transcriptome!$A$2:$A$28=$B8)*(Transcriptome!$C$2:$C$28=$E8),0))</f>
        <v>2.413292939876015</v>
      </c>
      <c r="CK8">
        <f t="array" ref="CK8">INDEX(Transcriptome!BH$2:BH$28,MATCH(1,(Transcriptome!$A$2:$A$28=$B8)*(Transcriptome!$C$2:$C$28=$E8),0))</f>
        <v>0.63533544697226152</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3.227995319787698</v>
      </c>
      <c r="CO8">
        <f t="array" ref="CO8">INDEX(Transcriptome!BL$2:BL$28,MATCH(1,(Transcriptome!$A$2:$A$28=$B8)*(Transcriptome!$C$2:$C$28=$E8),0))</f>
        <v>2.409150222629028</v>
      </c>
      <c r="CP8">
        <f t="array" ref="CP8">INDEX(Transcriptome!BM$2:BM$28,MATCH(1,(Transcriptome!$A$2:$A$28=$B8)*(Transcriptome!$C$2:$C$28=$E8),0))</f>
        <v>0.63561956761477334</v>
      </c>
      <c r="CQ8">
        <f t="array" ref="CQ8">INDEX(Transcriptome!BN$2:BN$28,MATCH(1,(Transcriptome!$A$2:$A$28=$B8)*(Transcriptome!$C$2:$C$28=$E8),0))</f>
        <v>35.829358617439233</v>
      </c>
      <c r="CR8">
        <f t="array" ref="CR8">INDEX(Transcriptome!BO$2:BO$28,MATCH(1,(Transcriptome!$A$2:$A$28=$B8)*(Transcriptome!$C$2:$C$28=$E8),0))</f>
        <v>1.7293328826763994</v>
      </c>
      <c r="CS8">
        <f t="array" ref="CS8">INDEX(Transcriptome!BP$2:BP$28,MATCH(1,(Transcriptome!$A$2:$A$28=$B8)*(Transcriptome!$C$2:$C$28=$E8),0))</f>
        <v>0.63533544697226152</v>
      </c>
      <c r="CT8">
        <f t="array" ref="CT8">INDEX(Transcriptome!BQ$2:BQ$28,MATCH(1,(Transcriptome!$A$2:$A$28=$B8)*(Transcriptome!$C$2:$C$28=$E8),0))</f>
        <v>1</v>
      </c>
      <c r="CU8">
        <f t="array" ref="CU8">INDEX(Transcriptome!BR$2:BR$28,MATCH(1,(Transcriptome!$A$2:$A$28=$B8)*(Transcriptome!$C$2:$C$28=$E8),0))</f>
        <v>1.3684624405766486</v>
      </c>
    </row>
    <row r="9" spans="1:99">
      <c r="A9">
        <f>'Measured Data'!A14</f>
        <v>7</v>
      </c>
      <c r="B9" t="s">
        <v>583</v>
      </c>
      <c r="C9" s="324" t="s">
        <v>586</v>
      </c>
      <c r="D9">
        <v>1</v>
      </c>
      <c r="E9" t="s">
        <v>511</v>
      </c>
      <c r="F9" s="477">
        <f>'Growth Regression'!R9</f>
        <v>7.3718749999970896</v>
      </c>
      <c r="G9" s="477">
        <f>'Growth Regression'!S9</f>
        <v>176.92499999993015</v>
      </c>
      <c r="H9">
        <f>AVERAGE('TL input - regression'!L9:L10)</f>
        <v>24.312262705655101</v>
      </c>
      <c r="I9">
        <f>AVERAGE('TL input - regression'!M9:M10)</f>
        <v>14.709147424511546</v>
      </c>
      <c r="J9">
        <f>AVERAGE('TL input - regression'!N9:N10)</f>
        <v>2.9474999999999998</v>
      </c>
      <c r="K9">
        <f>AVERAGE('TL input - regression'!O9:O10)</f>
        <v>3.4039999999999999</v>
      </c>
      <c r="L9">
        <f>AVERAGE('TL input - regression'!P9:P10)</f>
        <v>3.367</v>
      </c>
      <c r="M9">
        <f>'Growth Regression'!P9</f>
        <v>1.2648729841143288E-2</v>
      </c>
      <c r="N9">
        <f>M9/'Growth Regression'!$O$24</f>
        <v>0.47193945176106844</v>
      </c>
      <c r="O9">
        <f>'Post Process Calc.'!C27</f>
        <v>4.4134194462242884E-2</v>
      </c>
      <c r="P9">
        <f>'Post Process Calc.'!D27</f>
        <v>1.8553255093505024E-3</v>
      </c>
      <c r="Q9">
        <f>'Post Process Calc.'!E27</f>
        <v>-1.9444841825072014E-3</v>
      </c>
      <c r="R9">
        <f>'Post Process Calc.'!F27</f>
        <v>4.0168483828002984E-3</v>
      </c>
      <c r="S9">
        <f>'Post Process Calc.'!G27</f>
        <v>-2.7133893558094966E-4</v>
      </c>
      <c r="T9">
        <f t="shared" si="2"/>
        <v>4.2038277393682724E-2</v>
      </c>
      <c r="U9">
        <f t="shared" si="4"/>
        <v>27.5838715389018</v>
      </c>
      <c r="V9">
        <f t="shared" si="4"/>
        <v>1.1595784433440639</v>
      </c>
      <c r="W9">
        <f t="shared" si="0"/>
        <v>-1.2153026140670009</v>
      </c>
      <c r="X9">
        <f t="shared" si="0"/>
        <v>2.5105302392501865</v>
      </c>
      <c r="Y9">
        <f t="shared" si="0"/>
        <v>-0.16958683473809352</v>
      </c>
      <c r="Z9">
        <v>100</v>
      </c>
      <c r="AA9">
        <v>0.32</v>
      </c>
      <c r="AB9">
        <v>7</v>
      </c>
      <c r="AC9">
        <v>0.7</v>
      </c>
      <c r="AD9">
        <f t="shared" si="1"/>
        <v>5.0118723362727164E-8</v>
      </c>
      <c r="AE9">
        <v>1</v>
      </c>
      <c r="AF9">
        <v>0.311</v>
      </c>
      <c r="AG9">
        <f t="array" ref="AG9">INDEX(Transcriptome!D$2:D$28,MATCH(1,(Transcriptome!$A$2:$A$28=$B9)*(Transcriptome!$C$2:$C$28=$E9),0))</f>
        <v>0.83983334541737553</v>
      </c>
      <c r="AH9">
        <f t="array" ref="AH9">INDEX(Transcriptome!E$2:E$28,MATCH(1,(Transcriptome!$A$2:$A$28=$B9)*(Transcriptome!$C$2:$C$28=$E9),0))</f>
        <v>1.4975813108811158</v>
      </c>
      <c r="AI9">
        <f t="array" ref="AI9">INDEX(Transcriptome!F$2:F$28,MATCH(1,(Transcriptome!$A$2:$A$28=$B9)*(Transcriptome!$C$2:$C$28=$E9),0))</f>
        <v>1.0863645413117049</v>
      </c>
      <c r="AJ9">
        <f t="array" ref="AJ9">INDEX(Transcriptome!G$2:G$28,MATCH(1,(Transcriptome!$A$2:$A$28=$B9)*(Transcriptome!$C$2:$C$28=$E9),0))</f>
        <v>1.3992148799643307</v>
      </c>
      <c r="AK9">
        <f t="array" ref="AK9">INDEX(Transcriptome!H$2:H$28,MATCH(1,(Transcriptome!$A$2:$A$28=$B9)*(Transcriptome!$C$2:$C$28=$E9),0))</f>
        <v>0</v>
      </c>
      <c r="AL9">
        <f t="array" ref="AL9">INDEX(Transcriptome!I$2:I$28,MATCH(1,(Transcriptome!$A$2:$A$28=$B9)*(Transcriptome!$C$2:$C$28=$E9),0))</f>
        <v>1.2396994996744981</v>
      </c>
      <c r="AM9">
        <f t="array" ref="AM9">INDEX(Transcriptome!J$2:J$28,MATCH(1,(Transcriptome!$A$2:$A$28=$B9)*(Transcriptome!$C$2:$C$28=$E9),0))</f>
        <v>1.077378839510045</v>
      </c>
      <c r="AN9">
        <f t="array" ref="AN9">INDEX(Transcriptome!K$2:K$28,MATCH(1,(Transcriptome!$A$2:$A$28=$B9)*(Transcriptome!$C$2:$C$28=$E9),0))</f>
        <v>1.048943045540466</v>
      </c>
      <c r="AO9">
        <f t="array" ref="AO9">INDEX(Transcriptome!L$2:L$28,MATCH(1,(Transcriptome!$A$2:$A$28=$B9)*(Transcriptome!$C$2:$C$28=$E9),0))</f>
        <v>1.0386505599989455</v>
      </c>
      <c r="AP9">
        <f t="array" ref="AP9">INDEX(Transcriptome!M$2:M$28,MATCH(1,(Transcriptome!$A$2:$A$28=$B9)*(Transcriptome!$C$2:$C$28=$E9),0))</f>
        <v>1.3921248660596082</v>
      </c>
      <c r="AQ9">
        <f t="array" ref="AQ9">INDEX(Transcriptome!N$2:N$28,MATCH(1,(Transcriptome!$A$2:$A$28=$B9)*(Transcriptome!$C$2:$C$28=$E9),0))</f>
        <v>0.80428662927176275</v>
      </c>
      <c r="AR9">
        <f t="array" ref="AR9">INDEX(Transcriptome!O$2:O$28,MATCH(1,(Transcriptome!$A$2:$A$28=$B9)*(Transcriptome!$C$2:$C$28=$E9),0))</f>
        <v>1.1511693155225196</v>
      </c>
      <c r="AS9">
        <f t="array" ref="AS9">INDEX(Transcriptome!P$2:P$28,MATCH(1,(Transcriptome!$A$2:$A$28=$B9)*(Transcriptome!$C$2:$C$28=$E9),0))</f>
        <v>1.2129804210902995</v>
      </c>
      <c r="AT9">
        <f t="array" ref="AT9">INDEX(Transcriptome!Q$2:Q$28,MATCH(1,(Transcriptome!$A$2:$A$28=$B9)*(Transcriptome!$C$2:$C$28=$E9),0))</f>
        <v>0.60167449878388157</v>
      </c>
      <c r="AU9">
        <f t="array" ref="AU9">INDEX(Transcriptome!R$2:R$28,MATCH(1,(Transcriptome!$A$2:$A$28=$B9)*(Transcriptome!$C$2:$C$28=$E9),0))</f>
        <v>0.48523180165768648</v>
      </c>
      <c r="AV9">
        <f t="array" ref="AV9">INDEX(Transcriptome!S$2:S$28,MATCH(1,(Transcriptome!$A$2:$A$28=$B9)*(Transcriptome!$C$2:$C$28=$E9),0))</f>
        <v>0.50051495197747631</v>
      </c>
      <c r="AW9">
        <f t="array" ref="AW9">INDEX(Transcriptome!T$2:T$28,MATCH(1,(Transcriptome!$A$2:$A$28=$B9)*(Transcriptome!$C$2:$C$28=$E9),0))</f>
        <v>1.1402892565540921</v>
      </c>
      <c r="AX9">
        <f t="array" ref="AX9">INDEX(Transcriptome!U$2:U$28,MATCH(1,(Transcriptome!$A$2:$A$28=$B9)*(Transcriptome!$C$2:$C$28=$E9),0))</f>
        <v>3.4643967211167714</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0.87510624714564267</v>
      </c>
      <c r="BB9">
        <f t="array" ref="BB9">INDEX(Transcriptome!Y$2:Y$28,MATCH(1,(Transcriptome!$A$2:$A$28=$B9)*(Transcriptome!$C$2:$C$28=$E9),0))</f>
        <v>0</v>
      </c>
      <c r="BC9">
        <f t="array" ref="BC9">INDEX(Transcriptome!Z$2:Z$28,MATCH(1,(Transcriptome!$A$2:$A$28=$B9)*(Transcriptome!$C$2:$C$28=$E9),0))</f>
        <v>1.1758464976407674</v>
      </c>
      <c r="BD9">
        <f t="array" ref="BD9">INDEX(Transcriptome!AA$2:AA$28,MATCH(1,(Transcriptome!$A$2:$A$28=$B9)*(Transcriptome!$C$2:$C$28=$E9),0))</f>
        <v>1.1856347805545291</v>
      </c>
      <c r="BE9">
        <f t="array" ref="BE9">INDEX(Transcriptome!AB$2:AB$28,MATCH(1,(Transcriptome!$A$2:$A$28=$B9)*(Transcriptome!$C$2:$C$28=$E9),0))</f>
        <v>0.41555972801663571</v>
      </c>
      <c r="BF9">
        <f t="array" ref="BF9">INDEX(Transcriptome!AC$2:AC$28,MATCH(1,(Transcriptome!$A$2:$A$28=$B9)*(Transcriptome!$C$2:$C$28=$E9),0))</f>
        <v>0.96864944883128323</v>
      </c>
      <c r="BG9">
        <f t="array" ref="BG9">INDEX(Transcriptome!AD$2:AD$28,MATCH(1,(Transcriptome!$A$2:$A$28=$B9)*(Transcriptome!$C$2:$C$28=$E9),0))</f>
        <v>0.79079982721062669</v>
      </c>
      <c r="BH9">
        <f t="array" ref="BH9">INDEX(Transcriptome!AE$2:AE$28,MATCH(1,(Transcriptome!$A$2:$A$28=$B9)*(Transcriptome!$C$2:$C$28=$E9),0))</f>
        <v>1.3785459319267952</v>
      </c>
      <c r="BI9">
        <f t="array" ref="BI9">INDEX(Transcriptome!AF$2:AF$28,MATCH(1,(Transcriptome!$A$2:$A$28=$B9)*(Transcriptome!$C$2:$C$28=$E9),0))</f>
        <v>0.58252952595385121</v>
      </c>
      <c r="BJ9">
        <f t="array" ref="BJ9">INDEX(Transcriptome!AG$2:AG$28,MATCH(1,(Transcriptome!$A$2:$A$28=$B9)*(Transcriptome!$C$2:$C$28=$E9),0))</f>
        <v>0.45944021113968969</v>
      </c>
      <c r="BK9">
        <f t="array" ref="BK9">INDEX(Transcriptome!AH$2:AH$28,MATCH(1,(Transcriptome!$A$2:$A$28=$B9)*(Transcriptome!$C$2:$C$28=$E9),0))</f>
        <v>1.939908553060264</v>
      </c>
      <c r="BL9">
        <f t="array" ref="BL9">INDEX(Transcriptome!AI$2:AI$28,MATCH(1,(Transcriptome!$A$2:$A$28=$B9)*(Transcriptome!$C$2:$C$28=$E9),0))</f>
        <v>0.72619141912955099</v>
      </c>
      <c r="BM9">
        <f t="array" ref="BM9">INDEX(Transcriptome!AJ$2:AJ$28,MATCH(1,(Transcriptome!$A$2:$A$28=$B9)*(Transcriptome!$C$2:$C$28=$E9),0))</f>
        <v>0.90634977146097617</v>
      </c>
      <c r="BN9">
        <f t="array" ref="BN9">INDEX(Transcriptome!AK$2:AK$28,MATCH(1,(Transcriptome!$A$2:$A$28=$B9)*(Transcriptome!$C$2:$C$28=$E9),0))</f>
        <v>0.67102238805073788</v>
      </c>
      <c r="BO9">
        <f t="array" ref="BO9">INDEX(Transcriptome!AL$2:AL$28,MATCH(1,(Transcriptome!$A$2:$A$28=$B9)*(Transcriptome!$C$2:$C$28=$E9),0))</f>
        <v>1</v>
      </c>
      <c r="BP9">
        <f t="array" ref="BP9">INDEX(Transcriptome!AM$2:AM$28,MATCH(1,(Transcriptome!$A$2:$A$28=$B9)*(Transcriptome!$C$2:$C$28=$E9),0))</f>
        <v>0.71846570694758194</v>
      </c>
      <c r="BQ9">
        <f t="array" ref="BQ9">INDEX(Transcriptome!AN$2:AN$28,MATCH(1,(Transcriptome!$A$2:$A$28=$B9)*(Transcriptome!$C$2:$C$28=$E9),0))</f>
        <v>1.0357204335376631</v>
      </c>
      <c r="BR9">
        <f t="array" ref="BR9">INDEX(Transcriptome!AO$2:AO$28,MATCH(1,(Transcriptome!$A$2:$A$28=$B9)*(Transcriptome!$C$2:$C$28=$E9),0))</f>
        <v>1.0236705943541682</v>
      </c>
      <c r="BS9">
        <f t="array" ref="BS9">INDEX(Transcriptome!AP$2:AP$28,MATCH(1,(Transcriptome!$A$2:$A$28=$B9)*(Transcriptome!$C$2:$C$28=$E9),0))</f>
        <v>1.0475790988612137</v>
      </c>
      <c r="BT9">
        <f t="array" ref="BT9">INDEX(Transcriptome!AQ$2:AQ$28,MATCH(1,(Transcriptome!$A$2:$A$28=$B9)*(Transcriptome!$C$2:$C$28=$E9),0))</f>
        <v>1.3391539448359624</v>
      </c>
      <c r="BU9">
        <f t="array" ref="BU9">INDEX(Transcriptome!AR$2:AR$28,MATCH(1,(Transcriptome!$A$2:$A$28=$B9)*(Transcriptome!$C$2:$C$28=$E9),0))</f>
        <v>0.7013917915350385</v>
      </c>
      <c r="BV9">
        <f t="array" ref="BV9">INDEX(Transcriptome!AS$2:AS$28,MATCH(1,(Transcriptome!$A$2:$A$28=$B9)*(Transcriptome!$C$2:$C$28=$E9),0))</f>
        <v>0.89631091004770125</v>
      </c>
      <c r="BW9">
        <f t="array" ref="BW9">INDEX(Transcriptome!AT$2:AT$28,MATCH(1,(Transcriptome!$A$2:$A$28=$B9)*(Transcriptome!$C$2:$C$28=$E9),0))</f>
        <v>0.74015048266825856</v>
      </c>
      <c r="BX9">
        <f t="array" ref="BX9">INDEX(Transcriptome!AU$2:AU$28,MATCH(1,(Transcriptome!$A$2:$A$28=$B9)*(Transcriptome!$C$2:$C$28=$E9),0))</f>
        <v>1.6833342666062783</v>
      </c>
      <c r="BY9">
        <f t="array" ref="BY9">INDEX(Transcriptome!AV$2:AV$28,MATCH(1,(Transcriptome!$A$2:$A$28=$B9)*(Transcriptome!$C$2:$C$28=$E9),0))</f>
        <v>0.64230900615145092</v>
      </c>
      <c r="BZ9">
        <f t="array" ref="BZ9">INDEX(Transcriptome!AW$2:AW$28,MATCH(1,(Transcriptome!$A$2:$A$28=$B9)*(Transcriptome!$C$2:$C$28=$E9),0))</f>
        <v>0.81740021810874552</v>
      </c>
      <c r="CA9">
        <f t="array" ref="CA9">INDEX(Transcriptome!AX$2:AX$28,MATCH(1,(Transcriptome!$A$2:$A$28=$B9)*(Transcriptome!$C$2:$C$28=$E9),0))</f>
        <v>0.81543264067946697</v>
      </c>
      <c r="CB9">
        <f t="array" ref="CB9">INDEX(Transcriptome!AY$2:AY$28,MATCH(1,(Transcriptome!$A$2:$A$28=$B9)*(Transcriptome!$C$2:$C$28=$E9),0))</f>
        <v>0.893387807520859</v>
      </c>
      <c r="CC9">
        <f t="array" ref="CC9">INDEX(Transcriptome!AZ$2:AZ$28,MATCH(1,(Transcriptome!$A$2:$A$28=$B9)*(Transcriptome!$C$2:$C$28=$E9),0))</f>
        <v>0.58478305735162239</v>
      </c>
      <c r="CD9">
        <f t="array" ref="CD9">INDEX(Transcriptome!BA$2:BA$28,MATCH(1,(Transcriptome!$A$2:$A$28=$B9)*(Transcriptome!$C$2:$C$28=$E9),0))</f>
        <v>1.9527807129586991</v>
      </c>
      <c r="CE9">
        <f t="array" ref="CE9">INDEX(Transcriptome!BB$2:BB$28,MATCH(1,(Transcriptome!$A$2:$A$28=$B9)*(Transcriptome!$C$2:$C$28=$E9),0))</f>
        <v>2.0477445468289903</v>
      </c>
      <c r="CF9">
        <f t="array" ref="CF9">INDEX(Transcriptome!BC$2:BC$28,MATCH(1,(Transcriptome!$A$2:$A$28=$B9)*(Transcriptome!$C$2:$C$28=$E9),0))</f>
        <v>0</v>
      </c>
      <c r="CG9">
        <f t="array" ref="CG9">INDEX(Transcriptome!BD$2:BD$28,MATCH(1,(Transcriptome!$A$2:$A$28=$B9)*(Transcriptome!$C$2:$C$28=$E9),0))</f>
        <v>1.5191296600446986</v>
      </c>
      <c r="CH9">
        <f t="array" ref="CH9">INDEX(Transcriptome!BE$2:BE$28,MATCH(1,(Transcriptome!$A$2:$A$28=$B9)*(Transcriptome!$C$2:$C$28=$E9),0))</f>
        <v>1.7681049434294362</v>
      </c>
      <c r="CI9">
        <f t="array" ref="CI9">INDEX(Transcriptome!BF$2:BF$28,MATCH(1,(Transcriptome!$A$2:$A$28=$B9)*(Transcriptome!$C$2:$C$28=$E9),0))</f>
        <v>1.6268835883508099</v>
      </c>
      <c r="CJ9">
        <f t="array" ref="CJ9">INDEX(Transcriptome!BG$2:BG$28,MATCH(1,(Transcriptome!$A$2:$A$28=$B9)*(Transcriptome!$C$2:$C$28=$E9),0))</f>
        <v>2.413292939876015</v>
      </c>
      <c r="CK9">
        <f t="array" ref="CK9">INDEX(Transcriptome!BH$2:BH$28,MATCH(1,(Transcriptome!$A$2:$A$28=$B9)*(Transcriptome!$C$2:$C$28=$E9),0))</f>
        <v>0.63533544697226152</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3.227995319787698</v>
      </c>
      <c r="CO9">
        <f t="array" ref="CO9">INDEX(Transcriptome!BL$2:BL$28,MATCH(1,(Transcriptome!$A$2:$A$28=$B9)*(Transcriptome!$C$2:$C$28=$E9),0))</f>
        <v>2.409150222629028</v>
      </c>
      <c r="CP9">
        <f t="array" ref="CP9">INDEX(Transcriptome!BM$2:BM$28,MATCH(1,(Transcriptome!$A$2:$A$28=$B9)*(Transcriptome!$C$2:$C$28=$E9),0))</f>
        <v>0.63561956761477334</v>
      </c>
      <c r="CQ9">
        <f t="array" ref="CQ9">INDEX(Transcriptome!BN$2:BN$28,MATCH(1,(Transcriptome!$A$2:$A$28=$B9)*(Transcriptome!$C$2:$C$28=$E9),0))</f>
        <v>35.829358617439233</v>
      </c>
      <c r="CR9">
        <f t="array" ref="CR9">INDEX(Transcriptome!BO$2:BO$28,MATCH(1,(Transcriptome!$A$2:$A$28=$B9)*(Transcriptome!$C$2:$C$28=$E9),0))</f>
        <v>1.7293328826763994</v>
      </c>
      <c r="CS9">
        <f t="array" ref="CS9">INDEX(Transcriptome!BP$2:BP$28,MATCH(1,(Transcriptome!$A$2:$A$28=$B9)*(Transcriptome!$C$2:$C$28=$E9),0))</f>
        <v>0.63533544697226152</v>
      </c>
      <c r="CT9">
        <f t="array" ref="CT9">INDEX(Transcriptome!BQ$2:BQ$28,MATCH(1,(Transcriptome!$A$2:$A$28=$B9)*(Transcriptome!$C$2:$C$28=$E9),0))</f>
        <v>1</v>
      </c>
      <c r="CU9">
        <f t="array" ref="CU9">INDEX(Transcriptome!BR$2:BR$28,MATCH(1,(Transcriptome!$A$2:$A$28=$B9)*(Transcriptome!$C$2:$C$28=$E9),0))</f>
        <v>1.3684624405766486</v>
      </c>
    </row>
    <row r="10" spans="1:99">
      <c r="A10">
        <f>'Measured Data'!A15</f>
        <v>8</v>
      </c>
      <c r="B10" t="s">
        <v>583</v>
      </c>
      <c r="C10" s="324" t="s">
        <v>586</v>
      </c>
      <c r="D10">
        <v>1</v>
      </c>
      <c r="E10" t="s">
        <v>511</v>
      </c>
      <c r="F10" s="477">
        <f>'Growth Regression'!R10</f>
        <v>8.3788194444387045</v>
      </c>
      <c r="G10" s="477">
        <f>'Growth Regression'!S10</f>
        <v>201.09166666652891</v>
      </c>
      <c r="H10">
        <f>AVERAGE('TL input - regression'!L10:L11)</f>
        <v>14.098892071315969</v>
      </c>
      <c r="I10">
        <f>AVERAGE('TL input - regression'!M10:M11)</f>
        <v>13.376998223801067</v>
      </c>
      <c r="J10">
        <f>AVERAGE('TL input - regression'!N10:N11)</f>
        <v>3.3195000000000001</v>
      </c>
      <c r="K10">
        <f>AVERAGE('TL input - regression'!O10:O11)</f>
        <v>0.59650000000000003</v>
      </c>
      <c r="L10">
        <f>AVERAGE('TL input - regression'!P10:P11)</f>
        <v>3.5819999999999999</v>
      </c>
      <c r="M10">
        <f>'Growth Regression'!P10</f>
        <v>8.5060930826518655E-3</v>
      </c>
      <c r="N10">
        <f>M10/'Growth Regression'!$O$24</f>
        <v>0.31737264978160762</v>
      </c>
      <c r="O10">
        <f>'Post Process Calc.'!C28</f>
        <v>3.9542381939957801E-2</v>
      </c>
      <c r="P10">
        <f>'Post Process Calc.'!D28</f>
        <v>-3.1887177717506736E-3</v>
      </c>
      <c r="Q10">
        <f>'Post Process Calc.'!E28</f>
        <v>-6.7225229040200954E-4</v>
      </c>
      <c r="R10">
        <f>'Post Process Calc.'!F28</f>
        <v>3.5758649260134688E-3</v>
      </c>
      <c r="S10">
        <f>'Post Process Calc.'!G28</f>
        <v>3.545047818560414E-4</v>
      </c>
      <c r="T10">
        <f t="shared" si="2"/>
        <v>-8.0640508115887077E-2</v>
      </c>
      <c r="U10">
        <f t="shared" si="4"/>
        <v>24.713988712473625</v>
      </c>
      <c r="V10">
        <f t="shared" si="4"/>
        <v>-1.9929486073441709</v>
      </c>
      <c r="W10">
        <f t="shared" si="0"/>
        <v>-0.42015768150125593</v>
      </c>
      <c r="X10">
        <f t="shared" si="0"/>
        <v>2.2349155787584181</v>
      </c>
      <c r="Y10">
        <f t="shared" si="0"/>
        <v>0.22156548866002587</v>
      </c>
      <c r="Z10">
        <v>100</v>
      </c>
      <c r="AA10">
        <v>0.32</v>
      </c>
      <c r="AB10">
        <v>7</v>
      </c>
      <c r="AC10">
        <v>0.7</v>
      </c>
      <c r="AD10">
        <f t="shared" si="1"/>
        <v>5.0118723362727164E-8</v>
      </c>
      <c r="AE10">
        <v>1</v>
      </c>
      <c r="AF10">
        <v>0.311</v>
      </c>
      <c r="AG10">
        <f t="array" ref="AG10">INDEX(Transcriptome!D$2:D$28,MATCH(1,(Transcriptome!$A$2:$A$28=$B10)*(Transcriptome!$C$2:$C$28=$E10),0))</f>
        <v>0.83983334541737553</v>
      </c>
      <c r="AH10">
        <f t="array" ref="AH10">INDEX(Transcriptome!E$2:E$28,MATCH(1,(Transcriptome!$A$2:$A$28=$B10)*(Transcriptome!$C$2:$C$28=$E10),0))</f>
        <v>1.4975813108811158</v>
      </c>
      <c r="AI10">
        <f t="array" ref="AI10">INDEX(Transcriptome!F$2:F$28,MATCH(1,(Transcriptome!$A$2:$A$28=$B10)*(Transcriptome!$C$2:$C$28=$E10),0))</f>
        <v>1.0863645413117049</v>
      </c>
      <c r="AJ10">
        <f t="array" ref="AJ10">INDEX(Transcriptome!G$2:G$28,MATCH(1,(Transcriptome!$A$2:$A$28=$B10)*(Transcriptome!$C$2:$C$28=$E10),0))</f>
        <v>1.3992148799643307</v>
      </c>
      <c r="AK10">
        <f t="array" ref="AK10">INDEX(Transcriptome!H$2:H$28,MATCH(1,(Transcriptome!$A$2:$A$28=$B10)*(Transcriptome!$C$2:$C$28=$E10),0))</f>
        <v>0</v>
      </c>
      <c r="AL10">
        <f t="array" ref="AL10">INDEX(Transcriptome!I$2:I$28,MATCH(1,(Transcriptome!$A$2:$A$28=$B10)*(Transcriptome!$C$2:$C$28=$E10),0))</f>
        <v>1.2396994996744981</v>
      </c>
      <c r="AM10">
        <f t="array" ref="AM10">INDEX(Transcriptome!J$2:J$28,MATCH(1,(Transcriptome!$A$2:$A$28=$B10)*(Transcriptome!$C$2:$C$28=$E10),0))</f>
        <v>1.077378839510045</v>
      </c>
      <c r="AN10">
        <f t="array" ref="AN10">INDEX(Transcriptome!K$2:K$28,MATCH(1,(Transcriptome!$A$2:$A$28=$B10)*(Transcriptome!$C$2:$C$28=$E10),0))</f>
        <v>1.048943045540466</v>
      </c>
      <c r="AO10">
        <f t="array" ref="AO10">INDEX(Transcriptome!L$2:L$28,MATCH(1,(Transcriptome!$A$2:$A$28=$B10)*(Transcriptome!$C$2:$C$28=$E10),0))</f>
        <v>1.0386505599989455</v>
      </c>
      <c r="AP10">
        <f t="array" ref="AP10">INDEX(Transcriptome!M$2:M$28,MATCH(1,(Transcriptome!$A$2:$A$28=$B10)*(Transcriptome!$C$2:$C$28=$E10),0))</f>
        <v>1.3921248660596082</v>
      </c>
      <c r="AQ10">
        <f t="array" ref="AQ10">INDEX(Transcriptome!N$2:N$28,MATCH(1,(Transcriptome!$A$2:$A$28=$B10)*(Transcriptome!$C$2:$C$28=$E10),0))</f>
        <v>0.80428662927176275</v>
      </c>
      <c r="AR10">
        <f t="array" ref="AR10">INDEX(Transcriptome!O$2:O$28,MATCH(1,(Transcriptome!$A$2:$A$28=$B10)*(Transcriptome!$C$2:$C$28=$E10),0))</f>
        <v>1.1511693155225196</v>
      </c>
      <c r="AS10">
        <f t="array" ref="AS10">INDEX(Transcriptome!P$2:P$28,MATCH(1,(Transcriptome!$A$2:$A$28=$B10)*(Transcriptome!$C$2:$C$28=$E10),0))</f>
        <v>1.2129804210902995</v>
      </c>
      <c r="AT10">
        <f t="array" ref="AT10">INDEX(Transcriptome!Q$2:Q$28,MATCH(1,(Transcriptome!$A$2:$A$28=$B10)*(Transcriptome!$C$2:$C$28=$E10),0))</f>
        <v>0.60167449878388157</v>
      </c>
      <c r="AU10">
        <f t="array" ref="AU10">INDEX(Transcriptome!R$2:R$28,MATCH(1,(Transcriptome!$A$2:$A$28=$B10)*(Transcriptome!$C$2:$C$28=$E10),0))</f>
        <v>0.48523180165768648</v>
      </c>
      <c r="AV10">
        <f t="array" ref="AV10">INDEX(Transcriptome!S$2:S$28,MATCH(1,(Transcriptome!$A$2:$A$28=$B10)*(Transcriptome!$C$2:$C$28=$E10),0))</f>
        <v>0.50051495197747631</v>
      </c>
      <c r="AW10">
        <f t="array" ref="AW10">INDEX(Transcriptome!T$2:T$28,MATCH(1,(Transcriptome!$A$2:$A$28=$B10)*(Transcriptome!$C$2:$C$28=$E10),0))</f>
        <v>1.1402892565540921</v>
      </c>
      <c r="AX10">
        <f t="array" ref="AX10">INDEX(Transcriptome!U$2:U$28,MATCH(1,(Transcriptome!$A$2:$A$28=$B10)*(Transcriptome!$C$2:$C$28=$E10),0))</f>
        <v>3.4643967211167714</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0.87510624714564267</v>
      </c>
      <c r="BB10">
        <f t="array" ref="BB10">INDEX(Transcriptome!Y$2:Y$28,MATCH(1,(Transcriptome!$A$2:$A$28=$B10)*(Transcriptome!$C$2:$C$28=$E10),0))</f>
        <v>0</v>
      </c>
      <c r="BC10">
        <f t="array" ref="BC10">INDEX(Transcriptome!Z$2:Z$28,MATCH(1,(Transcriptome!$A$2:$A$28=$B10)*(Transcriptome!$C$2:$C$28=$E10),0))</f>
        <v>1.1758464976407674</v>
      </c>
      <c r="BD10">
        <f t="array" ref="BD10">INDEX(Transcriptome!AA$2:AA$28,MATCH(1,(Transcriptome!$A$2:$A$28=$B10)*(Transcriptome!$C$2:$C$28=$E10),0))</f>
        <v>1.1856347805545291</v>
      </c>
      <c r="BE10">
        <f t="array" ref="BE10">INDEX(Transcriptome!AB$2:AB$28,MATCH(1,(Transcriptome!$A$2:$A$28=$B10)*(Transcriptome!$C$2:$C$28=$E10),0))</f>
        <v>0.41555972801663571</v>
      </c>
      <c r="BF10">
        <f t="array" ref="BF10">INDEX(Transcriptome!AC$2:AC$28,MATCH(1,(Transcriptome!$A$2:$A$28=$B10)*(Transcriptome!$C$2:$C$28=$E10),0))</f>
        <v>0.96864944883128323</v>
      </c>
      <c r="BG10">
        <f t="array" ref="BG10">INDEX(Transcriptome!AD$2:AD$28,MATCH(1,(Transcriptome!$A$2:$A$28=$B10)*(Transcriptome!$C$2:$C$28=$E10),0))</f>
        <v>0.79079982721062669</v>
      </c>
      <c r="BH10">
        <f t="array" ref="BH10">INDEX(Transcriptome!AE$2:AE$28,MATCH(1,(Transcriptome!$A$2:$A$28=$B10)*(Transcriptome!$C$2:$C$28=$E10),0))</f>
        <v>1.3785459319267952</v>
      </c>
      <c r="BI10">
        <f t="array" ref="BI10">INDEX(Transcriptome!AF$2:AF$28,MATCH(1,(Transcriptome!$A$2:$A$28=$B10)*(Transcriptome!$C$2:$C$28=$E10),0))</f>
        <v>0.58252952595385121</v>
      </c>
      <c r="BJ10">
        <f t="array" ref="BJ10">INDEX(Transcriptome!AG$2:AG$28,MATCH(1,(Transcriptome!$A$2:$A$28=$B10)*(Transcriptome!$C$2:$C$28=$E10),0))</f>
        <v>0.45944021113968969</v>
      </c>
      <c r="BK10">
        <f t="array" ref="BK10">INDEX(Transcriptome!AH$2:AH$28,MATCH(1,(Transcriptome!$A$2:$A$28=$B10)*(Transcriptome!$C$2:$C$28=$E10),0))</f>
        <v>1.939908553060264</v>
      </c>
      <c r="BL10">
        <f t="array" ref="BL10">INDEX(Transcriptome!AI$2:AI$28,MATCH(1,(Transcriptome!$A$2:$A$28=$B10)*(Transcriptome!$C$2:$C$28=$E10),0))</f>
        <v>0.72619141912955099</v>
      </c>
      <c r="BM10">
        <f t="array" ref="BM10">INDEX(Transcriptome!AJ$2:AJ$28,MATCH(1,(Transcriptome!$A$2:$A$28=$B10)*(Transcriptome!$C$2:$C$28=$E10),0))</f>
        <v>0.90634977146097617</v>
      </c>
      <c r="BN10">
        <f t="array" ref="BN10">INDEX(Transcriptome!AK$2:AK$28,MATCH(1,(Transcriptome!$A$2:$A$28=$B10)*(Transcriptome!$C$2:$C$28=$E10),0))</f>
        <v>0.67102238805073788</v>
      </c>
      <c r="BO10">
        <f t="array" ref="BO10">INDEX(Transcriptome!AL$2:AL$28,MATCH(1,(Transcriptome!$A$2:$A$28=$B10)*(Transcriptome!$C$2:$C$28=$E10),0))</f>
        <v>1</v>
      </c>
      <c r="BP10">
        <f t="array" ref="BP10">INDEX(Transcriptome!AM$2:AM$28,MATCH(1,(Transcriptome!$A$2:$A$28=$B10)*(Transcriptome!$C$2:$C$28=$E10),0))</f>
        <v>0.71846570694758194</v>
      </c>
      <c r="BQ10">
        <f t="array" ref="BQ10">INDEX(Transcriptome!AN$2:AN$28,MATCH(1,(Transcriptome!$A$2:$A$28=$B10)*(Transcriptome!$C$2:$C$28=$E10),0))</f>
        <v>1.0357204335376631</v>
      </c>
      <c r="BR10">
        <f t="array" ref="BR10">INDEX(Transcriptome!AO$2:AO$28,MATCH(1,(Transcriptome!$A$2:$A$28=$B10)*(Transcriptome!$C$2:$C$28=$E10),0))</f>
        <v>1.0236705943541682</v>
      </c>
      <c r="BS10">
        <f t="array" ref="BS10">INDEX(Transcriptome!AP$2:AP$28,MATCH(1,(Transcriptome!$A$2:$A$28=$B10)*(Transcriptome!$C$2:$C$28=$E10),0))</f>
        <v>1.0475790988612137</v>
      </c>
      <c r="BT10">
        <f t="array" ref="BT10">INDEX(Transcriptome!AQ$2:AQ$28,MATCH(1,(Transcriptome!$A$2:$A$28=$B10)*(Transcriptome!$C$2:$C$28=$E10),0))</f>
        <v>1.3391539448359624</v>
      </c>
      <c r="BU10">
        <f t="array" ref="BU10">INDEX(Transcriptome!AR$2:AR$28,MATCH(1,(Transcriptome!$A$2:$A$28=$B10)*(Transcriptome!$C$2:$C$28=$E10),0))</f>
        <v>0.7013917915350385</v>
      </c>
      <c r="BV10">
        <f t="array" ref="BV10">INDEX(Transcriptome!AS$2:AS$28,MATCH(1,(Transcriptome!$A$2:$A$28=$B10)*(Transcriptome!$C$2:$C$28=$E10),0))</f>
        <v>0.89631091004770125</v>
      </c>
      <c r="BW10">
        <f t="array" ref="BW10">INDEX(Transcriptome!AT$2:AT$28,MATCH(1,(Transcriptome!$A$2:$A$28=$B10)*(Transcriptome!$C$2:$C$28=$E10),0))</f>
        <v>0.74015048266825856</v>
      </c>
      <c r="BX10">
        <f t="array" ref="BX10">INDEX(Transcriptome!AU$2:AU$28,MATCH(1,(Transcriptome!$A$2:$A$28=$B10)*(Transcriptome!$C$2:$C$28=$E10),0))</f>
        <v>1.6833342666062783</v>
      </c>
      <c r="BY10">
        <f t="array" ref="BY10">INDEX(Transcriptome!AV$2:AV$28,MATCH(1,(Transcriptome!$A$2:$A$28=$B10)*(Transcriptome!$C$2:$C$28=$E10),0))</f>
        <v>0.64230900615145092</v>
      </c>
      <c r="BZ10">
        <f t="array" ref="BZ10">INDEX(Transcriptome!AW$2:AW$28,MATCH(1,(Transcriptome!$A$2:$A$28=$B10)*(Transcriptome!$C$2:$C$28=$E10),0))</f>
        <v>0.81740021810874552</v>
      </c>
      <c r="CA10">
        <f t="array" ref="CA10">INDEX(Transcriptome!AX$2:AX$28,MATCH(1,(Transcriptome!$A$2:$A$28=$B10)*(Transcriptome!$C$2:$C$28=$E10),0))</f>
        <v>0.81543264067946697</v>
      </c>
      <c r="CB10">
        <f t="array" ref="CB10">INDEX(Transcriptome!AY$2:AY$28,MATCH(1,(Transcriptome!$A$2:$A$28=$B10)*(Transcriptome!$C$2:$C$28=$E10),0))</f>
        <v>0.893387807520859</v>
      </c>
      <c r="CC10">
        <f t="array" ref="CC10">INDEX(Transcriptome!AZ$2:AZ$28,MATCH(1,(Transcriptome!$A$2:$A$28=$B10)*(Transcriptome!$C$2:$C$28=$E10),0))</f>
        <v>0.58478305735162239</v>
      </c>
      <c r="CD10">
        <f t="array" ref="CD10">INDEX(Transcriptome!BA$2:BA$28,MATCH(1,(Transcriptome!$A$2:$A$28=$B10)*(Transcriptome!$C$2:$C$28=$E10),0))</f>
        <v>1.9527807129586991</v>
      </c>
      <c r="CE10">
        <f t="array" ref="CE10">INDEX(Transcriptome!BB$2:BB$28,MATCH(1,(Transcriptome!$A$2:$A$28=$B10)*(Transcriptome!$C$2:$C$28=$E10),0))</f>
        <v>2.0477445468289903</v>
      </c>
      <c r="CF10">
        <f t="array" ref="CF10">INDEX(Transcriptome!BC$2:BC$28,MATCH(1,(Transcriptome!$A$2:$A$28=$B10)*(Transcriptome!$C$2:$C$28=$E10),0))</f>
        <v>0</v>
      </c>
      <c r="CG10">
        <f t="array" ref="CG10">INDEX(Transcriptome!BD$2:BD$28,MATCH(1,(Transcriptome!$A$2:$A$28=$B10)*(Transcriptome!$C$2:$C$28=$E10),0))</f>
        <v>1.5191296600446986</v>
      </c>
      <c r="CH10">
        <f t="array" ref="CH10">INDEX(Transcriptome!BE$2:BE$28,MATCH(1,(Transcriptome!$A$2:$A$28=$B10)*(Transcriptome!$C$2:$C$28=$E10),0))</f>
        <v>1.7681049434294362</v>
      </c>
      <c r="CI10">
        <f t="array" ref="CI10">INDEX(Transcriptome!BF$2:BF$28,MATCH(1,(Transcriptome!$A$2:$A$28=$B10)*(Transcriptome!$C$2:$C$28=$E10),0))</f>
        <v>1.6268835883508099</v>
      </c>
      <c r="CJ10">
        <f t="array" ref="CJ10">INDEX(Transcriptome!BG$2:BG$28,MATCH(1,(Transcriptome!$A$2:$A$28=$B10)*(Transcriptome!$C$2:$C$28=$E10),0))</f>
        <v>2.413292939876015</v>
      </c>
      <c r="CK10">
        <f t="array" ref="CK10">INDEX(Transcriptome!BH$2:BH$28,MATCH(1,(Transcriptome!$A$2:$A$28=$B10)*(Transcriptome!$C$2:$C$28=$E10),0))</f>
        <v>0.63533544697226152</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3.227995319787698</v>
      </c>
      <c r="CO10">
        <f t="array" ref="CO10">INDEX(Transcriptome!BL$2:BL$28,MATCH(1,(Transcriptome!$A$2:$A$28=$B10)*(Transcriptome!$C$2:$C$28=$E10),0))</f>
        <v>2.409150222629028</v>
      </c>
      <c r="CP10">
        <f t="array" ref="CP10">INDEX(Transcriptome!BM$2:BM$28,MATCH(1,(Transcriptome!$A$2:$A$28=$B10)*(Transcriptome!$C$2:$C$28=$E10),0))</f>
        <v>0.63561956761477334</v>
      </c>
      <c r="CQ10">
        <f t="array" ref="CQ10">INDEX(Transcriptome!BN$2:BN$28,MATCH(1,(Transcriptome!$A$2:$A$28=$B10)*(Transcriptome!$C$2:$C$28=$E10),0))</f>
        <v>35.829358617439233</v>
      </c>
      <c r="CR10">
        <f t="array" ref="CR10">INDEX(Transcriptome!BO$2:BO$28,MATCH(1,(Transcriptome!$A$2:$A$28=$B10)*(Transcriptome!$C$2:$C$28=$E10),0))</f>
        <v>1.7293328826763994</v>
      </c>
      <c r="CS10">
        <f t="array" ref="CS10">INDEX(Transcriptome!BP$2:BP$28,MATCH(1,(Transcriptome!$A$2:$A$28=$B10)*(Transcriptome!$C$2:$C$28=$E10),0))</f>
        <v>0.63533544697226152</v>
      </c>
      <c r="CT10">
        <f t="array" ref="CT10">INDEX(Transcriptome!BQ$2:BQ$28,MATCH(1,(Transcriptome!$A$2:$A$28=$B10)*(Transcriptome!$C$2:$C$28=$E10),0))</f>
        <v>1</v>
      </c>
      <c r="CU10">
        <f t="array" ref="CU10">INDEX(Transcriptome!BR$2:BR$28,MATCH(1,(Transcriptome!$A$2:$A$28=$B10)*(Transcriptome!$C$2:$C$28=$E10),0))</f>
        <v>1.3684624405766486</v>
      </c>
    </row>
    <row r="11" spans="1:99">
      <c r="A11">
        <f>'Measured Data'!A16</f>
        <v>9</v>
      </c>
      <c r="B11" t="s">
        <v>583</v>
      </c>
      <c r="C11" s="324" t="s">
        <v>586</v>
      </c>
      <c r="D11">
        <v>1</v>
      </c>
      <c r="E11" t="s">
        <v>511</v>
      </c>
      <c r="F11" s="477">
        <f>'Growth Regression'!R11</f>
        <v>9.4010416666642413</v>
      </c>
      <c r="G11" s="477">
        <f>'Growth Regression'!S11</f>
        <v>225.62499999994179</v>
      </c>
      <c r="H11">
        <f>AVERAGE('TL input - regression'!L11:L12)</f>
        <v>7.909811496702857</v>
      </c>
      <c r="I11">
        <f>AVERAGE('TL input - regression'!M11:M12)</f>
        <v>9.9911190053285974</v>
      </c>
      <c r="J11">
        <f>AVERAGE('TL input - regression'!N11:N12)</f>
        <v>3.2664999999999997</v>
      </c>
      <c r="K11">
        <f>AVERAGE('TL input - regression'!O11:O12)</f>
        <v>5.8499999999999996E-2</v>
      </c>
      <c r="L11">
        <f>AVERAGE('TL input - regression'!P11:P12)</f>
        <v>2.9660000000000002</v>
      </c>
      <c r="M11">
        <f>'Growth Regression'!P11</f>
        <v>5.2688161294544029E-3</v>
      </c>
      <c r="N11">
        <f>M11/'Growth Regression'!$O$24</f>
        <v>0.19658592023021904</v>
      </c>
      <c r="O11">
        <f>'Post Process Calc.'!C29</f>
        <v>3.7880847555194587E-2</v>
      </c>
      <c r="P11">
        <f>'Post Process Calc.'!D29</f>
        <v>-6.8538510221468401E-3</v>
      </c>
      <c r="Q11">
        <f>'Post Process Calc.'!E29</f>
        <v>2.086483329753267E-4</v>
      </c>
      <c r="R11">
        <f>'Post Process Calc.'!F29</f>
        <v>3.1477714773716346E-3</v>
      </c>
      <c r="S11">
        <f>'Post Process Calc.'!G29</f>
        <v>7.4134229657445638E-4</v>
      </c>
      <c r="T11">
        <f t="shared" si="2"/>
        <v>-0.18093182873377853</v>
      </c>
      <c r="U11">
        <f t="shared" si="4"/>
        <v>23.675529721996615</v>
      </c>
      <c r="V11">
        <f t="shared" si="4"/>
        <v>-4.283656888841775</v>
      </c>
      <c r="W11">
        <f t="shared" si="0"/>
        <v>0.13040520810957917</v>
      </c>
      <c r="X11">
        <f t="shared" si="0"/>
        <v>1.9673571733572714</v>
      </c>
      <c r="Y11">
        <f t="shared" si="0"/>
        <v>0.4633389353590352</v>
      </c>
      <c r="Z11">
        <v>100</v>
      </c>
      <c r="AA11">
        <v>0.32</v>
      </c>
      <c r="AB11">
        <v>7</v>
      </c>
      <c r="AC11">
        <v>0.7</v>
      </c>
      <c r="AD11">
        <f t="shared" si="1"/>
        <v>5.0118723362727164E-8</v>
      </c>
      <c r="AE11">
        <v>1</v>
      </c>
      <c r="AF11">
        <v>0.311</v>
      </c>
      <c r="AG11">
        <f t="array" ref="AG11">INDEX(Transcriptome!D$2:D$28,MATCH(1,(Transcriptome!$A$2:$A$28=$B11)*(Transcriptome!$C$2:$C$28=$E11),0))</f>
        <v>0.83983334541737553</v>
      </c>
      <c r="AH11">
        <f t="array" ref="AH11">INDEX(Transcriptome!E$2:E$28,MATCH(1,(Transcriptome!$A$2:$A$28=$B11)*(Transcriptome!$C$2:$C$28=$E11),0))</f>
        <v>1.4975813108811158</v>
      </c>
      <c r="AI11">
        <f t="array" ref="AI11">INDEX(Transcriptome!F$2:F$28,MATCH(1,(Transcriptome!$A$2:$A$28=$B11)*(Transcriptome!$C$2:$C$28=$E11),0))</f>
        <v>1.0863645413117049</v>
      </c>
      <c r="AJ11">
        <f t="array" ref="AJ11">INDEX(Transcriptome!G$2:G$28,MATCH(1,(Transcriptome!$A$2:$A$28=$B11)*(Transcriptome!$C$2:$C$28=$E11),0))</f>
        <v>1.3992148799643307</v>
      </c>
      <c r="AK11">
        <f t="array" ref="AK11">INDEX(Transcriptome!H$2:H$28,MATCH(1,(Transcriptome!$A$2:$A$28=$B11)*(Transcriptome!$C$2:$C$28=$E11),0))</f>
        <v>0</v>
      </c>
      <c r="AL11">
        <f t="array" ref="AL11">INDEX(Transcriptome!I$2:I$28,MATCH(1,(Transcriptome!$A$2:$A$28=$B11)*(Transcriptome!$C$2:$C$28=$E11),0))</f>
        <v>1.2396994996744981</v>
      </c>
      <c r="AM11">
        <f t="array" ref="AM11">INDEX(Transcriptome!J$2:J$28,MATCH(1,(Transcriptome!$A$2:$A$28=$B11)*(Transcriptome!$C$2:$C$28=$E11),0))</f>
        <v>1.077378839510045</v>
      </c>
      <c r="AN11">
        <f t="array" ref="AN11">INDEX(Transcriptome!K$2:K$28,MATCH(1,(Transcriptome!$A$2:$A$28=$B11)*(Transcriptome!$C$2:$C$28=$E11),0))</f>
        <v>1.048943045540466</v>
      </c>
      <c r="AO11">
        <f t="array" ref="AO11">INDEX(Transcriptome!L$2:L$28,MATCH(1,(Transcriptome!$A$2:$A$28=$B11)*(Transcriptome!$C$2:$C$28=$E11),0))</f>
        <v>1.0386505599989455</v>
      </c>
      <c r="AP11">
        <f t="array" ref="AP11">INDEX(Transcriptome!M$2:M$28,MATCH(1,(Transcriptome!$A$2:$A$28=$B11)*(Transcriptome!$C$2:$C$28=$E11),0))</f>
        <v>1.3921248660596082</v>
      </c>
      <c r="AQ11">
        <f t="array" ref="AQ11">INDEX(Transcriptome!N$2:N$28,MATCH(1,(Transcriptome!$A$2:$A$28=$B11)*(Transcriptome!$C$2:$C$28=$E11),0))</f>
        <v>0.80428662927176275</v>
      </c>
      <c r="AR11">
        <f t="array" ref="AR11">INDEX(Transcriptome!O$2:O$28,MATCH(1,(Transcriptome!$A$2:$A$28=$B11)*(Transcriptome!$C$2:$C$28=$E11),0))</f>
        <v>1.1511693155225196</v>
      </c>
      <c r="AS11">
        <f t="array" ref="AS11">INDEX(Transcriptome!P$2:P$28,MATCH(1,(Transcriptome!$A$2:$A$28=$B11)*(Transcriptome!$C$2:$C$28=$E11),0))</f>
        <v>1.2129804210902995</v>
      </c>
      <c r="AT11">
        <f t="array" ref="AT11">INDEX(Transcriptome!Q$2:Q$28,MATCH(1,(Transcriptome!$A$2:$A$28=$B11)*(Transcriptome!$C$2:$C$28=$E11),0))</f>
        <v>0.60167449878388157</v>
      </c>
      <c r="AU11">
        <f t="array" ref="AU11">INDEX(Transcriptome!R$2:R$28,MATCH(1,(Transcriptome!$A$2:$A$28=$B11)*(Transcriptome!$C$2:$C$28=$E11),0))</f>
        <v>0.48523180165768648</v>
      </c>
      <c r="AV11">
        <f t="array" ref="AV11">INDEX(Transcriptome!S$2:S$28,MATCH(1,(Transcriptome!$A$2:$A$28=$B11)*(Transcriptome!$C$2:$C$28=$E11),0))</f>
        <v>0.50051495197747631</v>
      </c>
      <c r="AW11">
        <f t="array" ref="AW11">INDEX(Transcriptome!T$2:T$28,MATCH(1,(Transcriptome!$A$2:$A$28=$B11)*(Transcriptome!$C$2:$C$28=$E11),0))</f>
        <v>1.1402892565540921</v>
      </c>
      <c r="AX11">
        <f t="array" ref="AX11">INDEX(Transcriptome!U$2:U$28,MATCH(1,(Transcriptome!$A$2:$A$28=$B11)*(Transcriptome!$C$2:$C$28=$E11),0))</f>
        <v>3.4643967211167714</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0.87510624714564267</v>
      </c>
      <c r="BB11">
        <f t="array" ref="BB11">INDEX(Transcriptome!Y$2:Y$28,MATCH(1,(Transcriptome!$A$2:$A$28=$B11)*(Transcriptome!$C$2:$C$28=$E11),0))</f>
        <v>0</v>
      </c>
      <c r="BC11">
        <f t="array" ref="BC11">INDEX(Transcriptome!Z$2:Z$28,MATCH(1,(Transcriptome!$A$2:$A$28=$B11)*(Transcriptome!$C$2:$C$28=$E11),0))</f>
        <v>1.1758464976407674</v>
      </c>
      <c r="BD11">
        <f t="array" ref="BD11">INDEX(Transcriptome!AA$2:AA$28,MATCH(1,(Transcriptome!$A$2:$A$28=$B11)*(Transcriptome!$C$2:$C$28=$E11),0))</f>
        <v>1.1856347805545291</v>
      </c>
      <c r="BE11">
        <f t="array" ref="BE11">INDEX(Transcriptome!AB$2:AB$28,MATCH(1,(Transcriptome!$A$2:$A$28=$B11)*(Transcriptome!$C$2:$C$28=$E11),0))</f>
        <v>0.41555972801663571</v>
      </c>
      <c r="BF11">
        <f t="array" ref="BF11">INDEX(Transcriptome!AC$2:AC$28,MATCH(1,(Transcriptome!$A$2:$A$28=$B11)*(Transcriptome!$C$2:$C$28=$E11),0))</f>
        <v>0.96864944883128323</v>
      </c>
      <c r="BG11">
        <f t="array" ref="BG11">INDEX(Transcriptome!AD$2:AD$28,MATCH(1,(Transcriptome!$A$2:$A$28=$B11)*(Transcriptome!$C$2:$C$28=$E11),0))</f>
        <v>0.79079982721062669</v>
      </c>
      <c r="BH11">
        <f t="array" ref="BH11">INDEX(Transcriptome!AE$2:AE$28,MATCH(1,(Transcriptome!$A$2:$A$28=$B11)*(Transcriptome!$C$2:$C$28=$E11),0))</f>
        <v>1.3785459319267952</v>
      </c>
      <c r="BI11">
        <f t="array" ref="BI11">INDEX(Transcriptome!AF$2:AF$28,MATCH(1,(Transcriptome!$A$2:$A$28=$B11)*(Transcriptome!$C$2:$C$28=$E11),0))</f>
        <v>0.58252952595385121</v>
      </c>
      <c r="BJ11">
        <f t="array" ref="BJ11">INDEX(Transcriptome!AG$2:AG$28,MATCH(1,(Transcriptome!$A$2:$A$28=$B11)*(Transcriptome!$C$2:$C$28=$E11),0))</f>
        <v>0.45944021113968969</v>
      </c>
      <c r="BK11">
        <f t="array" ref="BK11">INDEX(Transcriptome!AH$2:AH$28,MATCH(1,(Transcriptome!$A$2:$A$28=$B11)*(Transcriptome!$C$2:$C$28=$E11),0))</f>
        <v>1.939908553060264</v>
      </c>
      <c r="BL11">
        <f t="array" ref="BL11">INDEX(Transcriptome!AI$2:AI$28,MATCH(1,(Transcriptome!$A$2:$A$28=$B11)*(Transcriptome!$C$2:$C$28=$E11),0))</f>
        <v>0.72619141912955099</v>
      </c>
      <c r="BM11">
        <f t="array" ref="BM11">INDEX(Transcriptome!AJ$2:AJ$28,MATCH(1,(Transcriptome!$A$2:$A$28=$B11)*(Transcriptome!$C$2:$C$28=$E11),0))</f>
        <v>0.90634977146097617</v>
      </c>
      <c r="BN11">
        <f t="array" ref="BN11">INDEX(Transcriptome!AK$2:AK$28,MATCH(1,(Transcriptome!$A$2:$A$28=$B11)*(Transcriptome!$C$2:$C$28=$E11),0))</f>
        <v>0.67102238805073788</v>
      </c>
      <c r="BO11">
        <f t="array" ref="BO11">INDEX(Transcriptome!AL$2:AL$28,MATCH(1,(Transcriptome!$A$2:$A$28=$B11)*(Transcriptome!$C$2:$C$28=$E11),0))</f>
        <v>1</v>
      </c>
      <c r="BP11">
        <f t="array" ref="BP11">INDEX(Transcriptome!AM$2:AM$28,MATCH(1,(Transcriptome!$A$2:$A$28=$B11)*(Transcriptome!$C$2:$C$28=$E11),0))</f>
        <v>0.71846570694758194</v>
      </c>
      <c r="BQ11">
        <f t="array" ref="BQ11">INDEX(Transcriptome!AN$2:AN$28,MATCH(1,(Transcriptome!$A$2:$A$28=$B11)*(Transcriptome!$C$2:$C$28=$E11),0))</f>
        <v>1.0357204335376631</v>
      </c>
      <c r="BR11">
        <f t="array" ref="BR11">INDEX(Transcriptome!AO$2:AO$28,MATCH(1,(Transcriptome!$A$2:$A$28=$B11)*(Transcriptome!$C$2:$C$28=$E11),0))</f>
        <v>1.0236705943541682</v>
      </c>
      <c r="BS11">
        <f t="array" ref="BS11">INDEX(Transcriptome!AP$2:AP$28,MATCH(1,(Transcriptome!$A$2:$A$28=$B11)*(Transcriptome!$C$2:$C$28=$E11),0))</f>
        <v>1.0475790988612137</v>
      </c>
      <c r="BT11">
        <f t="array" ref="BT11">INDEX(Transcriptome!AQ$2:AQ$28,MATCH(1,(Transcriptome!$A$2:$A$28=$B11)*(Transcriptome!$C$2:$C$28=$E11),0))</f>
        <v>1.3391539448359624</v>
      </c>
      <c r="BU11">
        <f t="array" ref="BU11">INDEX(Transcriptome!AR$2:AR$28,MATCH(1,(Transcriptome!$A$2:$A$28=$B11)*(Transcriptome!$C$2:$C$28=$E11),0))</f>
        <v>0.7013917915350385</v>
      </c>
      <c r="BV11">
        <f t="array" ref="BV11">INDEX(Transcriptome!AS$2:AS$28,MATCH(1,(Transcriptome!$A$2:$A$28=$B11)*(Transcriptome!$C$2:$C$28=$E11),0))</f>
        <v>0.89631091004770125</v>
      </c>
      <c r="BW11">
        <f t="array" ref="BW11">INDEX(Transcriptome!AT$2:AT$28,MATCH(1,(Transcriptome!$A$2:$A$28=$B11)*(Transcriptome!$C$2:$C$28=$E11),0))</f>
        <v>0.74015048266825856</v>
      </c>
      <c r="BX11">
        <f t="array" ref="BX11">INDEX(Transcriptome!AU$2:AU$28,MATCH(1,(Transcriptome!$A$2:$A$28=$B11)*(Transcriptome!$C$2:$C$28=$E11),0))</f>
        <v>1.6833342666062783</v>
      </c>
      <c r="BY11">
        <f t="array" ref="BY11">INDEX(Transcriptome!AV$2:AV$28,MATCH(1,(Transcriptome!$A$2:$A$28=$B11)*(Transcriptome!$C$2:$C$28=$E11),0))</f>
        <v>0.64230900615145092</v>
      </c>
      <c r="BZ11">
        <f t="array" ref="BZ11">INDEX(Transcriptome!AW$2:AW$28,MATCH(1,(Transcriptome!$A$2:$A$28=$B11)*(Transcriptome!$C$2:$C$28=$E11),0))</f>
        <v>0.81740021810874552</v>
      </c>
      <c r="CA11">
        <f t="array" ref="CA11">INDEX(Transcriptome!AX$2:AX$28,MATCH(1,(Transcriptome!$A$2:$A$28=$B11)*(Transcriptome!$C$2:$C$28=$E11),0))</f>
        <v>0.81543264067946697</v>
      </c>
      <c r="CB11">
        <f t="array" ref="CB11">INDEX(Transcriptome!AY$2:AY$28,MATCH(1,(Transcriptome!$A$2:$A$28=$B11)*(Transcriptome!$C$2:$C$28=$E11),0))</f>
        <v>0.893387807520859</v>
      </c>
      <c r="CC11">
        <f t="array" ref="CC11">INDEX(Transcriptome!AZ$2:AZ$28,MATCH(1,(Transcriptome!$A$2:$A$28=$B11)*(Transcriptome!$C$2:$C$28=$E11),0))</f>
        <v>0.58478305735162239</v>
      </c>
      <c r="CD11">
        <f t="array" ref="CD11">INDEX(Transcriptome!BA$2:BA$28,MATCH(1,(Transcriptome!$A$2:$A$28=$B11)*(Transcriptome!$C$2:$C$28=$E11),0))</f>
        <v>1.9527807129586991</v>
      </c>
      <c r="CE11">
        <f t="array" ref="CE11">INDEX(Transcriptome!BB$2:BB$28,MATCH(1,(Transcriptome!$A$2:$A$28=$B11)*(Transcriptome!$C$2:$C$28=$E11),0))</f>
        <v>2.0477445468289903</v>
      </c>
      <c r="CF11">
        <f t="array" ref="CF11">INDEX(Transcriptome!BC$2:BC$28,MATCH(1,(Transcriptome!$A$2:$A$28=$B11)*(Transcriptome!$C$2:$C$28=$E11),0))</f>
        <v>0</v>
      </c>
      <c r="CG11">
        <f t="array" ref="CG11">INDEX(Transcriptome!BD$2:BD$28,MATCH(1,(Transcriptome!$A$2:$A$28=$B11)*(Transcriptome!$C$2:$C$28=$E11),0))</f>
        <v>1.5191296600446986</v>
      </c>
      <c r="CH11">
        <f t="array" ref="CH11">INDEX(Transcriptome!BE$2:BE$28,MATCH(1,(Transcriptome!$A$2:$A$28=$B11)*(Transcriptome!$C$2:$C$28=$E11),0))</f>
        <v>1.7681049434294362</v>
      </c>
      <c r="CI11">
        <f t="array" ref="CI11">INDEX(Transcriptome!BF$2:BF$28,MATCH(1,(Transcriptome!$A$2:$A$28=$B11)*(Transcriptome!$C$2:$C$28=$E11),0))</f>
        <v>1.6268835883508099</v>
      </c>
      <c r="CJ11">
        <f t="array" ref="CJ11">INDEX(Transcriptome!BG$2:BG$28,MATCH(1,(Transcriptome!$A$2:$A$28=$B11)*(Transcriptome!$C$2:$C$28=$E11),0))</f>
        <v>2.413292939876015</v>
      </c>
      <c r="CK11">
        <f t="array" ref="CK11">INDEX(Transcriptome!BH$2:BH$28,MATCH(1,(Transcriptome!$A$2:$A$28=$B11)*(Transcriptome!$C$2:$C$28=$E11),0))</f>
        <v>0.63533544697226152</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3.227995319787698</v>
      </c>
      <c r="CO11">
        <f t="array" ref="CO11">INDEX(Transcriptome!BL$2:BL$28,MATCH(1,(Transcriptome!$A$2:$A$28=$B11)*(Transcriptome!$C$2:$C$28=$E11),0))</f>
        <v>2.409150222629028</v>
      </c>
      <c r="CP11">
        <f t="array" ref="CP11">INDEX(Transcriptome!BM$2:BM$28,MATCH(1,(Transcriptome!$A$2:$A$28=$B11)*(Transcriptome!$C$2:$C$28=$E11),0))</f>
        <v>0.63561956761477334</v>
      </c>
      <c r="CQ11">
        <f t="array" ref="CQ11">INDEX(Transcriptome!BN$2:BN$28,MATCH(1,(Transcriptome!$A$2:$A$28=$B11)*(Transcriptome!$C$2:$C$28=$E11),0))</f>
        <v>35.829358617439233</v>
      </c>
      <c r="CR11">
        <f t="array" ref="CR11">INDEX(Transcriptome!BO$2:BO$28,MATCH(1,(Transcriptome!$A$2:$A$28=$B11)*(Transcriptome!$C$2:$C$28=$E11),0))</f>
        <v>1.7293328826763994</v>
      </c>
      <c r="CS11">
        <f t="array" ref="CS11">INDEX(Transcriptome!BP$2:BP$28,MATCH(1,(Transcriptome!$A$2:$A$28=$B11)*(Transcriptome!$C$2:$C$28=$E11),0))</f>
        <v>0.63533544697226152</v>
      </c>
      <c r="CT11">
        <f t="array" ref="CT11">INDEX(Transcriptome!BQ$2:BQ$28,MATCH(1,(Transcriptome!$A$2:$A$28=$B11)*(Transcriptome!$C$2:$C$28=$E11),0))</f>
        <v>1</v>
      </c>
      <c r="CU11">
        <f t="array" ref="CU11">INDEX(Transcriptome!BR$2:BR$28,MATCH(1,(Transcriptome!$A$2:$A$28=$B11)*(Transcriptome!$C$2:$C$28=$E11),0))</f>
        <v>1.3684624405766486</v>
      </c>
    </row>
    <row r="12" spans="1:99">
      <c r="A12">
        <f>'Measured Data'!A17</f>
        <v>10</v>
      </c>
      <c r="B12" t="s">
        <v>583</v>
      </c>
      <c r="C12" s="324" t="s">
        <v>586</v>
      </c>
      <c r="D12">
        <v>1</v>
      </c>
      <c r="E12" t="s">
        <v>512</v>
      </c>
      <c r="F12" s="477">
        <f>'Growth Regression'!R12</f>
        <v>10.417013888887595</v>
      </c>
      <c r="G12" s="477">
        <f>'Growth Regression'!S12</f>
        <v>250.00833333330229</v>
      </c>
      <c r="H12">
        <f>AVERAGE('TL input - regression'!L12:L13)</f>
        <v>7.0771997602078187</v>
      </c>
      <c r="I12">
        <f>AVERAGE('TL input - regression'!M12:M13)</f>
        <v>6.9937833037300177</v>
      </c>
      <c r="J12">
        <f>AVERAGE('TL input - regression'!N12:N13)</f>
        <v>3.0214999999999996</v>
      </c>
      <c r="K12">
        <f>AVERAGE('TL input - regression'!O12:O13)</f>
        <v>6.3500000000000001E-2</v>
      </c>
      <c r="L12">
        <f>AVERAGE('TL input - regression'!P12:P13)</f>
        <v>2.367</v>
      </c>
      <c r="M12">
        <f>'Growth Regression'!P12</f>
        <v>2.9739976768820516E-3</v>
      </c>
      <c r="N12">
        <f>M12/'Growth Regression'!$O$24</f>
        <v>0.11096346042596349</v>
      </c>
      <c r="O12">
        <f>'Post Process Calc.'!C30</f>
        <v>3.965068573274054E-2</v>
      </c>
      <c r="P12">
        <f>'Post Process Calc.'!D30</f>
        <v>-9.5554263032342351E-3</v>
      </c>
      <c r="Q12">
        <f>'Post Process Calc.'!E30</f>
        <v>8.4593502171075735E-4</v>
      </c>
      <c r="R12">
        <f>'Post Process Calc.'!F30</f>
        <v>2.5850165627287693E-3</v>
      </c>
      <c r="S12">
        <f>'Post Process Calc.'!G30</f>
        <v>9.9397617805387344E-4</v>
      </c>
      <c r="T12">
        <f t="shared" si="2"/>
        <v>-0.24099019037504529</v>
      </c>
      <c r="U12">
        <f t="shared" si="4"/>
        <v>24.781678582962837</v>
      </c>
      <c r="V12">
        <f t="shared" si="4"/>
        <v>-5.9721414395213968</v>
      </c>
      <c r="W12">
        <f t="shared" si="0"/>
        <v>0.52870938856922334</v>
      </c>
      <c r="X12">
        <f t="shared" si="0"/>
        <v>1.6156353517054807</v>
      </c>
      <c r="Y12">
        <f t="shared" si="0"/>
        <v>0.62123511128367093</v>
      </c>
      <c r="Z12">
        <v>100</v>
      </c>
      <c r="AA12">
        <v>0.32</v>
      </c>
      <c r="AB12">
        <v>7</v>
      </c>
      <c r="AC12">
        <v>0.7</v>
      </c>
      <c r="AD12">
        <f t="shared" si="1"/>
        <v>5.0118723362727164E-8</v>
      </c>
      <c r="AE12">
        <v>1</v>
      </c>
      <c r="AF12">
        <v>0.311</v>
      </c>
      <c r="AG12">
        <f t="array" ref="AG12">INDEX(Transcriptome!D$2:D$28,MATCH(1,(Transcriptome!$A$2:$A$28=$B12)*(Transcriptome!$C$2:$C$28=$E12),0))</f>
        <v>0.84529065750573906</v>
      </c>
      <c r="AH12">
        <f t="array" ref="AH12">INDEX(Transcriptome!E$2:E$28,MATCH(1,(Transcriptome!$A$2:$A$28=$B12)*(Transcriptome!$C$2:$C$28=$E12),0))</f>
        <v>1.5123400042300514</v>
      </c>
      <c r="AI12">
        <f t="array" ref="AI12">INDEX(Transcriptome!F$2:F$28,MATCH(1,(Transcriptome!$A$2:$A$28=$B12)*(Transcriptome!$C$2:$C$28=$E12),0))</f>
        <v>1.0521277615350864</v>
      </c>
      <c r="AJ12">
        <f t="array" ref="AJ12">INDEX(Transcriptome!G$2:G$28,MATCH(1,(Transcriptome!$A$2:$A$28=$B12)*(Transcriptome!$C$2:$C$28=$E12),0))</f>
        <v>0.5133599657223511</v>
      </c>
      <c r="AK12">
        <f t="array" ref="AK12">INDEX(Transcriptome!H$2:H$28,MATCH(1,(Transcriptome!$A$2:$A$28=$B12)*(Transcriptome!$C$2:$C$28=$E12),0))</f>
        <v>0</v>
      </c>
      <c r="AL12">
        <f t="array" ref="AL12">INDEX(Transcriptome!I$2:I$28,MATCH(1,(Transcriptome!$A$2:$A$28=$B12)*(Transcriptome!$C$2:$C$28=$E12),0))</f>
        <v>1.2398152787243992</v>
      </c>
      <c r="AM12">
        <f t="array" ref="AM12">INDEX(Transcriptome!J$2:J$28,MATCH(1,(Transcriptome!$A$2:$A$28=$B12)*(Transcriptome!$C$2:$C$28=$E12),0))</f>
        <v>1.0261682969814343</v>
      </c>
      <c r="AN12">
        <f t="array" ref="AN12">INDEX(Transcriptome!K$2:K$28,MATCH(1,(Transcriptome!$A$2:$A$28=$B12)*(Transcriptome!$C$2:$C$28=$E12),0))</f>
        <v>0.95017518110960975</v>
      </c>
      <c r="AO12">
        <f t="array" ref="AO12">INDEX(Transcriptome!L$2:L$28,MATCH(1,(Transcriptome!$A$2:$A$28=$B12)*(Transcriptome!$C$2:$C$28=$E12),0))</f>
        <v>1.0437812111620428</v>
      </c>
      <c r="AP12">
        <f t="array" ref="AP12">INDEX(Transcriptome!M$2:M$28,MATCH(1,(Transcriptome!$A$2:$A$28=$B12)*(Transcriptome!$C$2:$C$28=$E12),0))</f>
        <v>1.258591198790004</v>
      </c>
      <c r="AQ12">
        <f t="array" ref="AQ12">INDEX(Transcriptome!N$2:N$28,MATCH(1,(Transcriptome!$A$2:$A$28=$B12)*(Transcriptome!$C$2:$C$28=$E12),0))</f>
        <v>0.77434648146572427</v>
      </c>
      <c r="AR12">
        <f t="array" ref="AR12">INDEX(Transcriptome!O$2:O$28,MATCH(1,(Transcriptome!$A$2:$A$28=$B12)*(Transcriptome!$C$2:$C$28=$E12),0))</f>
        <v>1.121291200027364</v>
      </c>
      <c r="AS12">
        <f t="array" ref="AS12">INDEX(Transcriptome!P$2:P$28,MATCH(1,(Transcriptome!$A$2:$A$28=$B12)*(Transcriptome!$C$2:$C$28=$E12),0))</f>
        <v>1.1614656927518718</v>
      </c>
      <c r="AT12">
        <f t="array" ref="AT12">INDEX(Transcriptome!Q$2:Q$28,MATCH(1,(Transcriptome!$A$2:$A$28=$B12)*(Transcriptome!$C$2:$C$28=$E12),0))</f>
        <v>0.59136874021180552</v>
      </c>
      <c r="AU12">
        <f t="array" ref="AU12">INDEX(Transcriptome!R$2:R$28,MATCH(1,(Transcriptome!$A$2:$A$28=$B12)*(Transcriptome!$C$2:$C$28=$E12),0))</f>
        <v>0.47269805732547182</v>
      </c>
      <c r="AV12">
        <f t="array" ref="AV12">INDEX(Transcriptome!S$2:S$28,MATCH(1,(Transcriptome!$A$2:$A$28=$B12)*(Transcriptome!$C$2:$C$28=$E12),0))</f>
        <v>0.474505313564063</v>
      </c>
      <c r="AW12">
        <f t="array" ref="AW12">INDEX(Transcriptome!T$2:T$28,MATCH(1,(Transcriptome!$A$2:$A$28=$B12)*(Transcriptome!$C$2:$C$28=$E12),0))</f>
        <v>1.0978419176178189</v>
      </c>
      <c r="AX12">
        <f t="array" ref="AX12">INDEX(Transcriptome!U$2:U$28,MATCH(1,(Transcriptome!$A$2:$A$28=$B12)*(Transcriptome!$C$2:$C$28=$E12),0))</f>
        <v>2.8509841652726999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0.84543020602019414</v>
      </c>
      <c r="BB12">
        <f t="array" ref="BB12">INDEX(Transcriptome!Y$2:Y$28,MATCH(1,(Transcriptome!$A$2:$A$28=$B12)*(Transcriptome!$C$2:$C$28=$E12),0))</f>
        <v>0</v>
      </c>
      <c r="BC12">
        <f t="array" ref="BC12">INDEX(Transcriptome!Z$2:Z$28,MATCH(1,(Transcriptome!$A$2:$A$28=$B12)*(Transcriptome!$C$2:$C$28=$E12),0))</f>
        <v>1.1999757206668764</v>
      </c>
      <c r="BD12">
        <f t="array" ref="BD12">INDEX(Transcriptome!AA$2:AA$28,MATCH(1,(Transcriptome!$A$2:$A$28=$B12)*(Transcriptome!$C$2:$C$28=$E12),0))</f>
        <v>1.1786179837995219</v>
      </c>
      <c r="BE12">
        <f t="array" ref="BE12">INDEX(Transcriptome!AB$2:AB$28,MATCH(1,(Transcriptome!$A$2:$A$28=$B12)*(Transcriptome!$C$2:$C$28=$E12),0))</f>
        <v>0.41419411976174364</v>
      </c>
      <c r="BF12">
        <f t="array" ref="BF12">INDEX(Transcriptome!AC$2:AC$28,MATCH(1,(Transcriptome!$A$2:$A$28=$B12)*(Transcriptome!$C$2:$C$28=$E12),0))</f>
        <v>0.98175251921782147</v>
      </c>
      <c r="BG12">
        <f t="array" ref="BG12">INDEX(Transcriptome!AD$2:AD$28,MATCH(1,(Transcriptome!$A$2:$A$28=$B12)*(Transcriptome!$C$2:$C$28=$E12),0))</f>
        <v>0.87998427903657706</v>
      </c>
      <c r="BH12">
        <f t="array" ref="BH12">INDEX(Transcriptome!AE$2:AE$28,MATCH(1,(Transcriptome!$A$2:$A$28=$B12)*(Transcriptome!$C$2:$C$28=$E12),0))</f>
        <v>1.4142784439316789</v>
      </c>
      <c r="BI12">
        <f t="array" ref="BI12">INDEX(Transcriptome!AF$2:AF$28,MATCH(1,(Transcriptome!$A$2:$A$28=$B12)*(Transcriptome!$C$2:$C$28=$E12),0))</f>
        <v>0.62050516044316251</v>
      </c>
      <c r="BJ12">
        <f t="array" ref="BJ12">INDEX(Transcriptome!AG$2:AG$28,MATCH(1,(Transcriptome!$A$2:$A$28=$B12)*(Transcriptome!$C$2:$C$28=$E12),0))</f>
        <v>0.47877111295830344</v>
      </c>
      <c r="BK12">
        <f t="array" ref="BK12">INDEX(Transcriptome!AH$2:AH$28,MATCH(1,(Transcriptome!$A$2:$A$28=$B12)*(Transcriptome!$C$2:$C$28=$E12),0))</f>
        <v>1.9424108020287747</v>
      </c>
      <c r="BL12">
        <f t="array" ref="BL12">INDEX(Transcriptome!AI$2:AI$28,MATCH(1,(Transcriptome!$A$2:$A$28=$B12)*(Transcriptome!$C$2:$C$28=$E12),0))</f>
        <v>0.69973249608039367</v>
      </c>
      <c r="BM12">
        <f t="array" ref="BM12">INDEX(Transcriptome!AJ$2:AJ$28,MATCH(1,(Transcriptome!$A$2:$A$28=$B12)*(Transcriptome!$C$2:$C$28=$E12),0))</f>
        <v>0.87016237596091195</v>
      </c>
      <c r="BN12">
        <f t="array" ref="BN12">INDEX(Transcriptome!AK$2:AK$28,MATCH(1,(Transcriptome!$A$2:$A$28=$B12)*(Transcriptome!$C$2:$C$28=$E12),0))</f>
        <v>0.6586808592339628</v>
      </c>
      <c r="BO12">
        <f t="array" ref="BO12">INDEX(Transcriptome!AL$2:AL$28,MATCH(1,(Transcriptome!$A$2:$A$28=$B12)*(Transcriptome!$C$2:$C$28=$E12),0))</f>
        <v>1</v>
      </c>
      <c r="BP12">
        <f t="array" ref="BP12">INDEX(Transcriptome!AM$2:AM$28,MATCH(1,(Transcriptome!$A$2:$A$28=$B12)*(Transcriptome!$C$2:$C$28=$E12),0))</f>
        <v>0.67957260004345588</v>
      </c>
      <c r="BQ12">
        <f t="array" ref="BQ12">INDEX(Transcriptome!AN$2:AN$28,MATCH(1,(Transcriptome!$A$2:$A$28=$B12)*(Transcriptome!$C$2:$C$28=$E12),0))</f>
        <v>1.0396865895601093</v>
      </c>
      <c r="BR12">
        <f t="array" ref="BR12">INDEX(Transcriptome!AO$2:AO$28,MATCH(1,(Transcriptome!$A$2:$A$28=$B12)*(Transcriptome!$C$2:$C$28=$E12),0))</f>
        <v>1.0737206253123761</v>
      </c>
      <c r="BS12">
        <f t="array" ref="BS12">INDEX(Transcriptome!AP$2:AP$28,MATCH(1,(Transcriptome!$A$2:$A$28=$B12)*(Transcriptome!$C$2:$C$28=$E12),0))</f>
        <v>1.043863376552195</v>
      </c>
      <c r="BT12">
        <f t="array" ref="BT12">INDEX(Transcriptome!AQ$2:AQ$28,MATCH(1,(Transcriptome!$A$2:$A$28=$B12)*(Transcriptome!$C$2:$C$28=$E12),0))</f>
        <v>1.3503170364365213</v>
      </c>
      <c r="BU12">
        <f t="array" ref="BU12">INDEX(Transcriptome!AR$2:AR$28,MATCH(1,(Transcriptome!$A$2:$A$28=$B12)*(Transcriptome!$C$2:$C$28=$E12),0))</f>
        <v>0.72050873297971718</v>
      </c>
      <c r="BV12">
        <f t="array" ref="BV12">INDEX(Transcriptome!AS$2:AS$28,MATCH(1,(Transcriptome!$A$2:$A$28=$B12)*(Transcriptome!$C$2:$C$28=$E12),0))</f>
        <v>0.90321144457455538</v>
      </c>
      <c r="BW12">
        <f t="array" ref="BW12">INDEX(Transcriptome!AT$2:AT$28,MATCH(1,(Transcriptome!$A$2:$A$28=$B12)*(Transcriptome!$C$2:$C$28=$E12),0))</f>
        <v>0.78737301878765809</v>
      </c>
      <c r="BX12">
        <f t="array" ref="BX12">INDEX(Transcriptome!AU$2:AU$28,MATCH(1,(Transcriptome!$A$2:$A$28=$B12)*(Transcriptome!$C$2:$C$28=$E12),0))</f>
        <v>1.6895519123272416</v>
      </c>
      <c r="BY12">
        <f t="array" ref="BY12">INDEX(Transcriptome!AV$2:AV$28,MATCH(1,(Transcriptome!$A$2:$A$28=$B12)*(Transcriptome!$C$2:$C$28=$E12),0))</f>
        <v>0.62033240120281474</v>
      </c>
      <c r="BZ12">
        <f t="array" ref="BZ12">INDEX(Transcriptome!AW$2:AW$28,MATCH(1,(Transcriptome!$A$2:$A$28=$B12)*(Transcriptome!$C$2:$C$28=$E12),0))</f>
        <v>0.79737424067079876</v>
      </c>
      <c r="CA12">
        <f t="array" ref="CA12">INDEX(Transcriptome!AX$2:AX$28,MATCH(1,(Transcriptome!$A$2:$A$28=$B12)*(Transcriptome!$C$2:$C$28=$E12),0))</f>
        <v>0.92460282224808421</v>
      </c>
      <c r="CB12">
        <f t="array" ref="CB12">INDEX(Transcriptome!AY$2:AY$28,MATCH(1,(Transcriptome!$A$2:$A$28=$B12)*(Transcriptome!$C$2:$C$28=$E12),0))</f>
        <v>0.87345230197929324</v>
      </c>
      <c r="CC12">
        <f t="array" ref="CC12">INDEX(Transcriptome!AZ$2:AZ$28,MATCH(1,(Transcriptome!$A$2:$A$28=$B12)*(Transcriptome!$C$2:$C$28=$E12),0))</f>
        <v>0.58498531711834134</v>
      </c>
      <c r="CD12">
        <f t="array" ref="CD12">INDEX(Transcriptome!BA$2:BA$28,MATCH(1,(Transcriptome!$A$2:$A$28=$B12)*(Transcriptome!$C$2:$C$28=$E12),0))</f>
        <v>1.7684157507469151</v>
      </c>
      <c r="CE12">
        <f t="array" ref="CE12">INDEX(Transcriptome!BB$2:BB$28,MATCH(1,(Transcriptome!$A$2:$A$28=$B12)*(Transcriptome!$C$2:$C$28=$E12),0))</f>
        <v>2.0951376227639771</v>
      </c>
      <c r="CF12">
        <f t="array" ref="CF12">INDEX(Transcriptome!BC$2:BC$28,MATCH(1,(Transcriptome!$A$2:$A$28=$B12)*(Transcriptome!$C$2:$C$28=$E12),0))</f>
        <v>0</v>
      </c>
      <c r="CG12">
        <f t="array" ref="CG12">INDEX(Transcriptome!BD$2:BD$28,MATCH(1,(Transcriptome!$A$2:$A$28=$B12)*(Transcriptome!$C$2:$C$28=$E12),0))</f>
        <v>1.4723274304126319</v>
      </c>
      <c r="CH12">
        <f t="array" ref="CH12">INDEX(Transcriptome!BE$2:BE$28,MATCH(1,(Transcriptome!$A$2:$A$28=$B12)*(Transcriptome!$C$2:$C$28=$E12),0))</f>
        <v>1.6435709135417447</v>
      </c>
      <c r="CI12">
        <f t="array" ref="CI12">INDEX(Transcriptome!BF$2:BF$28,MATCH(1,(Transcriptome!$A$2:$A$28=$B12)*(Transcriptome!$C$2:$C$28=$E12),0))</f>
        <v>1.4913517712775683</v>
      </c>
      <c r="CJ12">
        <f t="array" ref="CJ12">INDEX(Transcriptome!BG$2:BG$28,MATCH(1,(Transcriptome!$A$2:$A$28=$B12)*(Transcriptome!$C$2:$C$28=$E12),0))</f>
        <v>2.4868891875698469</v>
      </c>
      <c r="CK12">
        <f t="array" ref="CK12">INDEX(Transcriptome!BH$2:BH$28,MATCH(1,(Transcriptome!$A$2:$A$28=$B12)*(Transcriptome!$C$2:$C$28=$E12),0))</f>
        <v>0.60155455584899675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3.4589818564937866</v>
      </c>
      <c r="CO12">
        <f t="array" ref="CO12">INDEX(Transcriptome!BL$2:BL$28,MATCH(1,(Transcriptome!$A$2:$A$28=$B12)*(Transcriptome!$C$2:$C$28=$E12),0))</f>
        <v>2.3656901554574197</v>
      </c>
      <c r="CP12">
        <f t="array" ref="CP12">INDEX(Transcriptome!BM$2:BM$28,MATCH(1,(Transcriptome!$A$2:$A$28=$B12)*(Transcriptome!$C$2:$C$28=$E12),0))</f>
        <v>0.62485198092475902</v>
      </c>
      <c r="CQ12">
        <f t="array" ref="CQ12">INDEX(Transcriptome!BN$2:BN$28,MATCH(1,(Transcriptome!$A$2:$A$28=$B12)*(Transcriptome!$C$2:$C$28=$E12),0))</f>
        <v>37.408629658664857</v>
      </c>
      <c r="CR12">
        <f t="array" ref="CR12">INDEX(Transcriptome!BO$2:BO$28,MATCH(1,(Transcriptome!$A$2:$A$28=$B12)*(Transcriptome!$C$2:$C$28=$E12),0))</f>
        <v>1.4849223539828664</v>
      </c>
      <c r="CS12">
        <f t="array" ref="CS12">INDEX(Transcriptome!BP$2:BP$28,MATCH(1,(Transcriptome!$A$2:$A$28=$B12)*(Transcriptome!$C$2:$C$28=$E12),0))</f>
        <v>0.60155455584899675</v>
      </c>
      <c r="CT12">
        <f t="array" ref="CT12">INDEX(Transcriptome!BQ$2:BQ$28,MATCH(1,(Transcriptome!$A$2:$A$28=$B12)*(Transcriptome!$C$2:$C$28=$E12),0))</f>
        <v>1</v>
      </c>
      <c r="CU12">
        <f t="array" ref="CU12">INDEX(Transcriptome!BR$2:BR$28,MATCH(1,(Transcriptome!$A$2:$A$28=$B12)*(Transcriptome!$C$2:$C$28=$E12),0))</f>
        <v>1.7962987005908342</v>
      </c>
    </row>
    <row r="13" spans="1:99">
      <c r="A13">
        <f>'Measured Data'!A18</f>
        <v>11</v>
      </c>
      <c r="B13" t="s">
        <v>583</v>
      </c>
      <c r="C13" s="324" t="s">
        <v>586</v>
      </c>
      <c r="D13">
        <v>1</v>
      </c>
      <c r="E13" t="s">
        <v>512</v>
      </c>
      <c r="F13" s="477">
        <f>'Growth Regression'!R13</f>
        <v>11.388888888886868</v>
      </c>
      <c r="G13" s="477">
        <f>'Growth Regression'!S13</f>
        <v>273.33333333328483</v>
      </c>
      <c r="H13">
        <f>AVERAGE('TL input - regression'!L13:L14)</f>
        <v>8.3816248140500456</v>
      </c>
      <c r="I13">
        <f>AVERAGE('TL input - regression'!M13:M14)</f>
        <v>4.3294849023090585</v>
      </c>
      <c r="J13">
        <f>AVERAGE('TL input - regression'!N13:N14)</f>
        <v>2.6319999999999997</v>
      </c>
      <c r="K13">
        <f>AVERAGE('TL input - regression'!O13:O14)</f>
        <v>6.7500000000000004E-2</v>
      </c>
      <c r="L13">
        <f>AVERAGE('TL input - regression'!P13:P14)</f>
        <v>1.9620000000000002</v>
      </c>
      <c r="M13">
        <f>'Growth Regression'!P13</f>
        <v>1.6645386568215918E-3</v>
      </c>
      <c r="N13">
        <f>M13/'Growth Regression'!$O$24</f>
        <v>6.210595617120733E-2</v>
      </c>
      <c r="O13">
        <f>'Post Process Calc.'!C31</f>
        <v>4.0834157794084711E-2</v>
      </c>
      <c r="P13">
        <f>'Post Process Calc.'!D31</f>
        <v>-9.5881488510246547E-3</v>
      </c>
      <c r="Q13">
        <f>'Post Process Calc.'!E31</f>
        <v>1.1907830958138061E-3</v>
      </c>
      <c r="R13">
        <f>'Post Process Calc.'!F31</f>
        <v>1.3854737489578247E-3</v>
      </c>
      <c r="S13">
        <f>'Post Process Calc.'!G31</f>
        <v>9.9655499862548371E-4</v>
      </c>
      <c r="T13">
        <f t="shared" si="2"/>
        <v>-0.23480706763624268</v>
      </c>
      <c r="U13">
        <f t="shared" si="4"/>
        <v>25.521348621302941</v>
      </c>
      <c r="V13">
        <f t="shared" si="4"/>
        <v>-5.9925930318904088</v>
      </c>
      <c r="W13">
        <f t="shared" si="0"/>
        <v>0.74423943488362876</v>
      </c>
      <c r="X13">
        <f t="shared" si="0"/>
        <v>0.8659210930986404</v>
      </c>
      <c r="Y13">
        <f t="shared" si="0"/>
        <v>0.62284687414092732</v>
      </c>
      <c r="Z13">
        <v>100</v>
      </c>
      <c r="AA13">
        <v>0.32</v>
      </c>
      <c r="AB13">
        <v>7</v>
      </c>
      <c r="AC13">
        <v>0.7</v>
      </c>
      <c r="AD13">
        <f t="shared" si="1"/>
        <v>5.0118723362727164E-8</v>
      </c>
      <c r="AE13">
        <v>1</v>
      </c>
      <c r="AF13">
        <v>0.311</v>
      </c>
      <c r="AG13">
        <f t="array" ref="AG13">INDEX(Transcriptome!D$2:D$28,MATCH(1,(Transcriptome!$A$2:$A$28=$B13)*(Transcriptome!$C$2:$C$28=$E13),0))</f>
        <v>0.84529065750573906</v>
      </c>
      <c r="AH13">
        <f t="array" ref="AH13">INDEX(Transcriptome!E$2:E$28,MATCH(1,(Transcriptome!$A$2:$A$28=$B13)*(Transcriptome!$C$2:$C$28=$E13),0))</f>
        <v>1.5123400042300514</v>
      </c>
      <c r="AI13">
        <f t="array" ref="AI13">INDEX(Transcriptome!F$2:F$28,MATCH(1,(Transcriptome!$A$2:$A$28=$B13)*(Transcriptome!$C$2:$C$28=$E13),0))</f>
        <v>1.0521277615350864</v>
      </c>
      <c r="AJ13">
        <f t="array" ref="AJ13">INDEX(Transcriptome!G$2:G$28,MATCH(1,(Transcriptome!$A$2:$A$28=$B13)*(Transcriptome!$C$2:$C$28=$E13),0))</f>
        <v>0.5133599657223511</v>
      </c>
      <c r="AK13">
        <f t="array" ref="AK13">INDEX(Transcriptome!H$2:H$28,MATCH(1,(Transcriptome!$A$2:$A$28=$B13)*(Transcriptome!$C$2:$C$28=$E13),0))</f>
        <v>0</v>
      </c>
      <c r="AL13">
        <f t="array" ref="AL13">INDEX(Transcriptome!I$2:I$28,MATCH(1,(Transcriptome!$A$2:$A$28=$B13)*(Transcriptome!$C$2:$C$28=$E13),0))</f>
        <v>1.2398152787243992</v>
      </c>
      <c r="AM13">
        <f t="array" ref="AM13">INDEX(Transcriptome!J$2:J$28,MATCH(1,(Transcriptome!$A$2:$A$28=$B13)*(Transcriptome!$C$2:$C$28=$E13),0))</f>
        <v>1.0261682969814343</v>
      </c>
      <c r="AN13">
        <f t="array" ref="AN13">INDEX(Transcriptome!K$2:K$28,MATCH(1,(Transcriptome!$A$2:$A$28=$B13)*(Transcriptome!$C$2:$C$28=$E13),0))</f>
        <v>0.95017518110960975</v>
      </c>
      <c r="AO13">
        <f t="array" ref="AO13">INDEX(Transcriptome!L$2:L$28,MATCH(1,(Transcriptome!$A$2:$A$28=$B13)*(Transcriptome!$C$2:$C$28=$E13),0))</f>
        <v>1.0437812111620428</v>
      </c>
      <c r="AP13">
        <f t="array" ref="AP13">INDEX(Transcriptome!M$2:M$28,MATCH(1,(Transcriptome!$A$2:$A$28=$B13)*(Transcriptome!$C$2:$C$28=$E13),0))</f>
        <v>1.258591198790004</v>
      </c>
      <c r="AQ13">
        <f t="array" ref="AQ13">INDEX(Transcriptome!N$2:N$28,MATCH(1,(Transcriptome!$A$2:$A$28=$B13)*(Transcriptome!$C$2:$C$28=$E13),0))</f>
        <v>0.77434648146572427</v>
      </c>
      <c r="AR13">
        <f t="array" ref="AR13">INDEX(Transcriptome!O$2:O$28,MATCH(1,(Transcriptome!$A$2:$A$28=$B13)*(Transcriptome!$C$2:$C$28=$E13),0))</f>
        <v>1.121291200027364</v>
      </c>
      <c r="AS13">
        <f t="array" ref="AS13">INDEX(Transcriptome!P$2:P$28,MATCH(1,(Transcriptome!$A$2:$A$28=$B13)*(Transcriptome!$C$2:$C$28=$E13),0))</f>
        <v>1.1614656927518718</v>
      </c>
      <c r="AT13">
        <f t="array" ref="AT13">INDEX(Transcriptome!Q$2:Q$28,MATCH(1,(Transcriptome!$A$2:$A$28=$B13)*(Transcriptome!$C$2:$C$28=$E13),0))</f>
        <v>0.59136874021180552</v>
      </c>
      <c r="AU13">
        <f t="array" ref="AU13">INDEX(Transcriptome!R$2:R$28,MATCH(1,(Transcriptome!$A$2:$A$28=$B13)*(Transcriptome!$C$2:$C$28=$E13),0))</f>
        <v>0.47269805732547182</v>
      </c>
      <c r="AV13">
        <f t="array" ref="AV13">INDEX(Transcriptome!S$2:S$28,MATCH(1,(Transcriptome!$A$2:$A$28=$B13)*(Transcriptome!$C$2:$C$28=$E13),0))</f>
        <v>0.474505313564063</v>
      </c>
      <c r="AW13">
        <f t="array" ref="AW13">INDEX(Transcriptome!T$2:T$28,MATCH(1,(Transcriptome!$A$2:$A$28=$B13)*(Transcriptome!$C$2:$C$28=$E13),0))</f>
        <v>1.0978419176178189</v>
      </c>
      <c r="AX13">
        <f t="array" ref="AX13">INDEX(Transcriptome!U$2:U$28,MATCH(1,(Transcriptome!$A$2:$A$28=$B13)*(Transcriptome!$C$2:$C$28=$E13),0))</f>
        <v>2.8509841652726999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0.84543020602019414</v>
      </c>
      <c r="BB13">
        <f t="array" ref="BB13">INDEX(Transcriptome!Y$2:Y$28,MATCH(1,(Transcriptome!$A$2:$A$28=$B13)*(Transcriptome!$C$2:$C$28=$E13),0))</f>
        <v>0</v>
      </c>
      <c r="BC13">
        <f t="array" ref="BC13">INDEX(Transcriptome!Z$2:Z$28,MATCH(1,(Transcriptome!$A$2:$A$28=$B13)*(Transcriptome!$C$2:$C$28=$E13),0))</f>
        <v>1.1999757206668764</v>
      </c>
      <c r="BD13">
        <f t="array" ref="BD13">INDEX(Transcriptome!AA$2:AA$28,MATCH(1,(Transcriptome!$A$2:$A$28=$B13)*(Transcriptome!$C$2:$C$28=$E13),0))</f>
        <v>1.1786179837995219</v>
      </c>
      <c r="BE13">
        <f t="array" ref="BE13">INDEX(Transcriptome!AB$2:AB$28,MATCH(1,(Transcriptome!$A$2:$A$28=$B13)*(Transcriptome!$C$2:$C$28=$E13),0))</f>
        <v>0.41419411976174364</v>
      </c>
      <c r="BF13">
        <f t="array" ref="BF13">INDEX(Transcriptome!AC$2:AC$28,MATCH(1,(Transcriptome!$A$2:$A$28=$B13)*(Transcriptome!$C$2:$C$28=$E13),0))</f>
        <v>0.98175251921782147</v>
      </c>
      <c r="BG13">
        <f t="array" ref="BG13">INDEX(Transcriptome!AD$2:AD$28,MATCH(1,(Transcriptome!$A$2:$A$28=$B13)*(Transcriptome!$C$2:$C$28=$E13),0))</f>
        <v>0.87998427903657706</v>
      </c>
      <c r="BH13">
        <f t="array" ref="BH13">INDEX(Transcriptome!AE$2:AE$28,MATCH(1,(Transcriptome!$A$2:$A$28=$B13)*(Transcriptome!$C$2:$C$28=$E13),0))</f>
        <v>1.4142784439316789</v>
      </c>
      <c r="BI13">
        <f t="array" ref="BI13">INDEX(Transcriptome!AF$2:AF$28,MATCH(1,(Transcriptome!$A$2:$A$28=$B13)*(Transcriptome!$C$2:$C$28=$E13),0))</f>
        <v>0.62050516044316251</v>
      </c>
      <c r="BJ13">
        <f t="array" ref="BJ13">INDEX(Transcriptome!AG$2:AG$28,MATCH(1,(Transcriptome!$A$2:$A$28=$B13)*(Transcriptome!$C$2:$C$28=$E13),0))</f>
        <v>0.47877111295830344</v>
      </c>
      <c r="BK13">
        <f t="array" ref="BK13">INDEX(Transcriptome!AH$2:AH$28,MATCH(1,(Transcriptome!$A$2:$A$28=$B13)*(Transcriptome!$C$2:$C$28=$E13),0))</f>
        <v>1.9424108020287747</v>
      </c>
      <c r="BL13">
        <f t="array" ref="BL13">INDEX(Transcriptome!AI$2:AI$28,MATCH(1,(Transcriptome!$A$2:$A$28=$B13)*(Transcriptome!$C$2:$C$28=$E13),0))</f>
        <v>0.69973249608039367</v>
      </c>
      <c r="BM13">
        <f t="array" ref="BM13">INDEX(Transcriptome!AJ$2:AJ$28,MATCH(1,(Transcriptome!$A$2:$A$28=$B13)*(Transcriptome!$C$2:$C$28=$E13),0))</f>
        <v>0.87016237596091195</v>
      </c>
      <c r="BN13">
        <f t="array" ref="BN13">INDEX(Transcriptome!AK$2:AK$28,MATCH(1,(Transcriptome!$A$2:$A$28=$B13)*(Transcriptome!$C$2:$C$28=$E13),0))</f>
        <v>0.6586808592339628</v>
      </c>
      <c r="BO13">
        <f t="array" ref="BO13">INDEX(Transcriptome!AL$2:AL$28,MATCH(1,(Transcriptome!$A$2:$A$28=$B13)*(Transcriptome!$C$2:$C$28=$E13),0))</f>
        <v>1</v>
      </c>
      <c r="BP13">
        <f t="array" ref="BP13">INDEX(Transcriptome!AM$2:AM$28,MATCH(1,(Transcriptome!$A$2:$A$28=$B13)*(Transcriptome!$C$2:$C$28=$E13),0))</f>
        <v>0.67957260004345588</v>
      </c>
      <c r="BQ13">
        <f t="array" ref="BQ13">INDEX(Transcriptome!AN$2:AN$28,MATCH(1,(Transcriptome!$A$2:$A$28=$B13)*(Transcriptome!$C$2:$C$28=$E13),0))</f>
        <v>1.0396865895601093</v>
      </c>
      <c r="BR13">
        <f t="array" ref="BR13">INDEX(Transcriptome!AO$2:AO$28,MATCH(1,(Transcriptome!$A$2:$A$28=$B13)*(Transcriptome!$C$2:$C$28=$E13),0))</f>
        <v>1.0737206253123761</v>
      </c>
      <c r="BS13">
        <f t="array" ref="BS13">INDEX(Transcriptome!AP$2:AP$28,MATCH(1,(Transcriptome!$A$2:$A$28=$B13)*(Transcriptome!$C$2:$C$28=$E13),0))</f>
        <v>1.043863376552195</v>
      </c>
      <c r="BT13">
        <f t="array" ref="BT13">INDEX(Transcriptome!AQ$2:AQ$28,MATCH(1,(Transcriptome!$A$2:$A$28=$B13)*(Transcriptome!$C$2:$C$28=$E13),0))</f>
        <v>1.3503170364365213</v>
      </c>
      <c r="BU13">
        <f t="array" ref="BU13">INDEX(Transcriptome!AR$2:AR$28,MATCH(1,(Transcriptome!$A$2:$A$28=$B13)*(Transcriptome!$C$2:$C$28=$E13),0))</f>
        <v>0.72050873297971718</v>
      </c>
      <c r="BV13">
        <f t="array" ref="BV13">INDEX(Transcriptome!AS$2:AS$28,MATCH(1,(Transcriptome!$A$2:$A$28=$B13)*(Transcriptome!$C$2:$C$28=$E13),0))</f>
        <v>0.90321144457455538</v>
      </c>
      <c r="BW13">
        <f t="array" ref="BW13">INDEX(Transcriptome!AT$2:AT$28,MATCH(1,(Transcriptome!$A$2:$A$28=$B13)*(Transcriptome!$C$2:$C$28=$E13),0))</f>
        <v>0.78737301878765809</v>
      </c>
      <c r="BX13">
        <f t="array" ref="BX13">INDEX(Transcriptome!AU$2:AU$28,MATCH(1,(Transcriptome!$A$2:$A$28=$B13)*(Transcriptome!$C$2:$C$28=$E13),0))</f>
        <v>1.6895519123272416</v>
      </c>
      <c r="BY13">
        <f t="array" ref="BY13">INDEX(Transcriptome!AV$2:AV$28,MATCH(1,(Transcriptome!$A$2:$A$28=$B13)*(Transcriptome!$C$2:$C$28=$E13),0))</f>
        <v>0.62033240120281474</v>
      </c>
      <c r="BZ13">
        <f t="array" ref="BZ13">INDEX(Transcriptome!AW$2:AW$28,MATCH(1,(Transcriptome!$A$2:$A$28=$B13)*(Transcriptome!$C$2:$C$28=$E13),0))</f>
        <v>0.79737424067079876</v>
      </c>
      <c r="CA13">
        <f t="array" ref="CA13">INDEX(Transcriptome!AX$2:AX$28,MATCH(1,(Transcriptome!$A$2:$A$28=$B13)*(Transcriptome!$C$2:$C$28=$E13),0))</f>
        <v>0.92460282224808421</v>
      </c>
      <c r="CB13">
        <f t="array" ref="CB13">INDEX(Transcriptome!AY$2:AY$28,MATCH(1,(Transcriptome!$A$2:$A$28=$B13)*(Transcriptome!$C$2:$C$28=$E13),0))</f>
        <v>0.87345230197929324</v>
      </c>
      <c r="CC13">
        <f t="array" ref="CC13">INDEX(Transcriptome!AZ$2:AZ$28,MATCH(1,(Transcriptome!$A$2:$A$28=$B13)*(Transcriptome!$C$2:$C$28=$E13),0))</f>
        <v>0.58498531711834134</v>
      </c>
      <c r="CD13">
        <f t="array" ref="CD13">INDEX(Transcriptome!BA$2:BA$28,MATCH(1,(Transcriptome!$A$2:$A$28=$B13)*(Transcriptome!$C$2:$C$28=$E13),0))</f>
        <v>1.7684157507469151</v>
      </c>
      <c r="CE13">
        <f t="array" ref="CE13">INDEX(Transcriptome!BB$2:BB$28,MATCH(1,(Transcriptome!$A$2:$A$28=$B13)*(Transcriptome!$C$2:$C$28=$E13),0))</f>
        <v>2.0951376227639771</v>
      </c>
      <c r="CF13">
        <f t="array" ref="CF13">INDEX(Transcriptome!BC$2:BC$28,MATCH(1,(Transcriptome!$A$2:$A$28=$B13)*(Transcriptome!$C$2:$C$28=$E13),0))</f>
        <v>0</v>
      </c>
      <c r="CG13">
        <f t="array" ref="CG13">INDEX(Transcriptome!BD$2:BD$28,MATCH(1,(Transcriptome!$A$2:$A$28=$B13)*(Transcriptome!$C$2:$C$28=$E13),0))</f>
        <v>1.4723274304126319</v>
      </c>
      <c r="CH13">
        <f t="array" ref="CH13">INDEX(Transcriptome!BE$2:BE$28,MATCH(1,(Transcriptome!$A$2:$A$28=$B13)*(Transcriptome!$C$2:$C$28=$E13),0))</f>
        <v>1.6435709135417447</v>
      </c>
      <c r="CI13">
        <f t="array" ref="CI13">INDEX(Transcriptome!BF$2:BF$28,MATCH(1,(Transcriptome!$A$2:$A$28=$B13)*(Transcriptome!$C$2:$C$28=$E13),0))</f>
        <v>1.4913517712775683</v>
      </c>
      <c r="CJ13">
        <f t="array" ref="CJ13">INDEX(Transcriptome!BG$2:BG$28,MATCH(1,(Transcriptome!$A$2:$A$28=$B13)*(Transcriptome!$C$2:$C$28=$E13),0))</f>
        <v>2.4868891875698469</v>
      </c>
      <c r="CK13">
        <f t="array" ref="CK13">INDEX(Transcriptome!BH$2:BH$28,MATCH(1,(Transcriptome!$A$2:$A$28=$B13)*(Transcriptome!$C$2:$C$28=$E13),0))</f>
        <v>0.60155455584899675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3.4589818564937866</v>
      </c>
      <c r="CO13">
        <f t="array" ref="CO13">INDEX(Transcriptome!BL$2:BL$28,MATCH(1,(Transcriptome!$A$2:$A$28=$B13)*(Transcriptome!$C$2:$C$28=$E13),0))</f>
        <v>2.3656901554574197</v>
      </c>
      <c r="CP13">
        <f t="array" ref="CP13">INDEX(Transcriptome!BM$2:BM$28,MATCH(1,(Transcriptome!$A$2:$A$28=$B13)*(Transcriptome!$C$2:$C$28=$E13),0))</f>
        <v>0.62485198092475902</v>
      </c>
      <c r="CQ13">
        <f t="array" ref="CQ13">INDEX(Transcriptome!BN$2:BN$28,MATCH(1,(Transcriptome!$A$2:$A$28=$B13)*(Transcriptome!$C$2:$C$28=$E13),0))</f>
        <v>37.408629658664857</v>
      </c>
      <c r="CR13">
        <f t="array" ref="CR13">INDEX(Transcriptome!BO$2:BO$28,MATCH(1,(Transcriptome!$A$2:$A$28=$B13)*(Transcriptome!$C$2:$C$28=$E13),0))</f>
        <v>1.4849223539828664</v>
      </c>
      <c r="CS13">
        <f t="array" ref="CS13">INDEX(Transcriptome!BP$2:BP$28,MATCH(1,(Transcriptome!$A$2:$A$28=$B13)*(Transcriptome!$C$2:$C$28=$E13),0))</f>
        <v>0.60155455584899675</v>
      </c>
      <c r="CT13">
        <f t="array" ref="CT13">INDEX(Transcriptome!BQ$2:BQ$28,MATCH(1,(Transcriptome!$A$2:$A$28=$B13)*(Transcriptome!$C$2:$C$28=$E13),0))</f>
        <v>1</v>
      </c>
      <c r="CU13">
        <f t="array" ref="CU13">INDEX(Transcriptome!BR$2:BR$28,MATCH(1,(Transcriptome!$A$2:$A$28=$B13)*(Transcriptome!$C$2:$C$28=$E13),0))</f>
        <v>1.7962987005908342</v>
      </c>
    </row>
    <row r="14" spans="1:99">
      <c r="A14">
        <f>'Measured Data'!A19</f>
        <v>12</v>
      </c>
      <c r="B14" t="s">
        <v>583</v>
      </c>
      <c r="C14" s="324" t="s">
        <v>586</v>
      </c>
      <c r="D14">
        <v>1</v>
      </c>
      <c r="E14" t="s">
        <v>512</v>
      </c>
      <c r="F14" s="477">
        <f>'Growth Regression'!R14</f>
        <v>12.364583333332121</v>
      </c>
      <c r="G14" s="477">
        <f>'Growth Regression'!S14</f>
        <v>296.7499999999709</v>
      </c>
      <c r="H14">
        <f>AVERAGE('TL input - regression'!L14:L15)</f>
        <v>10.76844512533582</v>
      </c>
      <c r="I14">
        <f>AVERAGE('TL input - regression'!M14:M15)</f>
        <v>2.7198046181172288</v>
      </c>
      <c r="J14">
        <f>AVERAGE('TL input - regression'!N14:N15)</f>
        <v>2.4584999999999999</v>
      </c>
      <c r="K14">
        <f>AVERAGE('TL input - regression'!O14:O15)</f>
        <v>7.1000000000000008E-2</v>
      </c>
      <c r="L14">
        <f>AVERAGE('TL input - regression'!P14:P15)</f>
        <v>1.5819999999999999</v>
      </c>
      <c r="M14">
        <f>'Growth Regression'!P14</f>
        <v>9.2506131667759368E-4</v>
      </c>
      <c r="N14">
        <f>M14/'Growth Regression'!$O$24</f>
        <v>3.4515159713359403E-2</v>
      </c>
      <c r="O14">
        <f>'Post Process Calc.'!C32</f>
        <v>4.0299860323077877E-2</v>
      </c>
      <c r="P14">
        <f>'Post Process Calc.'!D32</f>
        <v>-4.8115362171210971E-3</v>
      </c>
      <c r="Q14">
        <f>'Post Process Calc.'!E32</f>
        <v>1.2136623663437176E-3</v>
      </c>
      <c r="R14">
        <f>'Post Process Calc.'!F32</f>
        <v>-7.6395077537742308E-4</v>
      </c>
      <c r="S14">
        <f>'Post Process Calc.'!G32</f>
        <v>6.2375254335919551E-4</v>
      </c>
      <c r="T14">
        <f t="shared" ref="T14:T15" si="5">P14/O14</f>
        <v>-0.11939337205011978</v>
      </c>
      <c r="U14">
        <f t="shared" ref="U14:U15" si="6">O14/0.0016</f>
        <v>25.187412701923673</v>
      </c>
      <c r="V14">
        <f t="shared" ref="V14:V15" si="7">P14/0.0016</f>
        <v>-3.0072101357006855</v>
      </c>
      <c r="W14">
        <f t="shared" ref="W14:W15" si="8">Q14/0.0016</f>
        <v>0.75853897896482347</v>
      </c>
      <c r="X14">
        <f t="shared" ref="X14:X15" si="9">R14/0.0016</f>
        <v>-0.47746923461088941</v>
      </c>
      <c r="Y14">
        <f t="shared" ref="Y14:Y15" si="10">S14/0.0016</f>
        <v>0.38984533959949719</v>
      </c>
      <c r="Z14">
        <v>100</v>
      </c>
      <c r="AA14">
        <v>0.32</v>
      </c>
      <c r="AB14">
        <v>7</v>
      </c>
      <c r="AC14">
        <v>0.7</v>
      </c>
      <c r="AD14">
        <f t="shared" si="1"/>
        <v>5.0118723362727164E-8</v>
      </c>
      <c r="AE14">
        <v>1</v>
      </c>
      <c r="AF14">
        <v>0.311</v>
      </c>
      <c r="AG14">
        <f t="array" ref="AG14">INDEX(Transcriptome!D$2:D$28,MATCH(1,(Transcriptome!$A$2:$A$28=$B14)*(Transcriptome!$C$2:$C$28=$E14),0))</f>
        <v>0.84529065750573906</v>
      </c>
      <c r="AH14">
        <f t="array" ref="AH14">INDEX(Transcriptome!E$2:E$28,MATCH(1,(Transcriptome!$A$2:$A$28=$B14)*(Transcriptome!$C$2:$C$28=$E14),0))</f>
        <v>1.5123400042300514</v>
      </c>
      <c r="AI14">
        <f t="array" ref="AI14">INDEX(Transcriptome!F$2:F$28,MATCH(1,(Transcriptome!$A$2:$A$28=$B14)*(Transcriptome!$C$2:$C$28=$E14),0))</f>
        <v>1.0521277615350864</v>
      </c>
      <c r="AJ14">
        <f t="array" ref="AJ14">INDEX(Transcriptome!G$2:G$28,MATCH(1,(Transcriptome!$A$2:$A$28=$B14)*(Transcriptome!$C$2:$C$28=$E14),0))</f>
        <v>0.5133599657223511</v>
      </c>
      <c r="AK14">
        <f t="array" ref="AK14">INDEX(Transcriptome!H$2:H$28,MATCH(1,(Transcriptome!$A$2:$A$28=$B14)*(Transcriptome!$C$2:$C$28=$E14),0))</f>
        <v>0</v>
      </c>
      <c r="AL14">
        <f t="array" ref="AL14">INDEX(Transcriptome!I$2:I$28,MATCH(1,(Transcriptome!$A$2:$A$28=$B14)*(Transcriptome!$C$2:$C$28=$E14),0))</f>
        <v>1.2398152787243992</v>
      </c>
      <c r="AM14">
        <f t="array" ref="AM14">INDEX(Transcriptome!J$2:J$28,MATCH(1,(Transcriptome!$A$2:$A$28=$B14)*(Transcriptome!$C$2:$C$28=$E14),0))</f>
        <v>1.0261682969814343</v>
      </c>
      <c r="AN14">
        <f t="array" ref="AN14">INDEX(Transcriptome!K$2:K$28,MATCH(1,(Transcriptome!$A$2:$A$28=$B14)*(Transcriptome!$C$2:$C$28=$E14),0))</f>
        <v>0.95017518110960975</v>
      </c>
      <c r="AO14">
        <f t="array" ref="AO14">INDEX(Transcriptome!L$2:L$28,MATCH(1,(Transcriptome!$A$2:$A$28=$B14)*(Transcriptome!$C$2:$C$28=$E14),0))</f>
        <v>1.0437812111620428</v>
      </c>
      <c r="AP14">
        <f t="array" ref="AP14">INDEX(Transcriptome!M$2:M$28,MATCH(1,(Transcriptome!$A$2:$A$28=$B14)*(Transcriptome!$C$2:$C$28=$E14),0))</f>
        <v>1.258591198790004</v>
      </c>
      <c r="AQ14">
        <f t="array" ref="AQ14">INDEX(Transcriptome!N$2:N$28,MATCH(1,(Transcriptome!$A$2:$A$28=$B14)*(Transcriptome!$C$2:$C$28=$E14),0))</f>
        <v>0.77434648146572427</v>
      </c>
      <c r="AR14">
        <f t="array" ref="AR14">INDEX(Transcriptome!O$2:O$28,MATCH(1,(Transcriptome!$A$2:$A$28=$B14)*(Transcriptome!$C$2:$C$28=$E14),0))</f>
        <v>1.121291200027364</v>
      </c>
      <c r="AS14">
        <f t="array" ref="AS14">INDEX(Transcriptome!P$2:P$28,MATCH(1,(Transcriptome!$A$2:$A$28=$B14)*(Transcriptome!$C$2:$C$28=$E14),0))</f>
        <v>1.1614656927518718</v>
      </c>
      <c r="AT14">
        <f t="array" ref="AT14">INDEX(Transcriptome!Q$2:Q$28,MATCH(1,(Transcriptome!$A$2:$A$28=$B14)*(Transcriptome!$C$2:$C$28=$E14),0))</f>
        <v>0.59136874021180552</v>
      </c>
      <c r="AU14">
        <f t="array" ref="AU14">INDEX(Transcriptome!R$2:R$28,MATCH(1,(Transcriptome!$A$2:$A$28=$B14)*(Transcriptome!$C$2:$C$28=$E14),0))</f>
        <v>0.47269805732547182</v>
      </c>
      <c r="AV14">
        <f t="array" ref="AV14">INDEX(Transcriptome!S$2:S$28,MATCH(1,(Transcriptome!$A$2:$A$28=$B14)*(Transcriptome!$C$2:$C$28=$E14),0))</f>
        <v>0.474505313564063</v>
      </c>
      <c r="AW14">
        <f t="array" ref="AW14">INDEX(Transcriptome!T$2:T$28,MATCH(1,(Transcriptome!$A$2:$A$28=$B14)*(Transcriptome!$C$2:$C$28=$E14),0))</f>
        <v>1.0978419176178189</v>
      </c>
      <c r="AX14">
        <f t="array" ref="AX14">INDEX(Transcriptome!U$2:U$28,MATCH(1,(Transcriptome!$A$2:$A$28=$B14)*(Transcriptome!$C$2:$C$28=$E14),0))</f>
        <v>2.8509841652726999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0.84543020602019414</v>
      </c>
      <c r="BB14">
        <f t="array" ref="BB14">INDEX(Transcriptome!Y$2:Y$28,MATCH(1,(Transcriptome!$A$2:$A$28=$B14)*(Transcriptome!$C$2:$C$28=$E14),0))</f>
        <v>0</v>
      </c>
      <c r="BC14">
        <f t="array" ref="BC14">INDEX(Transcriptome!Z$2:Z$28,MATCH(1,(Transcriptome!$A$2:$A$28=$B14)*(Transcriptome!$C$2:$C$28=$E14),0))</f>
        <v>1.1999757206668764</v>
      </c>
      <c r="BD14">
        <f t="array" ref="BD14">INDEX(Transcriptome!AA$2:AA$28,MATCH(1,(Transcriptome!$A$2:$A$28=$B14)*(Transcriptome!$C$2:$C$28=$E14),0))</f>
        <v>1.1786179837995219</v>
      </c>
      <c r="BE14">
        <f t="array" ref="BE14">INDEX(Transcriptome!AB$2:AB$28,MATCH(1,(Transcriptome!$A$2:$A$28=$B14)*(Transcriptome!$C$2:$C$28=$E14),0))</f>
        <v>0.41419411976174364</v>
      </c>
      <c r="BF14">
        <f t="array" ref="BF14">INDEX(Transcriptome!AC$2:AC$28,MATCH(1,(Transcriptome!$A$2:$A$28=$B14)*(Transcriptome!$C$2:$C$28=$E14),0))</f>
        <v>0.98175251921782147</v>
      </c>
      <c r="BG14">
        <f t="array" ref="BG14">INDEX(Transcriptome!AD$2:AD$28,MATCH(1,(Transcriptome!$A$2:$A$28=$B14)*(Transcriptome!$C$2:$C$28=$E14),0))</f>
        <v>0.87998427903657706</v>
      </c>
      <c r="BH14">
        <f t="array" ref="BH14">INDEX(Transcriptome!AE$2:AE$28,MATCH(1,(Transcriptome!$A$2:$A$28=$B14)*(Transcriptome!$C$2:$C$28=$E14),0))</f>
        <v>1.4142784439316789</v>
      </c>
      <c r="BI14">
        <f t="array" ref="BI14">INDEX(Transcriptome!AF$2:AF$28,MATCH(1,(Transcriptome!$A$2:$A$28=$B14)*(Transcriptome!$C$2:$C$28=$E14),0))</f>
        <v>0.62050516044316251</v>
      </c>
      <c r="BJ14">
        <f t="array" ref="BJ14">INDEX(Transcriptome!AG$2:AG$28,MATCH(1,(Transcriptome!$A$2:$A$28=$B14)*(Transcriptome!$C$2:$C$28=$E14),0))</f>
        <v>0.47877111295830344</v>
      </c>
      <c r="BK14">
        <f t="array" ref="BK14">INDEX(Transcriptome!AH$2:AH$28,MATCH(1,(Transcriptome!$A$2:$A$28=$B14)*(Transcriptome!$C$2:$C$28=$E14),0))</f>
        <v>1.9424108020287747</v>
      </c>
      <c r="BL14">
        <f t="array" ref="BL14">INDEX(Transcriptome!AI$2:AI$28,MATCH(1,(Transcriptome!$A$2:$A$28=$B14)*(Transcriptome!$C$2:$C$28=$E14),0))</f>
        <v>0.69973249608039367</v>
      </c>
      <c r="BM14">
        <f t="array" ref="BM14">INDEX(Transcriptome!AJ$2:AJ$28,MATCH(1,(Transcriptome!$A$2:$A$28=$B14)*(Transcriptome!$C$2:$C$28=$E14),0))</f>
        <v>0.87016237596091195</v>
      </c>
      <c r="BN14">
        <f t="array" ref="BN14">INDEX(Transcriptome!AK$2:AK$28,MATCH(1,(Transcriptome!$A$2:$A$28=$B14)*(Transcriptome!$C$2:$C$28=$E14),0))</f>
        <v>0.6586808592339628</v>
      </c>
      <c r="BO14">
        <f t="array" ref="BO14">INDEX(Transcriptome!AL$2:AL$28,MATCH(1,(Transcriptome!$A$2:$A$28=$B14)*(Transcriptome!$C$2:$C$28=$E14),0))</f>
        <v>1</v>
      </c>
      <c r="BP14">
        <f t="array" ref="BP14">INDEX(Transcriptome!AM$2:AM$28,MATCH(1,(Transcriptome!$A$2:$A$28=$B14)*(Transcriptome!$C$2:$C$28=$E14),0))</f>
        <v>0.67957260004345588</v>
      </c>
      <c r="BQ14">
        <f t="array" ref="BQ14">INDEX(Transcriptome!AN$2:AN$28,MATCH(1,(Transcriptome!$A$2:$A$28=$B14)*(Transcriptome!$C$2:$C$28=$E14),0))</f>
        <v>1.0396865895601093</v>
      </c>
      <c r="BR14">
        <f t="array" ref="BR14">INDEX(Transcriptome!AO$2:AO$28,MATCH(1,(Transcriptome!$A$2:$A$28=$B14)*(Transcriptome!$C$2:$C$28=$E14),0))</f>
        <v>1.0737206253123761</v>
      </c>
      <c r="BS14">
        <f t="array" ref="BS14">INDEX(Transcriptome!AP$2:AP$28,MATCH(1,(Transcriptome!$A$2:$A$28=$B14)*(Transcriptome!$C$2:$C$28=$E14),0))</f>
        <v>1.043863376552195</v>
      </c>
      <c r="BT14">
        <f t="array" ref="BT14">INDEX(Transcriptome!AQ$2:AQ$28,MATCH(1,(Transcriptome!$A$2:$A$28=$B14)*(Transcriptome!$C$2:$C$28=$E14),0))</f>
        <v>1.3503170364365213</v>
      </c>
      <c r="BU14">
        <f t="array" ref="BU14">INDEX(Transcriptome!AR$2:AR$28,MATCH(1,(Transcriptome!$A$2:$A$28=$B14)*(Transcriptome!$C$2:$C$28=$E14),0))</f>
        <v>0.72050873297971718</v>
      </c>
      <c r="BV14">
        <f t="array" ref="BV14">INDEX(Transcriptome!AS$2:AS$28,MATCH(1,(Transcriptome!$A$2:$A$28=$B14)*(Transcriptome!$C$2:$C$28=$E14),0))</f>
        <v>0.90321144457455538</v>
      </c>
      <c r="BW14">
        <f t="array" ref="BW14">INDEX(Transcriptome!AT$2:AT$28,MATCH(1,(Transcriptome!$A$2:$A$28=$B14)*(Transcriptome!$C$2:$C$28=$E14),0))</f>
        <v>0.78737301878765809</v>
      </c>
      <c r="BX14">
        <f t="array" ref="BX14">INDEX(Transcriptome!AU$2:AU$28,MATCH(1,(Transcriptome!$A$2:$A$28=$B14)*(Transcriptome!$C$2:$C$28=$E14),0))</f>
        <v>1.6895519123272416</v>
      </c>
      <c r="BY14">
        <f t="array" ref="BY14">INDEX(Transcriptome!AV$2:AV$28,MATCH(1,(Transcriptome!$A$2:$A$28=$B14)*(Transcriptome!$C$2:$C$28=$E14),0))</f>
        <v>0.62033240120281474</v>
      </c>
      <c r="BZ14">
        <f t="array" ref="BZ14">INDEX(Transcriptome!AW$2:AW$28,MATCH(1,(Transcriptome!$A$2:$A$28=$B14)*(Transcriptome!$C$2:$C$28=$E14),0))</f>
        <v>0.79737424067079876</v>
      </c>
      <c r="CA14">
        <f t="array" ref="CA14">INDEX(Transcriptome!AX$2:AX$28,MATCH(1,(Transcriptome!$A$2:$A$28=$B14)*(Transcriptome!$C$2:$C$28=$E14),0))</f>
        <v>0.92460282224808421</v>
      </c>
      <c r="CB14">
        <f t="array" ref="CB14">INDEX(Transcriptome!AY$2:AY$28,MATCH(1,(Transcriptome!$A$2:$A$28=$B14)*(Transcriptome!$C$2:$C$28=$E14),0))</f>
        <v>0.87345230197929324</v>
      </c>
      <c r="CC14">
        <f t="array" ref="CC14">INDEX(Transcriptome!AZ$2:AZ$28,MATCH(1,(Transcriptome!$A$2:$A$28=$B14)*(Transcriptome!$C$2:$C$28=$E14),0))</f>
        <v>0.58498531711834134</v>
      </c>
      <c r="CD14">
        <f t="array" ref="CD14">INDEX(Transcriptome!BA$2:BA$28,MATCH(1,(Transcriptome!$A$2:$A$28=$B14)*(Transcriptome!$C$2:$C$28=$E14),0))</f>
        <v>1.7684157507469151</v>
      </c>
      <c r="CE14">
        <f t="array" ref="CE14">INDEX(Transcriptome!BB$2:BB$28,MATCH(1,(Transcriptome!$A$2:$A$28=$B14)*(Transcriptome!$C$2:$C$28=$E14),0))</f>
        <v>2.0951376227639771</v>
      </c>
      <c r="CF14">
        <f t="array" ref="CF14">INDEX(Transcriptome!BC$2:BC$28,MATCH(1,(Transcriptome!$A$2:$A$28=$B14)*(Transcriptome!$C$2:$C$28=$E14),0))</f>
        <v>0</v>
      </c>
      <c r="CG14">
        <f t="array" ref="CG14">INDEX(Transcriptome!BD$2:BD$28,MATCH(1,(Transcriptome!$A$2:$A$28=$B14)*(Transcriptome!$C$2:$C$28=$E14),0))</f>
        <v>1.4723274304126319</v>
      </c>
      <c r="CH14">
        <f t="array" ref="CH14">INDEX(Transcriptome!BE$2:BE$28,MATCH(1,(Transcriptome!$A$2:$A$28=$B14)*(Transcriptome!$C$2:$C$28=$E14),0))</f>
        <v>1.6435709135417447</v>
      </c>
      <c r="CI14">
        <f t="array" ref="CI14">INDEX(Transcriptome!BF$2:BF$28,MATCH(1,(Transcriptome!$A$2:$A$28=$B14)*(Transcriptome!$C$2:$C$28=$E14),0))</f>
        <v>1.4913517712775683</v>
      </c>
      <c r="CJ14">
        <f t="array" ref="CJ14">INDEX(Transcriptome!BG$2:BG$28,MATCH(1,(Transcriptome!$A$2:$A$28=$B14)*(Transcriptome!$C$2:$C$28=$E14),0))</f>
        <v>2.4868891875698469</v>
      </c>
      <c r="CK14">
        <f t="array" ref="CK14">INDEX(Transcriptome!BH$2:BH$28,MATCH(1,(Transcriptome!$A$2:$A$28=$B14)*(Transcriptome!$C$2:$C$28=$E14),0))</f>
        <v>0.60155455584899675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3.4589818564937866</v>
      </c>
      <c r="CO14">
        <f t="array" ref="CO14">INDEX(Transcriptome!BL$2:BL$28,MATCH(1,(Transcriptome!$A$2:$A$28=$B14)*(Transcriptome!$C$2:$C$28=$E14),0))</f>
        <v>2.3656901554574197</v>
      </c>
      <c r="CP14">
        <f t="array" ref="CP14">INDEX(Transcriptome!BM$2:BM$28,MATCH(1,(Transcriptome!$A$2:$A$28=$B14)*(Transcriptome!$C$2:$C$28=$E14),0))</f>
        <v>0.62485198092475902</v>
      </c>
      <c r="CQ14">
        <f t="array" ref="CQ14">INDEX(Transcriptome!BN$2:BN$28,MATCH(1,(Transcriptome!$A$2:$A$28=$B14)*(Transcriptome!$C$2:$C$28=$E14),0))</f>
        <v>37.408629658664857</v>
      </c>
      <c r="CR14">
        <f t="array" ref="CR14">INDEX(Transcriptome!BO$2:BO$28,MATCH(1,(Transcriptome!$A$2:$A$28=$B14)*(Transcriptome!$C$2:$C$28=$E14),0))</f>
        <v>1.4849223539828664</v>
      </c>
      <c r="CS14">
        <f t="array" ref="CS14">INDEX(Transcriptome!BP$2:BP$28,MATCH(1,(Transcriptome!$A$2:$A$28=$B14)*(Transcriptome!$C$2:$C$28=$E14),0))</f>
        <v>0.60155455584899675</v>
      </c>
      <c r="CT14">
        <f t="array" ref="CT14">INDEX(Transcriptome!BQ$2:BQ$28,MATCH(1,(Transcriptome!$A$2:$A$28=$B14)*(Transcriptome!$C$2:$C$28=$E14),0))</f>
        <v>1</v>
      </c>
      <c r="CU14">
        <f t="array" ref="CU14">INDEX(Transcriptome!BR$2:BR$28,MATCH(1,(Transcriptome!$A$2:$A$28=$B14)*(Transcriptome!$C$2:$C$28=$E14),0))</f>
        <v>1.7962987005908342</v>
      </c>
    </row>
    <row r="15" spans="1:99">
      <c r="A15">
        <f>'Measured Data'!A20</f>
        <v>13</v>
      </c>
      <c r="B15" t="s">
        <v>583</v>
      </c>
      <c r="C15" s="324" t="s">
        <v>586</v>
      </c>
      <c r="D15">
        <v>1</v>
      </c>
      <c r="E15" t="s">
        <v>712</v>
      </c>
      <c r="F15" s="477">
        <f>'Growth Regression'!R15</f>
        <v>13.368402777774463</v>
      </c>
      <c r="G15" s="477">
        <f>'Growth Regression'!S15</f>
        <v>320.84166666658712</v>
      </c>
      <c r="H15">
        <f>AVERAGE('TL input - regression'!L15:L16)</f>
        <v>13.460556406669774</v>
      </c>
      <c r="I15">
        <f>AVERAGE('TL input - regression'!M15:M16)</f>
        <v>2.8863232682060391</v>
      </c>
      <c r="J15">
        <f>AVERAGE('TL input - regression'!N15:N16)</f>
        <v>2.0305</v>
      </c>
      <c r="K15">
        <f>AVERAGE('TL input - regression'!O15:O16)</f>
        <v>7.8E-2</v>
      </c>
      <c r="L15">
        <f>AVERAGE('TL input - regression'!P15:P16)</f>
        <v>1.8354999999999999</v>
      </c>
      <c r="M15">
        <f>'Growth Regression'!P15</f>
        <v>4.9646653685272426E-4</v>
      </c>
      <c r="N15">
        <f>M15/'Growth Regression'!$O$24</f>
        <v>1.8523768644173443E-2</v>
      </c>
      <c r="O15">
        <f>'Post Process Calc.'!C33</f>
        <v>4.0709785377592005E-2</v>
      </c>
      <c r="P15">
        <f>'Post Process Calc.'!D33</f>
        <v>8.6841707018281908E-3</v>
      </c>
      <c r="Q15">
        <f>'Post Process Calc.'!E33</f>
        <v>1.0878421764874103E-3</v>
      </c>
      <c r="R15">
        <f>'Post Process Calc.'!F33</f>
        <v>-4.5541134074237035E-3</v>
      </c>
      <c r="S15">
        <f>'Post Process Calc.'!G33</f>
        <v>-3.2579216015671725E-4</v>
      </c>
      <c r="T15">
        <f t="shared" si="5"/>
        <v>0.21331899987387901</v>
      </c>
      <c r="U15">
        <f t="shared" si="6"/>
        <v>25.443615860995003</v>
      </c>
      <c r="V15">
        <f t="shared" si="7"/>
        <v>5.4276066886426193</v>
      </c>
      <c r="W15">
        <f t="shared" si="8"/>
        <v>0.67990136030463144</v>
      </c>
      <c r="X15">
        <f t="shared" si="9"/>
        <v>-2.8463208796398147</v>
      </c>
      <c r="Y15">
        <f t="shared" si="10"/>
        <v>-0.20362010009794826</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1" sqref="C11"/>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-3.2028374836256313E-2</v>
      </c>
      <c r="G4" s="173"/>
      <c r="H4" s="174">
        <f>RSQ('In Process Calc.'!$U$3:$U$193,'In Process Calc.'!$T$3:$T$193)</f>
        <v>0.38972613270782974</v>
      </c>
      <c r="I4" s="174"/>
      <c r="J4" s="203" t="s">
        <v>420</v>
      </c>
      <c r="K4" s="175" t="s">
        <v>272</v>
      </c>
      <c r="L4" s="174" cm="1">
        <f t="array" ref="L4">IF($J4="Yes", SLOPE(IF('In Process Calc.'!$A$3:$A$193&lt;=NS, 'In Process Calc.'!$U$3:$U$193),IF('In Process Calc.'!$A$3:$A$193&lt;=NS,'In Process Calc.'!$T$3:$T$193)), $F4)</f>
        <v>-9.0038479792331316E-2</v>
      </c>
      <c r="M4" s="173"/>
      <c r="N4" s="174" cm="1">
        <f t="array" ref="N4">IF($J4="Yes", RSQ(IF('In Process Calc.'!$A$3:$A$193&lt;=NS, 'In Process Calc.'!$U$3:$U$193),IF('In Process Calc.'!$A$3:$A$193&lt;=NS,'In Process Calc.'!$T$3:$T$193)), $H4)</f>
        <v>0.88033001104122421</v>
      </c>
      <c r="O4" s="173"/>
      <c r="P4" s="174" cm="1">
        <f t="array" ref="P4">IF($J4="Yes", SLOPE(IF('In Process Calc.'!$A$3:$A$193&gt;NS, 'In Process Calc.'!$U$3:$U$193),IF('In Process Calc.'!$A$3:$A$193&gt;NS,'In Process Calc.'!$T$3:$T$193)), $F4)</f>
        <v>5.3406378165865735E-2</v>
      </c>
      <c r="Q4" s="173"/>
      <c r="R4" s="176" cm="1">
        <f t="array" ref="R4">IF($J4="Yes", RSQ(IF('In Process Calc.'!$A$3:$A$193&gt;NS, 'In Process Calc.'!$U$3:$U$193),IF('In Process Calc.'!$A$3:$A$193&gt;NS,'In Process Calc.'!$T$3:$T$193)), $H4)</f>
        <v>0.87779819004944226</v>
      </c>
    </row>
    <row r="5" spans="1:18" ht="14" thickBot="1">
      <c r="A5" s="161" t="s">
        <v>415</v>
      </c>
      <c r="B5" s="162"/>
      <c r="C5" s="172"/>
      <c r="D5" s="173"/>
      <c r="E5" s="172"/>
      <c r="F5" s="173">
        <f>SLOPE('In Process Calc.'!$Z$3:$Z$193,'In Process Calc.'!$T$3:$T$193)</f>
        <v>-1.1457225567366674E-2</v>
      </c>
      <c r="G5" s="173"/>
      <c r="H5" s="174">
        <f>RSQ('In Process Calc.'!$Z$3:$Z$193,'In Process Calc.'!$T$3:$T$193)</f>
        <v>3.4929305125443871E-3</v>
      </c>
      <c r="I5" s="174"/>
      <c r="J5" s="204" t="s">
        <v>420</v>
      </c>
      <c r="K5" s="177" t="s">
        <v>415</v>
      </c>
      <c r="L5" s="178" cm="1">
        <f t="array" ref="L5">IF($J5="Yes", SLOPE(IF('In Process Calc.'!$A$3:$A$193&lt;=NS, 'In Process Calc.'!$Z$3:$Z$193),IF('In Process Calc.'!$A$3:$A$193&lt;=NS,'In Process Calc.'!$T$3:$T$193)), $F5)</f>
        <v>0.27917003036904214</v>
      </c>
      <c r="M5" s="179"/>
      <c r="N5" s="178" cm="1">
        <f t="array" ref="N5">IF($J5="Yes", RSQ(IF('In Process Calc.'!$A$3:$A$193&lt;=NS, 'In Process Calc.'!$Z$3:$Z$193),IF('In Process Calc.'!$A$3:$A$193&lt;=NS,'In Process Calc.'!$T$3:$T$193)), $H5)</f>
        <v>0.57048308730804009</v>
      </c>
      <c r="O5" s="179"/>
      <c r="P5" s="178" cm="1">
        <f t="array" ref="P5">IF($J5="Yes", SLOPE(IF('In Process Calc.'!$A$3:$A$193&gt;NS, 'In Process Calc.'!$Z$3:$Z$193),IF('In Process Calc.'!$A$3:$A$193&gt;NS,'In Process Calc.'!$T$3:$T$193)), $F5)</f>
        <v>1.4635827518855843E-2</v>
      </c>
      <c r="Q5" s="179"/>
      <c r="R5" s="180" cm="1">
        <f t="array" ref="R5">IF($J5="Yes", RSQ(IF('In Process Calc.'!$A$3:$A$193&gt;NS, 'In Process Calc.'!$Z$3:$Z$193),IF('In Process Calc.'!$A$3:$A$193&gt;NS,'In Process Calc.'!$T$3:$T$193)), $H5)</f>
        <v>2.0283467721666025E-2</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2.0888964837930049</v>
      </c>
      <c r="G9" s="173"/>
      <c r="H9" s="174">
        <f>RSQ('In Process Calc.'!$O$3:$O$193,'In Process Calc.'!$U$3:$U$193)</f>
        <v>0.87458044484371178</v>
      </c>
      <c r="I9" s="197"/>
      <c r="J9" s="203" t="s">
        <v>420</v>
      </c>
      <c r="K9" s="198" t="s">
        <v>273</v>
      </c>
      <c r="L9" s="174" cm="1">
        <f t="array" ref="L9">IF($J9="Yes", SLOPE(IF('In Process Calc.'!$A$3:$A$193&lt;=NS, 'In Process Calc.'!$O$3:$O$193),IF('In Process Calc.'!$A$3:$A$193&lt;=NS,'In Process Calc.'!$U$3:$U$193)), $F9)</f>
        <v>1.8598278299177027</v>
      </c>
      <c r="M9" s="173"/>
      <c r="N9" s="174" cm="1">
        <f t="array" ref="N9">IF($J9="Yes", RSQ(IF('In Process Calc.'!$A$3:$A$193&lt;=NS, 'In Process Calc.'!$O$3:$O$193),IF('In Process Calc.'!$A$3:$A$193&lt;=NS,'In Process Calc.'!$U$3:$U$193)), $H9)</f>
        <v>0.92250852685798002</v>
      </c>
      <c r="O9" s="173"/>
      <c r="P9" s="174" cm="1">
        <f t="array" ref="P9">IF($J9="Yes", SLOPE(IF('In Process Calc.'!$A$3:$A$193&gt;NS, 'In Process Calc.'!$O$3:$O$193),IF('In Process Calc.'!$A$3:$A$193&gt;NS,'In Process Calc.'!$U$3:$U$193)), $F9)</f>
        <v>2.3979719911285544</v>
      </c>
      <c r="Q9" s="173"/>
      <c r="R9" s="176" cm="1">
        <f t="array" ref="R9">IF($J9="Yes", RSQ(IF('In Process Calc.'!$A$3:$A$193&gt;NS, 'In Process Calc.'!$O$3:$O$193),IF('In Process Calc.'!$A$3:$A$193&gt;NS,'In Process Calc.'!$U$3:$U$193)), $H9)</f>
        <v>0.69101992798468181</v>
      </c>
    </row>
    <row r="10" spans="1:18">
      <c r="A10" s="195" t="s">
        <v>274</v>
      </c>
      <c r="B10" s="196"/>
      <c r="C10" s="172"/>
      <c r="D10" s="174">
        <v>0.23333333333333334</v>
      </c>
      <c r="E10" s="173"/>
      <c r="F10" s="174">
        <f>SLOPE('In Process Calc.'!$P$3:$P$193,'In Process Calc.'!$U$3:$U$193)</f>
        <v>0.18643332546220112</v>
      </c>
      <c r="G10" s="173"/>
      <c r="H10" s="174">
        <f>RSQ('In Process Calc.'!$P$3:$P$193,'In Process Calc.'!$U$3:$U$193)</f>
        <v>0.12060135634904728</v>
      </c>
      <c r="I10" s="197"/>
      <c r="J10" s="203" t="s">
        <v>420</v>
      </c>
      <c r="K10" s="199" t="s">
        <v>274</v>
      </c>
      <c r="L10" s="174" cm="1">
        <f t="array" ref="L10">IF($J10="Yes", SLOPE(IF('In Process Calc.'!$A$3:$A$193&lt;=NS,'In Process Calc.'!$P$3:$P$193),IF('In Process Calc.'!$A$3:$A$193&lt;=NS,'In Process Calc.'!$U$3:$U$193)),$F10)</f>
        <v>0.22962092135609255</v>
      </c>
      <c r="M10" s="173"/>
      <c r="N10" s="174" cm="1">
        <f t="array" ref="N10">IF($J10="Yes", RSQ(IF('In Process Calc.'!$A$3:$A$193&lt;=NS,'In Process Calc.'!$P$3:$P$193),IF('In Process Calc.'!$A$3:$A$193&lt;=NS,'In Process Calc.'!$U$3:$U$193)),$H10)</f>
        <v>0.52032720053718939</v>
      </c>
      <c r="O10" s="197"/>
      <c r="P10" s="174" cm="1">
        <f t="array" ref="P10">IF($J10="Yes", SLOPE(IF('In Process Calc.'!$A$3:$A$193&gt;NS, 'In Process Calc.'!$P$3:$P$193),IF('In Process Calc.'!$A$3:$A$193&gt;NS,'In Process Calc.'!$U$3:$U$193)), $F10)</f>
        <v>0.29682774550763369</v>
      </c>
      <c r="Q10" s="173"/>
      <c r="R10" s="176" cm="1">
        <f t="array" ref="R10">IF($J10="Yes", RSQ(IF('In Process Calc.'!$A$3:$A$193&gt;NS, 'In Process Calc.'!$P$3:$P$193),IF('In Process Calc.'!$A$3:$A$193&gt;NS,'In Process Calc.'!$U$3:$U$193)), $H10)</f>
        <v>0.64890251999845849</v>
      </c>
    </row>
    <row r="11" spans="1:18">
      <c r="A11" s="195" t="s">
        <v>275</v>
      </c>
      <c r="B11" s="196"/>
      <c r="C11" s="172"/>
      <c r="D11" s="174">
        <v>1.6666666666666666E-2</v>
      </c>
      <c r="E11" s="173"/>
      <c r="F11" s="174">
        <f>SLOPE('In Process Calc.'!$Q$3:$Q$193,'In Process Calc.'!$U$3:$U$193)</f>
        <v>-1.7648407404040405</v>
      </c>
      <c r="G11" s="173"/>
      <c r="H11" s="174">
        <f>RSQ('In Process Calc.'!$Q$3:$Q$193,'In Process Calc.'!$U$3:$U$193)</f>
        <v>0.56158966594453141</v>
      </c>
      <c r="I11" s="197"/>
      <c r="J11" s="203" t="s">
        <v>420</v>
      </c>
      <c r="K11" s="199" t="s">
        <v>275</v>
      </c>
      <c r="L11" s="174" cm="1">
        <f t="array" ref="L11">IF($J11="Yes", SLOPE(IF('In Process Calc.'!$A$3:$A$193&lt;=NS,'In Process Calc.'!$Q$3:$Q$193),IF('In Process Calc.'!$A$3:$A$193&lt;=NS,'In Process Calc.'!$U$3:$U$193)),$F11)</f>
        <v>-1.5149876122926493</v>
      </c>
      <c r="M11" s="173"/>
      <c r="N11" s="174" cm="1">
        <f t="array" ref="N11">IF($J11="Yes", RSQ(IF('In Process Calc.'!$A$3:$A$193&lt;=NS,'In Process Calc.'!$Q$3:$Q$193),IF('In Process Calc.'!$A$3:$A$193&lt;=NS,'In Process Calc.'!$U$3:$U$193)),$H11)</f>
        <v>0.78595493041887887</v>
      </c>
      <c r="O11" s="197"/>
      <c r="P11" s="174" cm="1">
        <f t="array" ref="P11">IF($J11="Yes", SLOPE(IF('In Process Calc.'!$A$3:$A$193&gt;NS, 'In Process Calc.'!$Q$3:$Q$193),IF('In Process Calc.'!$A$3:$A$193&gt;NS,'In Process Calc.'!$U$3:$U$193)), $F11)</f>
        <v>-1.4018070152176949E-2</v>
      </c>
      <c r="Q11" s="173"/>
      <c r="R11" s="176" cm="1">
        <f t="array" ref="R11">IF($J11="Yes", RSQ(IF('In Process Calc.'!$A$3:$A$193&gt;NS, 'In Process Calc.'!$Q$3:$Q$193),IF('In Process Calc.'!$A$3:$A$193&gt;NS,'In Process Calc.'!$U$3:$U$193)), $H11)</f>
        <v>0.85979153608278414</v>
      </c>
    </row>
    <row r="12" spans="1:18">
      <c r="A12" s="195" t="s">
        <v>276</v>
      </c>
      <c r="B12" s="196"/>
      <c r="C12" s="172"/>
      <c r="D12" s="174">
        <v>1.6666666666666666E-2</v>
      </c>
      <c r="E12" s="173"/>
      <c r="F12" s="174">
        <f>SLOPE('In Process Calc.'!$R$3:$R$193,'In Process Calc.'!$U$3:$U$193)</f>
        <v>0.4032836711432608</v>
      </c>
      <c r="G12" s="173"/>
      <c r="H12" s="174">
        <f>RSQ('In Process Calc.'!$R$3:$R$193,'In Process Calc.'!$U$3:$U$193)</f>
        <v>0.48678238957142811</v>
      </c>
      <c r="I12" s="197"/>
      <c r="J12" s="203" t="s">
        <v>420</v>
      </c>
      <c r="K12" s="199" t="s">
        <v>276</v>
      </c>
      <c r="L12" s="174" cm="1">
        <f t="array" ref="L12">IF($J12="Yes", SLOPE(IF('In Process Calc.'!$A$3:$A$193&lt;=NS,'In Process Calc.'!$R$3:$R$193),IF('In Process Calc.'!$A$3:$A$193&lt;=NS,'In Process Calc.'!$U$3:$U$193)),$F12)</f>
        <v>0.39778766053739045</v>
      </c>
      <c r="M12" s="173"/>
      <c r="N12" s="174" cm="1">
        <f t="array" ref="N12">IF($J12="Yes", RSQ(IF('In Process Calc.'!$A$3:$A$193&lt;=NS,'In Process Calc.'!$R$3:$R$193),IF('In Process Calc.'!$A$3:$A$193&lt;=NS,'In Process Calc.'!$U$3:$U$193)),$H12)</f>
        <v>0.81002486124776252</v>
      </c>
      <c r="O12" s="197"/>
      <c r="P12" s="174" cm="1">
        <f t="array" ref="P12">IF($J12="Yes", SLOPE(IF('In Process Calc.'!$A$3:$A$193&gt;NS, 'In Process Calc.'!$R$3:$R$193),IF('In Process Calc.'!$A$3:$A$193&gt;NS,'In Process Calc.'!$U$3:$U$193)), $F12)</f>
        <v>-0.72339540652187806</v>
      </c>
      <c r="Q12" s="173"/>
      <c r="R12" s="176" cm="1">
        <f t="array" ref="R12">IF($J12="Yes", RSQ(IF('In Process Calc.'!$A$3:$A$193&gt;NS, 'In Process Calc.'!$R$3:$R$193),IF('In Process Calc.'!$A$3:$A$193&gt;NS,'In Process Calc.'!$U$3:$U$193)), $H12)</f>
        <v>0.70354199995793176</v>
      </c>
    </row>
    <row r="13" spans="1:18">
      <c r="A13" s="195" t="s">
        <v>369</v>
      </c>
      <c r="B13" s="196"/>
      <c r="C13" s="172"/>
      <c r="D13" s="173"/>
      <c r="E13" s="173"/>
      <c r="F13" s="174">
        <f>SLOPE('In Process Calc.'!$S$3:$S$193,'In Process Calc.'!$U$3:$U$193)</f>
        <v>-0.26136532880249363</v>
      </c>
      <c r="G13" s="173"/>
      <c r="H13" s="174">
        <f>RSQ('In Process Calc.'!$S$3:$S$193,'In Process Calc.'!$U$3:$U$193)</f>
        <v>0.75546304302833378</v>
      </c>
      <c r="I13" s="197"/>
      <c r="J13" s="203" t="s">
        <v>420</v>
      </c>
      <c r="K13" s="199" t="s">
        <v>369</v>
      </c>
      <c r="L13" s="174" cm="1">
        <f t="array" ref="L13">IF($J13="Yes", SLOPE(IF('In Process Calc.'!$A$3:$A$193&lt;=NS,'In Process Calc.'!$S$3:$S$193),IF('In Process Calc.'!$A$3:$A$193&lt;=NS,'In Process Calc.'!$U$3:$U$193)),$F13)</f>
        <v>-0.23681228992028089</v>
      </c>
      <c r="M13" s="173"/>
      <c r="N13" s="174" cm="1">
        <f t="array" ref="N13">IF($J13="Yes", RSQ(IF('In Process Calc.'!$A$3:$A$193&lt;=NS,'In Process Calc.'!$S$3:$S$193),IF('In Process Calc.'!$A$3:$A$193&lt;=NS,'In Process Calc.'!$U$3:$U$193)),$H13)</f>
        <v>0.92580277309882308</v>
      </c>
      <c r="O13" s="197"/>
      <c r="P13" s="174" cm="1">
        <f t="array" ref="P13">IF($J13="Yes", SLOPE(IF('In Process Calc.'!$A$3:$A$193&gt;NS, 'In Process Calc.'!$S$3:$S$193),IF('In Process Calc.'!$A$3:$A$193&gt;NS,'In Process Calc.'!$U$3:$U$193)), $F13)</f>
        <v>-0.28556719787319446</v>
      </c>
      <c r="Q13" s="173"/>
      <c r="R13" s="176" cm="1">
        <f t="array" ref="R13">IF($J13="Yes", RSQ(IF('In Process Calc.'!$A$3:$A$193&gt;NS, 'In Process Calc.'!$S$3:$S$193),IF('In Process Calc.'!$A$3:$A$193&gt;NS,'In Process Calc.'!$U$3:$U$193)), $H13)</f>
        <v>0.98087360613381946</v>
      </c>
    </row>
    <row r="14" spans="1:18">
      <c r="A14" s="195" t="s">
        <v>277</v>
      </c>
      <c r="B14" s="196"/>
      <c r="C14" s="172"/>
      <c r="D14" s="174">
        <v>2.2202486678507993</v>
      </c>
      <c r="E14" s="173"/>
      <c r="F14" s="174">
        <f>SLOPE('In Process Calc.'!$V$3:$V$193,'In Process Calc.'!$U$3:$U$193)</f>
        <v>2.4865792186946494</v>
      </c>
      <c r="G14" s="173"/>
      <c r="H14" s="174">
        <f>RSQ('In Process Calc.'!$V$3:$V$193,'In Process Calc.'!$U$3:$U$193)</f>
        <v>0.35624691761006216</v>
      </c>
      <c r="I14" s="197"/>
      <c r="J14" s="203" t="s">
        <v>420</v>
      </c>
      <c r="K14" s="199" t="s">
        <v>277</v>
      </c>
      <c r="L14" s="174" cm="1">
        <f t="array" ref="L14">IF($J14="Yes", SLOPE(IF('In Process Calc.'!$A$3:$A$193&lt;=NS,'In Process Calc.'!$V$3:$V$193),IF('In Process Calc.'!$A$3:$A$193&lt;=NS,'In Process Calc.'!$U$3:$U$193)),$F14)</f>
        <v>3.31371621571268</v>
      </c>
      <c r="M14" s="173"/>
      <c r="N14" s="174" cm="1">
        <f t="array" ref="N14">IF($J14="Yes", RSQ(IF('In Process Calc.'!$A$3:$A$193&lt;=NS,'In Process Calc.'!$V$3:$V$193),IF('In Process Calc.'!$A$3:$A$193&lt;=NS,'In Process Calc.'!$U$3:$U$193)),$H14)</f>
        <v>0.79628574435939414</v>
      </c>
      <c r="O14" s="197"/>
      <c r="P14" s="174" cm="1">
        <f t="array" ref="P14">IF($J14="Yes", SLOPE(IF('In Process Calc.'!$A$3:$A$193&gt;NS, 'In Process Calc.'!$V$3:$V$193),IF('In Process Calc.'!$A$3:$A$193&gt;NS,'In Process Calc.'!$U$3:$U$193)), $F14)</f>
        <v>0.82851845843087002</v>
      </c>
      <c r="Q14" s="173"/>
      <c r="R14" s="176" cm="1">
        <f t="array" ref="R14">IF($J14="Yes", RSQ(IF('In Process Calc.'!$A$3:$A$193&gt;NS, 'In Process Calc.'!$V$3:$V$193),IF('In Process Calc.'!$A$3:$A$193&gt;NS,'In Process Calc.'!$U$3:$U$193)), $H14)</f>
        <v>0.28124144605138607</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0.22962092135609255</v>
      </c>
      <c r="M23" s="173"/>
      <c r="N23" s="174" cm="1">
        <f t="array" ref="N23">IF($J23="Yes", RSQ(IF('In Process Calc.'!$A$3:$A$193&lt;=NS,'In Process Calc.'!$P$3:$P$193),IF('In Process Calc.'!$A$3:$A$193&lt;=NS,'In Process Calc.'!$U$3:$U$193)),$H23)</f>
        <v>0.52032720053718939</v>
      </c>
      <c r="O23" s="197"/>
      <c r="P23" s="174" cm="1">
        <f t="array" ref="P23">IF($J23="Yes", SLOPE(IF('In Process Calc.'!$A$3:$A$193&gt;NS, 'In Process Calc.'!$P$3:$P$193),IF('In Process Calc.'!$A$3:$A$193&gt;NS,'In Process Calc.'!$U$3:$U$193)), $F23)</f>
        <v>0.29682774550763369</v>
      </c>
      <c r="Q23" s="173"/>
      <c r="R23" s="176" cm="1">
        <f t="array" ref="R23">IF($J23="Yes", RSQ(IF('In Process Calc.'!$A$3:$A$193&gt;NS, 'In Process Calc.'!$P$3:$P$193),IF('In Process Calc.'!$A$3:$A$193&gt;NS,'In Process Calc.'!$U$3:$U$193)), $H23)</f>
        <v>0.64890251999845849</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10.909722222218988</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21.199999999953434</v>
      </c>
      <c r="G3" s="146">
        <f>'In Process Calc.'!$C5</f>
        <v>48.46666666661622</v>
      </c>
      <c r="H3" s="146">
        <f>'In Process Calc.'!$C6</f>
        <v>70.96666666661622</v>
      </c>
      <c r="I3" s="146">
        <f>'In Process Calc.'!$C7</f>
        <v>95.449999999953434</v>
      </c>
      <c r="J3" s="146">
        <f>'In Process Calc.'!$C8</f>
        <v>115.8833333333605</v>
      </c>
      <c r="K3" s="146">
        <f>'In Process Calc.'!$C9</f>
        <v>141.08333333325572</v>
      </c>
      <c r="L3" s="146">
        <f>'In Process Calc.'!$C10</f>
        <v>164.73333333333721</v>
      </c>
      <c r="M3" s="146">
        <f>'In Process Calc.'!$C11</f>
        <v>189.11666666652309</v>
      </c>
      <c r="N3" s="146">
        <f>'In Process Calc.'!$C12</f>
        <v>213.06666666653473</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0.10340337201688937</v>
      </c>
      <c r="C4" s="234" cm="1">
        <f t="array" ref="C4">-SLOPE(IF('In Process Calc.'!$A$3:$A$93&gt;NS, 'In Process Calc.'!$N$3:$N$93),IF('In Process Calc.'!$A$3:$A$93&gt;NS, 'In Process Calc.'!$T$3:$T$93))*C$15/22.53</f>
        <v>5.1674462364893668E-2</v>
      </c>
      <c r="D4" s="148"/>
      <c r="E4" s="149" t="s">
        <v>400</v>
      </c>
      <c r="F4" s="236">
        <f>'Post Process Calc.'!$E4/22.53</f>
        <v>-1.2102143305603912</v>
      </c>
      <c r="G4" s="236">
        <f>'Post Process Calc.'!$E5/22.53</f>
        <v>-0.16322462292701223</v>
      </c>
      <c r="H4" s="236">
        <f>'Post Process Calc.'!$E6/22.53</f>
        <v>0.10589404367275444</v>
      </c>
      <c r="I4" s="236">
        <f>'Post Process Calc.'!$E7/22.53</f>
        <v>0.15563710099686218</v>
      </c>
      <c r="J4" s="236">
        <f>'Post Process Calc.'!$E8/22.53</f>
        <v>0.15306637068415652</v>
      </c>
      <c r="K4" s="236">
        <f>'Post Process Calc.'!$E9/22.53</f>
        <v>0.12524973807078671</v>
      </c>
      <c r="L4" s="236">
        <f>'Post Process Calc.'!$E10/22.53</f>
        <v>9.9533792845788602E-2</v>
      </c>
      <c r="M4" s="236">
        <f>'Post Process Calc.'!$E11/22.53</f>
        <v>8.8637435942906379E-2</v>
      </c>
      <c r="N4" s="236">
        <f>'Post Process Calc.'!$E12/22.53</f>
        <v>7.6413416132108725E-2</v>
      </c>
      <c r="O4" s="236">
        <f>'Post Process Calc.'!$E13/22.53</f>
        <v>7.7404011406326093E-2</v>
      </c>
      <c r="P4" s="236">
        <f>'Post Process Calc.'!$E14/22.53</f>
        <v>8.2612124053420458E-2</v>
      </c>
      <c r="Q4" s="236">
        <f>'Post Process Calc.'!$E15/22.53</f>
        <v>8.3583332296225138E-2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9.7746982187014268E-3</v>
      </c>
      <c r="C7" s="234">
        <f>'Stoichiometric Ratios'!$P9*'Specific Rate Tables'!$C$16</f>
        <v>-4.7167171734383423E-3</v>
      </c>
      <c r="D7" s="151"/>
      <c r="E7" s="149" t="s">
        <v>66</v>
      </c>
      <c r="F7" s="237">
        <f>-'Post Process Calc.'!$F4</f>
        <v>-0.15003455023322376</v>
      </c>
      <c r="G7" s="237">
        <f>-'Post Process Calc.'!$F5</f>
        <v>2.5403978270953313E-3</v>
      </c>
      <c r="H7" s="237">
        <f>-'Post Process Calc.'!$F6</f>
        <v>3.175328322007797E-2</v>
      </c>
      <c r="I7" s="237">
        <f>-'Post Process Calc.'!$F7</f>
        <v>2.8728329475562017E-2</v>
      </c>
      <c r="J7" s="237">
        <f>-'Post Process Calc.'!$F8</f>
        <v>2.3522753717361469E-2</v>
      </c>
      <c r="K7" s="237">
        <f>-'Post Process Calc.'!$F9</f>
        <v>1.5759403765422782E-2</v>
      </c>
      <c r="L7" s="237">
        <f>-'Post Process Calc.'!$F10</f>
        <v>1.0104163443930858E-2</v>
      </c>
      <c r="M7" s="237">
        <f>-'Post Process Calc.'!$F11</f>
        <v>6.675141041872305E-3</v>
      </c>
      <c r="N7" s="237">
        <f>-'Post Process Calc.'!$F12</f>
        <v>3.5780452477968136E-3</v>
      </c>
      <c r="O7" s="237">
        <f>-'Post Process Calc.'!$F13</f>
        <v>9.6775866209559069E-4</v>
      </c>
      <c r="P7" s="237">
        <f>-'Post Process Calc.'!$F14</f>
        <v>-2.1159392486033062E-3</v>
      </c>
      <c r="Q7" s="237">
        <f>-'Post Process Calc.'!$F15</f>
        <v>-5.8558395614676005E-3</v>
      </c>
      <c r="R7" s="7"/>
      <c r="S7" s="7"/>
      <c r="T7" s="7"/>
      <c r="U7" s="7"/>
      <c r="V7" s="7"/>
    </row>
    <row r="8" spans="1:22">
      <c r="A8" s="150" t="s">
        <v>67</v>
      </c>
      <c r="B8" s="234">
        <f>'Stoichiometric Ratios'!$L10*'Specific Rate Tables'!$B$16</f>
        <v>1.2068188113172262E-3</v>
      </c>
      <c r="C8" s="234">
        <f>'Stoichiometric Ratios'!$P10*'Specific Rate Tables'!$C$16</f>
        <v>-5.8384857286424637E-4</v>
      </c>
      <c r="D8" s="151"/>
      <c r="E8" s="149" t="s">
        <v>67</v>
      </c>
      <c r="F8" s="237">
        <f>-'Post Process Calc.'!$G4</f>
        <v>1.4041641665740786E-2</v>
      </c>
      <c r="G8" s="237">
        <f>-'Post Process Calc.'!$G5</f>
        <v>8.5402151887304777E-3</v>
      </c>
      <c r="H8" s="237">
        <f>-'Post Process Calc.'!$G6</f>
        <v>5.2557660673670506E-3</v>
      </c>
      <c r="I8" s="237">
        <f>-'Post Process Calc.'!$G7</f>
        <v>2.5755388885567985E-3</v>
      </c>
      <c r="J8" s="237">
        <f>-'Post Process Calc.'!$G8</f>
        <v>1.4906083022295689E-3</v>
      </c>
      <c r="K8" s="237">
        <f>-'Post Process Calc.'!$G9</f>
        <v>6.4830052867142303E-4</v>
      </c>
      <c r="L8" s="237">
        <f>-'Post Process Calc.'!$G10</f>
        <v>2.0828231290731349E-4</v>
      </c>
      <c r="M8" s="237">
        <f>-'Post Process Calc.'!$G11</f>
        <v>-6.066265299499687E-5</v>
      </c>
      <c r="N8" s="237">
        <f>-'Post Process Calc.'!$G12</f>
        <v>-2.5712633479172737E-4</v>
      </c>
      <c r="O8" s="237">
        <f>-'Post Process Calc.'!$G13</f>
        <v>-5.0772154185427937E-4</v>
      </c>
      <c r="P8" s="237">
        <f>-'Post Process Calc.'!$G14</f>
        <v>-8.1688019205107217E-4</v>
      </c>
      <c r="Q8" s="237">
        <f>-'Post Process Calc.'!$G15</f>
        <v>-1.1662969197725342E-3</v>
      </c>
      <c r="R8" s="7"/>
      <c r="S8" s="7"/>
      <c r="T8" s="7"/>
      <c r="U8" s="7"/>
      <c r="V8" s="7"/>
    </row>
    <row r="9" spans="1:22">
      <c r="A9" s="150" t="s">
        <v>68</v>
      </c>
      <c r="B9" s="234">
        <f>'Stoichiometric Ratios'!$L11*'Specific Rate Tables'!$B$16</f>
        <v>-7.9623212842701487E-3</v>
      </c>
      <c r="C9" s="234">
        <f>'Stoichiometric Ratios'!$P11*'Specific Rate Tables'!$C$16</f>
        <v>2.7572996044094256E-5</v>
      </c>
      <c r="D9" s="151"/>
      <c r="E9" s="149" t="s">
        <v>68</v>
      </c>
      <c r="F9" s="237">
        <f>-'Post Process Calc.'!$H4</f>
        <v>-1.3670191841330101E-2</v>
      </c>
      <c r="G9" s="237">
        <f>-'Post Process Calc.'!$H5</f>
        <v>3.3469966757559864E-3</v>
      </c>
      <c r="H9" s="237">
        <f>-'Post Process Calc.'!$H6</f>
        <v>9.7366568913388361E-4</v>
      </c>
      <c r="I9" s="237">
        <f>-'Post Process Calc.'!$H7</f>
        <v>-2.4315697743294358E-3</v>
      </c>
      <c r="J9" s="237">
        <f>-'Post Process Calc.'!$H8</f>
        <v>-4.0145403770987173E-3</v>
      </c>
      <c r="K9" s="237">
        <f>-'Post Process Calc.'!$H9</f>
        <v>-4.4586084135094647E-3</v>
      </c>
      <c r="L9" s="237">
        <f>-'Post Process Calc.'!$H10</f>
        <v>-4.1098342225424885E-3</v>
      </c>
      <c r="M9" s="237">
        <f>-'Post Process Calc.'!$H11</f>
        <v>-3.860028245921565E-3</v>
      </c>
      <c r="N9" s="237">
        <f>-'Post Process Calc.'!$H12</f>
        <v>-3.2505344397707292E-3</v>
      </c>
      <c r="O9" s="237">
        <f>-'Post Process Calc.'!$H13</f>
        <v>-2.8978800804004908E-3</v>
      </c>
      <c r="P9" s="237">
        <f>-'Post Process Calc.'!$H14</f>
        <v>-2.0857343993721917E-3</v>
      </c>
      <c r="Q9" s="237">
        <f>-'Post Process Calc.'!$H15</f>
        <v>-4.6205087507694622E-4</v>
      </c>
      <c r="R9" s="7"/>
      <c r="S9" s="7"/>
      <c r="T9" s="7"/>
      <c r="U9" s="7"/>
      <c r="V9" s="7"/>
    </row>
    <row r="10" spans="1:22">
      <c r="A10" s="150" t="s">
        <v>395</v>
      </c>
      <c r="B10" s="234">
        <f>'Stoichiometric Ratios'!$L12*'Specific Rate Tables'!$B$16</f>
        <v>2.0906528412623511E-3</v>
      </c>
      <c r="C10" s="234">
        <f>'Stoichiometric Ratios'!$P12*'Specific Rate Tables'!$C$16</f>
        <v>1.4228904881922095E-3</v>
      </c>
      <c r="D10" s="151"/>
      <c r="E10" s="149" t="s">
        <v>69</v>
      </c>
      <c r="F10" s="237">
        <f>-'Post Process Calc.'!$I4</f>
        <v>-9.2673510411092327E-2</v>
      </c>
      <c r="G10" s="237">
        <f>-'Post Process Calc.'!$I5</f>
        <v>8.5129385370001087E-3</v>
      </c>
      <c r="H10" s="237">
        <f>-'Post Process Calc.'!$I6</f>
        <v>2.047180183250974E-2</v>
      </c>
      <c r="I10" s="237">
        <f>-'Post Process Calc.'!$I7</f>
        <v>1.4053567781549267E-2</v>
      </c>
      <c r="J10" s="237">
        <f>-'Post Process Calc.'!$I8</f>
        <v>9.1139346601547874E-3</v>
      </c>
      <c r="K10" s="237">
        <f>-'Post Process Calc.'!$I9</f>
        <v>4.1603717861920268E-3</v>
      </c>
      <c r="L10" s="237">
        <f>-'Post Process Calc.'!$I10</f>
        <v>1.3879212715268701E-3</v>
      </c>
      <c r="M10" s="237">
        <f>-'Post Process Calc.'!$I11</f>
        <v>-1.7067395332874847E-4</v>
      </c>
      <c r="N10" s="237">
        <f>-'Post Process Calc.'!$I12</f>
        <v>-1.0443411158599983E-3</v>
      </c>
      <c r="O10" s="237">
        <f>-'Post Process Calc.'!$I13</f>
        <v>-1.6523868299114322E-3</v>
      </c>
      <c r="P10" s="237">
        <f>-'Post Process Calc.'!$I14</f>
        <v>-1.9214891534916879E-3</v>
      </c>
      <c r="Q10" s="237">
        <f>-'Post Process Calc.'!$I15</f>
        <v>-1.5660468505655179E-3</v>
      </c>
      <c r="R10" s="7"/>
      <c r="S10" s="7"/>
      <c r="T10" s="7"/>
      <c r="U10" s="7"/>
      <c r="V10" s="7"/>
    </row>
    <row r="11" spans="1:22">
      <c r="A11" s="150" t="s">
        <v>70</v>
      </c>
      <c r="B11" s="234">
        <f>-SUMIF('In Process Calc.'!$A$4:$A$93,"&lt;="&amp;NS,'In Process Calc.'!$AS$4:$AS$93)/COUNTIF('In Process Calc.'!$A$4:$A$93,"&lt;="&amp;NS)*240/25.474</f>
        <v>-0.14825078295196445</v>
      </c>
      <c r="C11" s="234">
        <f>-SUMIF('In Process Calc.'!$A$4:$A$93,"&gt;"&amp;NS,'In Process Calc.'!$AS$4:$AS$93)/COUNTIF('In Process Calc.'!$A$4:$A$93,"&gt;"&amp;NS)*240/25.474</f>
        <v>1.1981329685256028E-2</v>
      </c>
      <c r="D11" s="151"/>
      <c r="E11" s="149" t="s">
        <v>70</v>
      </c>
      <c r="F11" s="236">
        <f>'Post Process Calc.'!$C4*240/25.474</f>
        <v>0.2466176359852886</v>
      </c>
      <c r="G11" s="236">
        <f>'Post Process Calc.'!$C5*240/25.474</f>
        <v>0.24057531290692466</v>
      </c>
      <c r="H11" s="236">
        <f>'Post Process Calc.'!$C6*240/25.474</f>
        <v>0.23152017520017398</v>
      </c>
      <c r="I11" s="236">
        <f>'Post Process Calc.'!$C7*240/25.474</f>
        <v>0.21495058003807666</v>
      </c>
      <c r="J11" s="236">
        <f>'Post Process Calc.'!$C8*240/25.474</f>
        <v>0.19391899877815877</v>
      </c>
      <c r="K11" s="236">
        <f>'Post Process Calc.'!$C9*240/25.474</f>
        <v>0.15844807815412509</v>
      </c>
      <c r="L11" s="236">
        <f>'Post Process Calc.'!$C10*240/25.474</f>
        <v>0.11916837410200161</v>
      </c>
      <c r="M11" s="236">
        <f>'Post Process Calc.'!$C11*240/25.474</f>
        <v>8.0139057071384454E-2</v>
      </c>
      <c r="N11" s="236">
        <f>'Post Process Calc.'!$C12*240/25.474</f>
        <v>4.9639470482415668E-2</v>
      </c>
      <c r="O11" s="236">
        <f>'Post Process Calc.'!$C13*240/25.474</f>
        <v>2.8019134900356929E-2</v>
      </c>
      <c r="P11" s="236">
        <f>'Post Process Calc.'!$C14*240/25.474</f>
        <v>1.5682235912584677E-2</v>
      </c>
      <c r="Q11" s="236">
        <f>'Post Process Calc.'!$C15*240/25.474</f>
        <v>8.7153456859002318E-3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-1.244614491306329E-3</v>
      </c>
      <c r="C13" s="234">
        <f>'Stoichiometric Ratios'!$P13*'Specific Rate Tables'!$C$16</f>
        <v>5.616995158251424E-4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-5.5096279529410284E-2</v>
      </c>
      <c r="G15" s="237">
        <f>-'Post Process Calc.'!$K5</f>
        <v>-9.3465513653296001E-2</v>
      </c>
      <c r="H15" s="237">
        <f>-'Post Process Calc.'!$K6</f>
        <v>-9.9503746540952273E-2</v>
      </c>
      <c r="I15" s="237">
        <f>-'Post Process Calc.'!$K7</f>
        <v>-8.0967790857635766E-2</v>
      </c>
      <c r="J15" s="237">
        <f>-'Post Process Calc.'!$K8</f>
        <v>-7.1817658299274681E-2</v>
      </c>
      <c r="K15" s="237">
        <f>-'Post Process Calc.'!$K9</f>
        <v>-5.7484212717558075E-2</v>
      </c>
      <c r="L15" s="237">
        <f>-'Post Process Calc.'!$K10</f>
        <v>-4.6315429675966649E-2</v>
      </c>
      <c r="M15" s="237">
        <f>-'Post Process Calc.'!$K11</f>
        <v>-4.222280263055788E-2</v>
      </c>
      <c r="N15" s="237">
        <f>-'Post Process Calc.'!$K12</f>
        <v>-3.7188412926494746E-2</v>
      </c>
      <c r="O15" s="237">
        <f>-'Post Process Calc.'!$K13</f>
        <v>-3.8200287551901899E-2</v>
      </c>
      <c r="P15" s="237">
        <f>-'Post Process Calc.'!$K14</f>
        <v>-4.075970141112055E-2</v>
      </c>
      <c r="Q15" s="237">
        <f>-'Post Process Calc.'!$K15</f>
        <v>-4.0464969614902244E-2</v>
      </c>
      <c r="R15" s="7"/>
      <c r="S15" s="7"/>
      <c r="T15" s="7"/>
      <c r="U15" s="7"/>
      <c r="V15" s="7"/>
    </row>
    <row r="16" spans="1:22">
      <c r="A16" s="150" t="s">
        <v>401</v>
      </c>
      <c r="B16" s="234">
        <f>'Stoichiometric Ratios'!L4*'Specific Rate Tables'!B15</f>
        <v>5.2557005876903975E-3</v>
      </c>
      <c r="C16" s="234">
        <f>'Stoichiometric Ratios'!P4*'Specific Rate Tables'!C15</f>
        <v>-1.9669609115069439E-3</v>
      </c>
      <c r="D16" s="153"/>
      <c r="E16" s="149" t="s">
        <v>75</v>
      </c>
      <c r="F16" s="237">
        <f>-'Post Process Calc.'!$L4</f>
        <v>6.86143953030039E-3</v>
      </c>
      <c r="G16" s="237">
        <f>-'Post Process Calc.'!$L5</f>
        <v>-3.4893971256530283E-3</v>
      </c>
      <c r="H16" s="237">
        <f>-'Post Process Calc.'!$L6</f>
        <v>5.3373829133951962E-3</v>
      </c>
      <c r="I16" s="237">
        <f>-'Post Process Calc.'!$L7</f>
        <v>8.0147364350930637E-3</v>
      </c>
      <c r="J16" s="237">
        <f>-'Post Process Calc.'!$L8</f>
        <v>7.3736015101016055E-3</v>
      </c>
      <c r="K16" s="237">
        <f>-'Post Process Calc.'!$L9</f>
        <v>4.8906321548188641E-3</v>
      </c>
      <c r="L16" s="237">
        <f>-'Post Process Calc.'!$L10</f>
        <v>2.7210955859687963E-3</v>
      </c>
      <c r="M16" s="237">
        <f>-'Post Process Calc.'!$L11</f>
        <v>1.261838209222753E-3</v>
      </c>
      <c r="N16" s="237">
        <f>-'Post Process Calc.'!$L12</f>
        <v>1.9625647499637043E-4</v>
      </c>
      <c r="O16" s="237">
        <f>-'Post Process Calc.'!$L13</f>
        <v>-5.6024663916141469E-4</v>
      </c>
      <c r="P16" s="237">
        <f>-'Post Process Calc.'!$L14</f>
        <v>-1.0634132702051465E-3</v>
      </c>
      <c r="Q16" s="237">
        <f>-'Post Process Calc.'!$L15</f>
        <v>-1.2367299010639639E-3</v>
      </c>
      <c r="R16" s="7"/>
      <c r="S16" s="7"/>
      <c r="T16" s="7"/>
      <c r="U16" s="7"/>
      <c r="V16" s="7"/>
    </row>
    <row r="17" spans="1:22">
      <c r="A17" s="150" t="s">
        <v>394</v>
      </c>
      <c r="B17" s="234">
        <f>'Stoichiometric Ratios'!$L14*'Specific Rate Tables'!$B$16</f>
        <v>1.7415900262360333E-2</v>
      </c>
      <c r="C17" s="234">
        <f>'Stoichiometric Ratios'!$P14*'Specific Rate Tables'!$C$16</f>
        <v>-1.6296634221955122E-3</v>
      </c>
      <c r="D17" s="153"/>
      <c r="E17" s="149" t="s">
        <v>76</v>
      </c>
      <c r="F17" s="237">
        <f>-'Post Process Calc.'!$M4</f>
        <v>0.4367868234980537</v>
      </c>
      <c r="G17" s="237">
        <f>-'Post Process Calc.'!$M5</f>
        <v>0.21349849918675431</v>
      </c>
      <c r="H17" s="237">
        <f>-'Post Process Calc.'!$M6</f>
        <v>0.1154150358805462</v>
      </c>
      <c r="I17" s="237">
        <f>-'Post Process Calc.'!$M7</f>
        <v>5.1504022615961133E-2</v>
      </c>
      <c r="J17" s="237">
        <f>-'Post Process Calc.'!$M8</f>
        <v>2.8652684533508384E-2</v>
      </c>
      <c r="K17" s="237">
        <f>-'Post Process Calc.'!$M9</f>
        <v>1.2342718576888869E-2</v>
      </c>
      <c r="L17" s="237">
        <f>-'Post Process Calc.'!$M10</f>
        <v>4.4342379307815557E-3</v>
      </c>
      <c r="M17" s="237">
        <f>-'Post Process Calc.'!$M11</f>
        <v>7.0074137988797702E-6</v>
      </c>
      <c r="N17" s="237">
        <f>-'Post Process Calc.'!$M12</f>
        <v>-3.0278096191329231E-3</v>
      </c>
      <c r="O17" s="237">
        <f>-'Post Process Calc.'!$M13</f>
        <v>-6.2861311649147801E-3</v>
      </c>
      <c r="P17" s="237">
        <f>-'Post Process Calc.'!$M14</f>
        <v>-1.0173645572428247E-2</v>
      </c>
      <c r="Q17" s="237">
        <f>-'Post Process Calc.'!$M15</f>
        <v>-1.4127377639042283E-2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-1.6295633778582376E-2</v>
      </c>
      <c r="C21" s="234">
        <f>'Stoichiometric Ratios'!P5*'Specific Rate Tables'!C15</f>
        <v>-5.3903862470769067E-4</v>
      </c>
      <c r="D21" s="153"/>
      <c r="E21" s="149" t="s">
        <v>80</v>
      </c>
      <c r="F21" s="237">
        <f>'Post Process Calc.'!$Q4</f>
        <v>2.8827663182812099E-2</v>
      </c>
      <c r="G21" s="237">
        <f>'Post Process Calc.'!$Q5</f>
        <v>6.7210332266750106E-2</v>
      </c>
      <c r="H21" s="237">
        <f>'Post Process Calc.'!$Q6</f>
        <v>6.6383455431723526E-2</v>
      </c>
      <c r="I21" s="237">
        <f>'Post Process Calc.'!$Q7</f>
        <v>4.3994922326562366E-2</v>
      </c>
      <c r="J21" s="237">
        <f>'Post Process Calc.'!$Q8</f>
        <v>2.9857828146996605E-2</v>
      </c>
      <c r="K21" s="237">
        <f>'Post Process Calc.'!$Q9</f>
        <v>1.4707185509965399E-2</v>
      </c>
      <c r="L21" s="237">
        <f>'Post Process Calc.'!$Q10</f>
        <v>5.1732638699410888E-3</v>
      </c>
      <c r="M21" s="237">
        <f>'Post Process Calc.'!$Q11</f>
        <v>-9.5114007830296833E-4</v>
      </c>
      <c r="N21" s="237">
        <f>'Post Process Calc.'!$Q12</f>
        <v>-4.9256428064741418E-3</v>
      </c>
      <c r="O21" s="237">
        <f>'Post Process Calc.'!$Q13</f>
        <v>-8.3847754917642913E-3</v>
      </c>
      <c r="P21" s="237">
        <f>'Post Process Calc.'!$Q14</f>
        <v>-1.0053208903358403E-2</v>
      </c>
      <c r="Q21" s="237">
        <f>'Post Process Calc.'!$Q15</f>
        <v>-7.9755282549017568E-3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1.2068188113172262E-3</v>
      </c>
      <c r="C29" s="234">
        <f>'Stoichiometric Ratios'!$P23*'Specific Rate Tables'!$C$16</f>
        <v>-5.8384857286424637E-4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XB51</v>
      </c>
      <c r="B3" s="238">
        <f>IF(ISBLANK('Measured Data'!A7),"",'Measured Data'!A7)</f>
        <v>0</v>
      </c>
      <c r="C3" s="245">
        <f>IF(ISBLANK('Measured Data'!B7),"",'Measured Data'!B7)</f>
        <v>2.2222222221898846E-2</v>
      </c>
      <c r="D3" s="246">
        <f>IF(ISBLANK('Measured Data'!C7),"",'Measured Data'!C7)</f>
        <v>0.53333333332557231</v>
      </c>
      <c r="E3" s="238">
        <f>IF(ISBLANK('Measured Data'!D7),"",'Measured Data'!D7)</f>
        <v>20</v>
      </c>
      <c r="F3" s="238" t="str">
        <f>IF(ISBLANK('Measured Data'!E7),"",'Measured Data'!E7)</f>
        <v/>
      </c>
      <c r="G3" s="238" t="str">
        <f>IF(ISBLANK('Measured Data'!G7),"",'Measured Data'!G7)</f>
        <v/>
      </c>
      <c r="H3" s="243">
        <f>IF(ISBLANK('Measured Data'!H7),"",'Measured Data'!H7)</f>
        <v>0.25</v>
      </c>
      <c r="I3" s="243">
        <f>IF(ISBLANK('Measured Data'!I7),"",'Measured Data'!I7)</f>
        <v>4.582484725050906E-3</v>
      </c>
      <c r="J3" s="243">
        <f>IF(ISBLANK('Measured Data'!J7),"",'Measured Data'!J7)</f>
        <v>0.25458248472505091</v>
      </c>
      <c r="K3" s="243">
        <f>IF(ISBLANK('Measured Data'!K7),"",'Measured Data'!K7)</f>
        <v>98.2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325</v>
      </c>
      <c r="S3" s="238" t="str">
        <f>IF(ISBLANK('Measured Data'!S7),"",'Measured Data'!S7)</f>
        <v/>
      </c>
      <c r="T3" s="243">
        <f>IF(ISBLANK('Measured Data'!U7),"",'Measured Data'!U7)</f>
        <v>5.6000000000000001E-2</v>
      </c>
      <c r="U3" s="243">
        <f>IF(ISBLANK('Measured Data'!V7),"",'Measured Data'!V7)</f>
        <v>1.976</v>
      </c>
      <c r="V3" s="243">
        <f>IF(ISBLANK('Measured Data'!W7),"",'Measured Data'!W7)</f>
        <v>6.1109999999999998</v>
      </c>
      <c r="W3" s="243">
        <f>IF(ISBLANK('Measured Data'!X7),"",'Measured Data'!X7)</f>
        <v>1.7030000000000001</v>
      </c>
      <c r="X3" s="243">
        <f>IF(ISBLANK('Measured Data'!Y7),"",'Measured Data'!Y7)</f>
        <v>1.014</v>
      </c>
      <c r="Y3" s="243">
        <f>IF(ISBLANK('Measured Data'!Z7),"",'Measured Data'!Z7)</f>
        <v>33.304469459801503</v>
      </c>
      <c r="Z3" s="243">
        <f>IF(ISBLANK('Measured Data'!AA7),"",'Measured Data'!AA7)</f>
        <v>0</v>
      </c>
      <c r="AA3" s="243">
        <f>IF(ISBLANK('Measured Data'!AB7),"",'Measured Data'!AB7)</f>
        <v>2.2599999999999998</v>
      </c>
      <c r="AB3" s="243">
        <f>IF(ISBLANK('Measured Data'!AC7),"",'Measured Data'!AC7)</f>
        <v>0</v>
      </c>
      <c r="AC3" s="243">
        <f>IF(ISBLANK('Measured Data'!AD7),"",'Measured Data'!AD7)</f>
        <v>0</v>
      </c>
      <c r="AD3" s="243">
        <f>IF(ISBLANK('Measured Data'!AE7),"",'Measured Data'!AE7)</f>
        <v>0</v>
      </c>
      <c r="AE3" s="243">
        <f>IF(ISBLANK('Measured Data'!AF7),"",'Measured Data'!AF7)</f>
        <v>0.88809946714031973</v>
      </c>
      <c r="AF3" s="243">
        <f>IF(ISBLANK('Measured Data'!AG7),"",'Measured Data'!AG7)</f>
        <v>0</v>
      </c>
      <c r="AG3" s="243">
        <f>IF(ISBLANK('Measured Data'!AH7),"",'Measured Data'!AH7)</f>
        <v>0</v>
      </c>
      <c r="AH3" s="243">
        <f>IF(ISBLANK('Measured Data'!AI7),"",'Measured Data'!AI7)</f>
        <v>0</v>
      </c>
      <c r="AI3" s="243">
        <f>IF(ISBLANK('Measured Data'!AJ7),"",'Measured Data'!AJ7)</f>
        <v>0</v>
      </c>
      <c r="AJ3" s="243">
        <f>IF(ISBLANK('Measured Data'!AK7),"",'Measured Data'!AK7)</f>
        <v>0</v>
      </c>
      <c r="AK3" s="243">
        <f>IF(ISBLANK('Measured Data'!AL7),"",'Measured Data'!AL7)</f>
        <v>0</v>
      </c>
      <c r="AL3" s="243">
        <f>IF(ISBLANK('Measured Data'!AM7),"",'Measured Data'!AM7)</f>
        <v>0</v>
      </c>
      <c r="AM3" s="243">
        <f>IF(ISBLANK('Measured Data'!AN7),"",'Measured Data'!AN7)</f>
        <v>0</v>
      </c>
      <c r="AN3" s="243">
        <f>IF(ISBLANK('Measured Data'!AO7),"",'Measured Data'!AO7)</f>
        <v>0</v>
      </c>
      <c r="AO3" s="243">
        <f>IF(ISBLANK('Measured Data'!AP7),"",'Measured Data'!AP7)</f>
        <v>0</v>
      </c>
      <c r="AP3" s="243">
        <f>IF(ISBLANK('Measured Data'!AQ7),"",'Measured Data'!AQ7)</f>
        <v>0</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0.2535504746259114</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XB51</v>
      </c>
      <c r="B4" s="238">
        <f>IF(ISBLANK('Measured Data'!A8),"",'Measured Data'!A8)</f>
        <v>1</v>
      </c>
      <c r="C4" s="245">
        <f>IF(ISBLANK('Measured Data'!B8),"",'Measured Data'!B8)</f>
        <v>0.88333333333139308</v>
      </c>
      <c r="D4" s="246">
        <f>IF(ISBLANK('Measured Data'!C8),"",'Measured Data'!C8)</f>
        <v>21.199999999953434</v>
      </c>
      <c r="E4" s="238">
        <f>IF(ISBLANK('Measured Data'!D8),"",'Measured Data'!D8)</f>
        <v>20</v>
      </c>
      <c r="F4" s="238" t="str">
        <f>IF(ISBLANK('Measured Data'!E9),"",'Measured Data'!E9)</f>
        <v/>
      </c>
      <c r="G4" s="238" t="str">
        <f>IF(ISBLANK('Measured Data'!G8),"",'Measured Data'!G8)</f>
        <v/>
      </c>
      <c r="H4" s="243">
        <f>IF(ISBLANK('Measured Data'!H8),"",'Measured Data'!H8)</f>
        <v>0.40849999914169305</v>
      </c>
      <c r="I4" s="243">
        <f>IF(ISBLANK('Measured Data'!I8),"",'Measured Data'!I8)</f>
        <v>3.0715574719535899E-3</v>
      </c>
      <c r="J4" s="243">
        <f>IF(ISBLANK('Measured Data'!J8),"",'Measured Data'!J8)</f>
        <v>0.41157155661364664</v>
      </c>
      <c r="K4" s="243">
        <f>IF(ISBLANK('Measured Data'!K8),"",'Measured Data'!K8)</f>
        <v>99.253700256347656</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326</v>
      </c>
      <c r="S4" s="238" t="str">
        <f>IF(ISBLANK('Measured Data'!S8),"",'Measured Data'!S8)</f>
        <v/>
      </c>
      <c r="T4" s="243">
        <f>IF(ISBLANK('Measured Data'!U8),"",'Measured Data'!U8)</f>
        <v>6.3E-2</v>
      </c>
      <c r="U4" s="243">
        <f>IF(ISBLANK('Measured Data'!V8),"",'Measured Data'!V8)</f>
        <v>2.0150000000000001</v>
      </c>
      <c r="V4" s="243">
        <f>IF(ISBLANK('Measured Data'!W8),"",'Measured Data'!W8)</f>
        <v>5.968</v>
      </c>
      <c r="W4" s="243">
        <f>IF(ISBLANK('Measured Data'!X8),"",'Measured Data'!X8)</f>
        <v>1.7549999999999999</v>
      </c>
      <c r="X4" s="243">
        <f>IF(ISBLANK('Measured Data'!Y8),"",'Measured Data'!Y8)</f>
        <v>1.083</v>
      </c>
      <c r="Y4" s="243">
        <f>IF(ISBLANK('Measured Data'!Z8),"",'Measured Data'!Z8)</f>
        <v>33.415484358000839</v>
      </c>
      <c r="Z4" s="243">
        <f>IF(ISBLANK('Measured Data'!AA8),"",'Measured Data'!AA8)</f>
        <v>0</v>
      </c>
      <c r="AA4" s="243">
        <f>IF(ISBLANK('Measured Data'!AB8),"",'Measured Data'!AB8)</f>
        <v>2.31</v>
      </c>
      <c r="AB4" s="243">
        <f>IF(ISBLANK('Measured Data'!AC8),"",'Measured Data'!AC8)</f>
        <v>0</v>
      </c>
      <c r="AC4" s="243">
        <f>IF(ISBLANK('Measured Data'!AD8),"",'Measured Data'!AD8)</f>
        <v>0</v>
      </c>
      <c r="AD4" s="243">
        <f>IF(ISBLANK('Measured Data'!AE8),"",'Measured Data'!AE8)</f>
        <v>0</v>
      </c>
      <c r="AE4" s="243">
        <f>IF(ISBLANK('Measured Data'!AF8),"",'Measured Data'!AF8)</f>
        <v>1.3321492007104796</v>
      </c>
      <c r="AF4" s="243">
        <f>IF(ISBLANK('Measured Data'!AG8),"",'Measured Data'!AG8)</f>
        <v>0</v>
      </c>
      <c r="AG4" s="243">
        <f>IF(ISBLANK('Measured Data'!AH8),"",'Measured Data'!AH8)</f>
        <v>0</v>
      </c>
      <c r="AH4" s="243">
        <f>IF(ISBLANK('Measured Data'!AI8),"",'Measured Data'!AI8)</f>
        <v>0</v>
      </c>
      <c r="AI4" s="243">
        <f>IF(ISBLANK('Measured Data'!AJ8),"",'Measured Data'!AJ8)</f>
        <v>0</v>
      </c>
      <c r="AJ4" s="243">
        <f>IF(ISBLANK('Measured Data'!AK8),"",'Measured Data'!AK8)</f>
        <v>0</v>
      </c>
      <c r="AK4" s="243">
        <f>IF(ISBLANK('Measured Data'!AL8),"",'Measured Data'!AL8)</f>
        <v>0</v>
      </c>
      <c r="AL4" s="243">
        <f>IF(ISBLANK('Measured Data'!AM8),"",'Measured Data'!AM8)</f>
        <v>0</v>
      </c>
      <c r="AM4" s="243">
        <f>IF(ISBLANK('Measured Data'!AN8),"",'Measured Data'!AN8)</f>
        <v>0</v>
      </c>
      <c r="AN4" s="243">
        <f>IF(ISBLANK('Measured Data'!AO8),"",'Measured Data'!AO8)</f>
        <v>0</v>
      </c>
      <c r="AO4" s="243">
        <f>IF(ISBLANK('Measured Data'!AP8),"",'Measured Data'!AP8)</f>
        <v>0</v>
      </c>
      <c r="AP4" s="243">
        <f>IF(ISBLANK('Measured Data'!AQ8),"",'Measured Data'!AQ8)</f>
        <v>0</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300.56999835205067</v>
      </c>
      <c r="BV4" s="243">
        <f>IF(ISBLANK('In Process Calc.'!M4),"",'In Process Calc.'!M4)</f>
        <v>0</v>
      </c>
      <c r="BW4" s="243">
        <f>IF(ISBLANK('In Process Calc.'!N4),"",'In Process Calc.'!N4)</f>
        <v>0</v>
      </c>
      <c r="BX4" s="243">
        <f>IF(ISBLANK('In Process Calc.'!O4),"",'In Process Calc.'!O4)</f>
        <v>-1.2600000000000009E-2</v>
      </c>
      <c r="BY4" s="243">
        <f>IF(ISBLANK('In Process Calc.'!P4),"",'In Process Calc.'!P4)</f>
        <v>-4.5240000000000238E-2</v>
      </c>
      <c r="BZ4" s="243">
        <f>IF(ISBLANK('In Process Calc.'!Q4),"",'In Process Calc.'!Q4)</f>
        <v>0.36622500000000036</v>
      </c>
      <c r="CA4" s="243">
        <f>IF(ISBLANK('In Process Calc.'!R4),"",'In Process Calc.'!R4)</f>
        <v>-7.4294999999999611E-2</v>
      </c>
      <c r="CB4" s="243">
        <f>IF(ISBLANK('In Process Calc.'!S4),"",'In Process Calc.'!S4)</f>
        <v>-0.11727000000000021</v>
      </c>
      <c r="CC4" s="243">
        <f>IF(ISBLANK('In Process Calc.'!T4),"",'In Process Calc.'!T4)</f>
        <v>0.23790920273805341</v>
      </c>
      <c r="CD4" s="243">
        <f>IF(ISBLANK('In Process Calc.'!U4),"",'In Process Calc.'!U4)</f>
        <v>0</v>
      </c>
      <c r="CE4" s="243">
        <f>IF(ISBLANK('In Process Calc.'!V4),"",'In Process Calc.'!V4)</f>
        <v>-6.2100000000000363E-2</v>
      </c>
      <c r="CF4" s="243">
        <f>IF(ISBLANK('In Process Calc.'!W4),"",'In Process Calc.'!W4)</f>
        <v>0</v>
      </c>
      <c r="CG4" s="243">
        <f>IF(ISBLANK('In Process Calc.'!X4),"",'In Process Calc.'!X4)</f>
        <v>0</v>
      </c>
      <c r="CH4" s="243">
        <f>IF(ISBLANK('In Process Calc.'!Y4),"",'In Process Calc.'!Y4)</f>
        <v>0</v>
      </c>
      <c r="CI4" s="243">
        <f>IF(ISBLANK('In Process Calc.'!Z4),"",'In Process Calc.'!Z4)</f>
        <v>0.83925399644760224</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0.16795499999999935</v>
      </c>
      <c r="CW4" s="243">
        <f>IF(ISBLANK('In Process Calc.'!AN4),"",'In Process Calc.'!AN4)</f>
        <v>0.15535499999999935</v>
      </c>
      <c r="CX4" s="243">
        <f>IF(ISBLANK('In Process Calc.'!AO4),"",'In Process Calc.'!AO4)</f>
        <v>-8.0040000000001499E-2</v>
      </c>
      <c r="CY4" s="243">
        <f>IF(ISBLANK('In Process Calc.'!AP4),"",'In Process Calc.'!AP4)</f>
        <v>0</v>
      </c>
      <c r="CZ4" s="243">
        <f>IF(ISBLANK('In Process Calc.'!AQ4),"",'In Process Calc.'!AQ4)</f>
        <v>0</v>
      </c>
      <c r="DA4" s="243">
        <f>IF(ISBLANK('In Process Calc.'!AR4),"",'In Process Calc.'!AR4)</f>
        <v>2.2938338761437124E-2</v>
      </c>
      <c r="DB4" s="243">
        <f>IF(ISBLANK('In Process Calc.'!AS4),"",'In Process Calc.'!AS4)</f>
        <v>2.2711701410286961E-2</v>
      </c>
      <c r="DC4" s="243">
        <f>IF(ISBLANK('In Process Calc.'!AT4),"",'In Process Calc.'!AT4)</f>
        <v>-2.2663735115016422E-4</v>
      </c>
      <c r="DD4" s="243">
        <f>IF(ISBLANK('In Process Calc.'!AU4),"",'In Process Calc.'!AU4)</f>
        <v>0</v>
      </c>
      <c r="DE4" s="243">
        <f>IF(ISBLANK('In Process Calc.'!AV4),"",'In Process Calc.'!AV4)</f>
        <v>-9.6158322513473866E-4</v>
      </c>
      <c r="DF4" s="243">
        <f>IF(ISBLANK('In Process Calc.'!AW4),"",'In Process Calc.'!AW4)</f>
        <v>-3.4525416750076014E-3</v>
      </c>
      <c r="DG4" s="243">
        <f>IF(ISBLANK('In Process Calc.'!AX4),"",'In Process Calc.'!AX4)</f>
        <v>2.7948874335315062E-2</v>
      </c>
      <c r="DH4" s="243">
        <f>IF(ISBLANK('In Process Calc.'!AY4),"",'In Process Calc.'!AY4)</f>
        <v>-5.6699068024908721E-3</v>
      </c>
      <c r="DI4" s="243">
        <f>IF(ISBLANK('In Process Calc.'!AZ4),"",'In Process Calc.'!AZ4)</f>
        <v>-8.9495924453611847E-3</v>
      </c>
      <c r="DJ4" s="243">
        <f>IF(ISBLANK('In Process Calc.'!BA4),"",'In Process Calc.'!BA4)</f>
        <v>0.1449857625715468</v>
      </c>
      <c r="DK4" s="243">
        <f>IF(ISBLANK('In Process Calc.'!BB4),"",'In Process Calc.'!BB4)</f>
        <v>0</v>
      </c>
      <c r="DL4" s="243">
        <f>IF(ISBLANK('In Process Calc.'!BC4),"",'In Process Calc.'!BC4)</f>
        <v>-4.7392316095926654E-3</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2.1767267888020254E-2</v>
      </c>
      <c r="ED4" s="243">
        <f>IF(ISBLANK('In Process Calc.'!BU4),"",'In Process Calc.'!BU4)</f>
        <v>2.2728851113154994E-2</v>
      </c>
      <c r="EE4" s="243">
        <f>IF(ISBLANK('In Process Calc.'!BV4),"",'In Process Calc.'!BV4)</f>
        <v>-1.1877842314283491E-2</v>
      </c>
      <c r="EF4" s="243">
        <f>IF(ISBLANK('In Process Calc.'!BW4),"",'In Process Calc.'!BW4)</f>
        <v>0.11179549734126025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0.40849999914169305</v>
      </c>
      <c r="EL4" s="243">
        <f>IF(ISBLANK('Post Process Calc.'!C4),"",'Post Process Calc.'!C4)</f>
        <v>2.617640691287184E-2</v>
      </c>
      <c r="EM4" s="243">
        <f>IF(ISBLANK('Post Process Calc.'!D4),"",'Post Process Calc.'!D4)</f>
        <v>0</v>
      </c>
      <c r="EN4" s="243">
        <f>IF(ISBLANK('Post Process Calc.'!E4),"",'Post Process Calc.'!E4)</f>
        <v>-27.266128867525616</v>
      </c>
      <c r="EO4" s="243">
        <f>IF(ISBLANK('Post Process Calc.'!F4),"",'Post Process Calc.'!F4)</f>
        <v>0.15003455023322376</v>
      </c>
      <c r="EP4" s="243">
        <f>IF(ISBLANK('Post Process Calc.'!G4),"",'Post Process Calc.'!G4)</f>
        <v>-1.4041641665740786E-2</v>
      </c>
      <c r="EQ4" s="243">
        <f>IF(ISBLANK('Post Process Calc.'!H4),"",'Post Process Calc.'!H4)</f>
        <v>1.3670191841330101E-2</v>
      </c>
      <c r="ER4" s="243">
        <f>IF(ISBLANK('Post Process Calc.'!I4),"",'Post Process Calc.'!I4)</f>
        <v>9.2673510411092327E-2</v>
      </c>
      <c r="ES4" s="243">
        <f>IF(ISBLANK('Post Process Calc.'!J4),"",'Post Process Calc.'!J4)</f>
        <v>-4.1544789758087858E-3</v>
      </c>
      <c r="ET4" s="243">
        <f>IF(ISBLANK('Post Process Calc.'!K4),"",'Post Process Calc.'!K4)</f>
        <v>5.5096279529410284E-2</v>
      </c>
      <c r="EU4" s="243">
        <f>IF(ISBLANK('Post Process Calc.'!L4),"",'Post Process Calc.'!L4)</f>
        <v>-6.86143953030039E-3</v>
      </c>
      <c r="EV4" s="243">
        <f>IF(ISBLANK('Post Process Calc.'!M4),"",'Post Process Calc.'!M4)</f>
        <v>-0.4367868234980537</v>
      </c>
      <c r="EW4" s="243">
        <f>IF(ISBLANK('Post Process Calc.'!N4),"",'Post Process Calc.'!N4)</f>
        <v>0</v>
      </c>
      <c r="EX4" s="243">
        <f>IF(ISBLANK('Post Process Calc.'!O4),"",'Post Process Calc.'!O4)</f>
        <v>0</v>
      </c>
      <c r="EY4" s="243">
        <f>IF(ISBLANK('Post Process Calc.'!P4),"",'Post Process Calc.'!P4)</f>
        <v>0</v>
      </c>
      <c r="EZ4" s="243">
        <f>IF(ISBLANK('Post Process Calc.'!Q4),"",'Post Process Calc.'!Q4)</f>
        <v>2.8827663182812099E-2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-0.66968522814061238</v>
      </c>
      <c r="FN4" s="243">
        <f>IF(ISBLANK('Post Process Calc.'!AE4),"",'Post Process Calc.'!AE4)</f>
        <v>-0.51965067790738861</v>
      </c>
      <c r="FO4" s="243">
        <f>IF(ISBLANK('Post Process Calc.'!AF4),"",'Post Process Calc.'!AF4)</f>
        <v>-3.3743498743375069</v>
      </c>
      <c r="FP4" s="243">
        <f>IF(ISBLANK('Post Process Calc.'!AG4),"",'Post Process Calc.'!AG4)</f>
        <v>0.52322340871354023</v>
      </c>
      <c r="FQ4" s="243">
        <f>IF(ISBLANK('Post Process Calc.'!AH4),"",'Post Process Calc.'!AH4)</f>
        <v>0</v>
      </c>
      <c r="FR4" s="243">
        <f>IF(ISBLANK('Post Process Calc.'!AI4),"",'Post Process Calc.'!AI4)</f>
        <v>-0.12453544211887786</v>
      </c>
      <c r="FS4" s="243">
        <f>IF(ISBLANK('Post Process Calc.'!AJ4),"",'Post Process Calc.'!AJ4)</f>
        <v>0</v>
      </c>
    </row>
    <row r="5" spans="1:175">
      <c r="A5" s="238" t="str">
        <f>IF('Measured Data'!B9&lt;&gt;0,'Measured Data'!$B$1,"")</f>
        <v>XB51</v>
      </c>
      <c r="B5" s="238">
        <f>IF(ISBLANK('Measured Data'!A9),"",'Measured Data'!A9)</f>
        <v>2</v>
      </c>
      <c r="C5" s="245">
        <f>IF(ISBLANK('Measured Data'!B9),"",'Measured Data'!B9)</f>
        <v>2.0194444444423425</v>
      </c>
      <c r="D5" s="246">
        <f>IF(ISBLANK('Measured Data'!C9),"",'Measured Data'!C9)</f>
        <v>48.46666666661622</v>
      </c>
      <c r="E5" s="238">
        <f>IF(ISBLANK('Measured Data'!D9),"",'Measured Data'!D9)</f>
        <v>20</v>
      </c>
      <c r="F5" s="238" t="str">
        <f>IF(ISBLANK('Measured Data'!E10),"",'Measured Data'!E10)</f>
        <v/>
      </c>
      <c r="G5" s="238" t="str">
        <f>IF(ISBLANK('Measured Data'!G9),"",'Measured Data'!G9)</f>
        <v/>
      </c>
      <c r="H5" s="243">
        <f>IF(ISBLANK('Measured Data'!H9),"",'Measured Data'!H9)</f>
        <v>0.79</v>
      </c>
      <c r="I5" s="243">
        <f>IF(ISBLANK('Measured Data'!I9),"",'Measured Data'!I9)</f>
        <v>7.9797979797980867E-3</v>
      </c>
      <c r="J5" s="243">
        <f>IF(ISBLANK('Measured Data'!J9),"",'Measured Data'!J9)</f>
        <v>0.79797979797979812</v>
      </c>
      <c r="K5" s="243">
        <f>IF(ISBLANK('Measured Data'!K9),"",'Measured Data'!K9)</f>
        <v>99</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331</v>
      </c>
      <c r="S5" s="238" t="str">
        <f>IF(ISBLANK('Measured Data'!S9),"",'Measured Data'!S9)</f>
        <v/>
      </c>
      <c r="T5" s="243">
        <f>IF(ISBLANK('Measured Data'!U9),"",'Measured Data'!U9)</f>
        <v>6.3E-2</v>
      </c>
      <c r="U5" s="243">
        <f>IF(ISBLANK('Measured Data'!V9),"",'Measured Data'!V9)</f>
        <v>1.7390000000000001</v>
      </c>
      <c r="V5" s="243">
        <f>IF(ISBLANK('Measured Data'!W9),"",'Measured Data'!W9)</f>
        <v>5.2069999999999999</v>
      </c>
      <c r="W5" s="243">
        <f>IF(ISBLANK('Measured Data'!X9),"",'Measured Data'!X9)</f>
        <v>1.728</v>
      </c>
      <c r="X5" s="243">
        <f>IF(ISBLANK('Measured Data'!Y9),"",'Measured Data'!Y9)</f>
        <v>1.04</v>
      </c>
      <c r="Y5" s="243">
        <f>IF(ISBLANK('Measured Data'!Z9),"",'Measured Data'!Z9)</f>
        <v>31.972290681409444</v>
      </c>
      <c r="Z5" s="243">
        <f>IF(ISBLANK('Measured Data'!AA9),"",'Measured Data'!AA9)</f>
        <v>0.26600000000000001</v>
      </c>
      <c r="AA5" s="243">
        <f>IF(ISBLANK('Measured Data'!AB9),"",'Measured Data'!AB9)</f>
        <v>2.2650000000000001</v>
      </c>
      <c r="AB5" s="243">
        <f>IF(ISBLANK('Measured Data'!AC9),"",'Measured Data'!AC9)</f>
        <v>0</v>
      </c>
      <c r="AC5" s="243">
        <f>IF(ISBLANK('Measured Data'!AD9),"",'Measured Data'!AD9)</f>
        <v>0</v>
      </c>
      <c r="AD5" s="243">
        <f>IF(ISBLANK('Measured Data'!AE9),"",'Measured Data'!AE9)</f>
        <v>0</v>
      </c>
      <c r="AE5" s="243">
        <f>IF(ISBLANK('Measured Data'!AF9),"",'Measured Data'!AF9)</f>
        <v>2.5532859680284195</v>
      </c>
      <c r="AF5" s="243">
        <f>IF(ISBLANK('Measured Data'!AG9),"",'Measured Data'!AG9)</f>
        <v>0</v>
      </c>
      <c r="AG5" s="243">
        <f>IF(ISBLANK('Measured Data'!AH9),"",'Measured Data'!AH9)</f>
        <v>0</v>
      </c>
      <c r="AH5" s="243">
        <f>IF(ISBLANK('Measured Data'!AI9),"",'Measured Data'!AI9)</f>
        <v>0</v>
      </c>
      <c r="AI5" s="243">
        <f>IF(ISBLANK('Measured Data'!AJ9),"",'Measured Data'!AJ9)</f>
        <v>0</v>
      </c>
      <c r="AJ5" s="243">
        <f>IF(ISBLANK('Measured Data'!AK9),"",'Measured Data'!AK9)</f>
        <v>0</v>
      </c>
      <c r="AK5" s="243">
        <f>IF(ISBLANK('Measured Data'!AL9),"",'Measured Data'!AL9)</f>
        <v>0</v>
      </c>
      <c r="AL5" s="243">
        <f>IF(ISBLANK('Measured Data'!AM9),"",'Measured Data'!AM9)</f>
        <v>0</v>
      </c>
      <c r="AM5" s="243">
        <f>IF(ISBLANK('Measured Data'!AN9),"",'Measured Data'!AN9)</f>
        <v>0</v>
      </c>
      <c r="AN5" s="243">
        <f>IF(ISBLANK('Measured Data'!AO9),"",'Measured Data'!AO9)</f>
        <v>0</v>
      </c>
      <c r="AO5" s="243">
        <f>IF(ISBLANK('Measured Data'!AP9),"",'Measured Data'!AP9)</f>
        <v>0</v>
      </c>
      <c r="AP5" s="243">
        <f>IF(ISBLANK('Measured Data'!AQ9),"",'Measured Data'!AQ9)</f>
        <v>0</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48.47</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1021.1999999999999</v>
      </c>
      <c r="BV5" s="243">
        <f>IF(ISBLANK('In Process Calc.'!M5),"",'In Process Calc.'!M5)</f>
        <v>0</v>
      </c>
      <c r="BW5" s="243">
        <f>IF(ISBLANK('In Process Calc.'!N5),"",'In Process Calc.'!N5)</f>
        <v>0</v>
      </c>
      <c r="BX5" s="243">
        <f>IF(ISBLANK('In Process Calc.'!O5),"",'In Process Calc.'!O5)</f>
        <v>-1.1655000000000002E-2</v>
      </c>
      <c r="BY5" s="243">
        <f>IF(ISBLANK('In Process Calc.'!P5),"",'In Process Calc.'!P5)</f>
        <v>0.5107649999999998</v>
      </c>
      <c r="BZ5" s="243">
        <f>IF(ISBLANK('In Process Calc.'!Q5),"",'In Process Calc.'!Q5)</f>
        <v>1.9054500000000005</v>
      </c>
      <c r="CA5" s="243">
        <f>IF(ISBLANK('In Process Calc.'!R5),"",'In Process Calc.'!R5)</f>
        <v>3.4650000000001485E-3</v>
      </c>
      <c r="CB5" s="243">
        <f>IF(ISBLANK('In Process Calc.'!S5),"",'In Process Calc.'!S5)</f>
        <v>-1.9110000000000127E-2</v>
      </c>
      <c r="CC5" s="243">
        <f>IF(ISBLANK('In Process Calc.'!T5),"",'In Process Calc.'!T5)</f>
        <v>2.0361132618648101</v>
      </c>
      <c r="CD5" s="243">
        <f>IF(ISBLANK('In Process Calc.'!U5),"",'In Process Calc.'!U5)</f>
        <v>-0.50673000000000001</v>
      </c>
      <c r="CE5" s="243">
        <f>IF(ISBLANK('In Process Calc.'!V5),"",'In Process Calc.'!V5)</f>
        <v>5.8274999999999633E-2</v>
      </c>
      <c r="CF5" s="243">
        <f>IF(ISBLANK('In Process Calc.'!W5),"",'In Process Calc.'!W5)</f>
        <v>0</v>
      </c>
      <c r="CG5" s="243">
        <f>IF(ISBLANK('In Process Calc.'!X5),"",'In Process Calc.'!X5)</f>
        <v>0</v>
      </c>
      <c r="CH5" s="243">
        <f>IF(ISBLANK('In Process Calc.'!Y5),"",'In Process Calc.'!Y5)</f>
        <v>0</v>
      </c>
      <c r="CI5" s="243">
        <f>IF(ISBLANK('In Process Calc.'!Z5),"",'In Process Calc.'!Z5)</f>
        <v>3.1455373001776206</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4.8523649999999989</v>
      </c>
      <c r="CW5" s="243">
        <f>IF(ISBLANK('In Process Calc.'!AN5),"",'In Process Calc.'!AN5)</f>
        <v>4.8407099999999987</v>
      </c>
      <c r="CX5" s="243">
        <f>IF(ISBLANK('In Process Calc.'!AO5),"",'In Process Calc.'!AO5)</f>
        <v>8.3782800000000002</v>
      </c>
      <c r="CY5" s="243">
        <f>IF(ISBLANK('In Process Calc.'!AP5),"",'In Process Calc.'!AP5)</f>
        <v>0</v>
      </c>
      <c r="CZ5" s="243">
        <f>IF(ISBLANK('In Process Calc.'!AQ5),"",'In Process Calc.'!AQ5)</f>
        <v>0</v>
      </c>
      <c r="DA5" s="243">
        <f>IF(ISBLANK('In Process Calc.'!AR5),"",'In Process Calc.'!AR5)</f>
        <v>2.30894330372578E-2</v>
      </c>
      <c r="DB5" s="243">
        <f>IF(ISBLANK('In Process Calc.'!AS5),"",'In Process Calc.'!AS5)</f>
        <v>2.3387542977410837E-2</v>
      </c>
      <c r="DC5" s="243">
        <f>IF(ISBLANK('In Process Calc.'!AT5),"",'In Process Calc.'!AT5)</f>
        <v>2.9810994015303546E-4</v>
      </c>
      <c r="DD5" s="243">
        <f>IF(ISBLANK('In Process Calc.'!AU5),"",'In Process Calc.'!AU5)</f>
        <v>0</v>
      </c>
      <c r="DE5" s="243">
        <f>IF(ISBLANK('In Process Calc.'!AV5),"",'In Process Calc.'!AV5)</f>
        <v>3.0278387203296458E-5</v>
      </c>
      <c r="DF5" s="243">
        <f>IF(ISBLANK('In Process Calc.'!AW5),"",'In Process Calc.'!AW5)</f>
        <v>1.7814745689914004E-2</v>
      </c>
      <c r="DG5" s="243">
        <f>IF(ISBLANK('In Process Calc.'!AX5),"",'In Process Calc.'!AX5)</f>
        <v>4.9317725442321346E-2</v>
      </c>
      <c r="DH5" s="243">
        <f>IF(ISBLANK('In Process Calc.'!AY5),"",'In Process Calc.'!AY5)</f>
        <v>2.4914787184426549E-3</v>
      </c>
      <c r="DI5" s="243">
        <f>IF(ISBLANK('In Process Calc.'!AZ5),"",'In Process Calc.'!AZ5)</f>
        <v>3.1451073945773142E-3</v>
      </c>
      <c r="DJ5" s="243">
        <f>IF(ISBLANK('In Process Calc.'!BA5),"",'In Process Calc.'!BA5)</f>
        <v>5.2687416642327865E-2</v>
      </c>
      <c r="DK5" s="243">
        <f>IF(ISBLANK('In Process Calc.'!BB5),"",'In Process Calc.'!BB5)</f>
        <v>-1.6235944071456409E-2</v>
      </c>
      <c r="DL5" s="243">
        <f>IF(ISBLANK('In Process Calc.'!BC5),"",'In Process Calc.'!BC5)</f>
        <v>3.8568897985151169E-3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0.14694629980012427</v>
      </c>
      <c r="ED5" s="243">
        <f>IF(ISBLANK('In Process Calc.'!BU5),"",'In Process Calc.'!BU5)</f>
        <v>0.14691602141292098</v>
      </c>
      <c r="EE5" s="243">
        <f>IF(ISBLANK('In Process Calc.'!BV5),"",'In Process Calc.'!BV5)</f>
        <v>0.27119149894690736</v>
      </c>
      <c r="EF5" s="243">
        <f>IF(ISBLANK('In Process Calc.'!BW5),"",'In Process Calc.'!BW5)</f>
        <v>0.35237121930418941</v>
      </c>
      <c r="EG5" s="243">
        <f>IF(ISBLANK('In Process Calc.'!BX5),"",'In Process Calc.'!BX5)</f>
        <v>1.0852781281738566</v>
      </c>
      <c r="EH5" s="243">
        <f>IF(ISBLANK('In Process Calc.'!BY5),"",'In Process Calc.'!BY5)</f>
        <v>0</v>
      </c>
      <c r="EI5" s="243">
        <f>IF(ISBLANK('In Process Calc.'!BZ5),"",'In Process Calc.'!BZ5)</f>
        <v>-0.30815600965359957</v>
      </c>
      <c r="EJ5" s="243">
        <f>IF(ISBLANK('In Process Calc.'!CA5),"",'In Process Calc.'!CA5)</f>
        <v>0</v>
      </c>
      <c r="EK5" s="243">
        <f>IF(ISBLANK('Post Process Calc.'!A5),"",'Post Process Calc.'!A5)</f>
        <v>0.79</v>
      </c>
      <c r="EL5" s="243">
        <f>IF(ISBLANK('Post Process Calc.'!C5),"",'Post Process Calc.'!C5)</f>
        <v>2.5535064670795828E-2</v>
      </c>
      <c r="EM5" s="243">
        <f>IF(ISBLANK('Post Process Calc.'!D5),"",'Post Process Calc.'!D5)</f>
        <v>0</v>
      </c>
      <c r="EN5" s="243">
        <f>IF(ISBLANK('Post Process Calc.'!E5),"",'Post Process Calc.'!E5)</f>
        <v>-3.6774507545455859</v>
      </c>
      <c r="EO5" s="243">
        <f>IF(ISBLANK('Post Process Calc.'!F5),"",'Post Process Calc.'!F5)</f>
        <v>-2.5403978270953313E-3</v>
      </c>
      <c r="EP5" s="243">
        <f>IF(ISBLANK('Post Process Calc.'!G5),"",'Post Process Calc.'!G5)</f>
        <v>-8.5402151887304777E-3</v>
      </c>
      <c r="EQ5" s="243">
        <f>IF(ISBLANK('Post Process Calc.'!H5),"",'Post Process Calc.'!H5)</f>
        <v>-3.3469966757559864E-3</v>
      </c>
      <c r="ER5" s="243">
        <f>IF(ISBLANK('Post Process Calc.'!I5),"",'Post Process Calc.'!I5)</f>
        <v>-8.5129385370001087E-3</v>
      </c>
      <c r="ES5" s="243">
        <f>IF(ISBLANK('Post Process Calc.'!J5),"",'Post Process Calc.'!J5)</f>
        <v>3.8290766566026983E-3</v>
      </c>
      <c r="ET5" s="243">
        <f>IF(ISBLANK('Post Process Calc.'!K5),"",'Post Process Calc.'!K5)</f>
        <v>9.3465513653296001E-2</v>
      </c>
      <c r="EU5" s="243">
        <f>IF(ISBLANK('Post Process Calc.'!L5),"",'Post Process Calc.'!L5)</f>
        <v>3.4893971256530283E-3</v>
      </c>
      <c r="EV5" s="243">
        <f>IF(ISBLANK('Post Process Calc.'!M5),"",'Post Process Calc.'!M5)</f>
        <v>-0.21349849918675431</v>
      </c>
      <c r="EW5" s="243">
        <f>IF(ISBLANK('Post Process Calc.'!N5),"",'Post Process Calc.'!N5)</f>
        <v>0</v>
      </c>
      <c r="EX5" s="243">
        <f>IF(ISBLANK('Post Process Calc.'!O5),"",'Post Process Calc.'!O5)</f>
        <v>0</v>
      </c>
      <c r="EY5" s="243">
        <f>IF(ISBLANK('Post Process Calc.'!P5),"",'Post Process Calc.'!P5)</f>
        <v>0</v>
      </c>
      <c r="EZ5" s="243">
        <f>IF(ISBLANK('Post Process Calc.'!Q5),"",'Post Process Calc.'!Q5)</f>
        <v>6.7210332266750106E-2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-0.35716822875106069</v>
      </c>
      <c r="FN5" s="243">
        <f>IF(ISBLANK('Post Process Calc.'!AE5),"",'Post Process Calc.'!AE5)</f>
        <v>-0.35970862657815611</v>
      </c>
      <c r="FO5" s="243">
        <f>IF(ISBLANK('Post Process Calc.'!AF5),"",'Post Process Calc.'!AF5)</f>
        <v>-1.3501643485856152</v>
      </c>
      <c r="FP5" s="243">
        <f>IF(ISBLANK('Post Process Calc.'!AG5),"",'Post Process Calc.'!AG5)</f>
        <v>0.71909231158844622</v>
      </c>
      <c r="FQ5" s="243">
        <f>IF(ISBLANK('Post Process Calc.'!AH5),"",'Post Process Calc.'!AH5)</f>
        <v>0</v>
      </c>
      <c r="FR5" s="243">
        <f>IF(ISBLANK('Post Process Calc.'!AI5),"",'Post Process Calc.'!AI5)</f>
        <v>3.7333525374896148E-2</v>
      </c>
      <c r="FS5" s="243">
        <f>IF(ISBLANK('Post Process Calc.'!AJ5),"",'Post Process Calc.'!AJ5)</f>
        <v>0</v>
      </c>
    </row>
    <row r="6" spans="1:175">
      <c r="A6" s="238" t="str">
        <f>IF('Measured Data'!B10&lt;&gt;0,'Measured Data'!$B$1,"")</f>
        <v>XB51</v>
      </c>
      <c r="B6" s="238">
        <f>IF(ISBLANK('Measured Data'!A10),"",'Measured Data'!A10)</f>
        <v>3</v>
      </c>
      <c r="C6" s="245">
        <f>IF(ISBLANK('Measured Data'!B10),"",'Measured Data'!B10)</f>
        <v>2.9569444444423425</v>
      </c>
      <c r="D6" s="246">
        <f>IF(ISBLANK('Measured Data'!C10),"",'Measured Data'!C10)</f>
        <v>70.96666666661622</v>
      </c>
      <c r="E6" s="238">
        <f>IF(ISBLANK('Measured Data'!D10),"",'Measured Data'!D10)</f>
        <v>20</v>
      </c>
      <c r="F6" s="238" t="e">
        <f>IF(ISBLANK('Measured Data'!#REF!),"",'Measured Data'!#REF!)</f>
        <v>#REF!</v>
      </c>
      <c r="G6" s="238" t="str">
        <f>IF(ISBLANK('Measured Data'!G10),"",'Measured Data'!G10)</f>
        <v/>
      </c>
      <c r="H6" s="243">
        <f>IF(ISBLANK('Measured Data'!H10),"",'Measured Data'!H10)</f>
        <v>1.3430000377655029</v>
      </c>
      <c r="I6" s="243">
        <f>IF(ISBLANK('Measured Data'!I10),"",'Measured Data'!I10)</f>
        <v>1.9448929908496337E-2</v>
      </c>
      <c r="J6" s="243">
        <f>IF(ISBLANK('Measured Data'!J10),"",'Measured Data'!J10)</f>
        <v>1.3624489676739993</v>
      </c>
      <c r="K6" s="243">
        <f>IF(ISBLANK('Measured Data'!K10),"",'Measured Data'!K10)</f>
        <v>98.572502136230469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326</v>
      </c>
      <c r="S6" s="238" t="str">
        <f>IF(ISBLANK('Measured Data'!S10),"",'Measured Data'!S10)</f>
        <v/>
      </c>
      <c r="T6" s="243">
        <f>IF(ISBLANK('Measured Data'!U10),"",'Measured Data'!U10)</f>
        <v>9.8000000000000004E-2</v>
      </c>
      <c r="U6" s="243">
        <f>IF(ISBLANK('Measured Data'!V10),"",'Measured Data'!V10)</f>
        <v>1.6719999999999999</v>
      </c>
      <c r="V6" s="243">
        <f>IF(ISBLANK('Measured Data'!W10),"",'Measured Data'!W10)</f>
        <v>4.51</v>
      </c>
      <c r="W6" s="243">
        <f>IF(ISBLANK('Measured Data'!X10),"",'Measured Data'!X10)</f>
        <v>1.716</v>
      </c>
      <c r="X6" s="243">
        <f>IF(ISBLANK('Measured Data'!Y10),"",'Measured Data'!Y10)</f>
        <v>0.96499999999999997</v>
      </c>
      <c r="Y6" s="243">
        <f>IF(ISBLANK('Measured Data'!Z10),"",'Measured Data'!Z10)</f>
        <v>30.251559759319701</v>
      </c>
      <c r="Z6" s="243">
        <f>IF(ISBLANK('Measured Data'!AA10),"",'Measured Data'!AA10)</f>
        <v>0.35799999999999998</v>
      </c>
      <c r="AA6" s="243">
        <f>IF(ISBLANK('Measured Data'!AB10),"",'Measured Data'!AB10)</f>
        <v>2.2429999999999999</v>
      </c>
      <c r="AB6" s="243">
        <f>IF(ISBLANK('Measured Data'!AC10),"",'Measured Data'!AC10)</f>
        <v>0</v>
      </c>
      <c r="AC6" s="243">
        <f>IF(ISBLANK('Measured Data'!AD10),"",'Measured Data'!AD10)</f>
        <v>0</v>
      </c>
      <c r="AD6" s="243">
        <f>IF(ISBLANK('Measured Data'!AE10),"",'Measured Data'!AE10)</f>
        <v>0</v>
      </c>
      <c r="AE6" s="243">
        <f>IF(ISBLANK('Measured Data'!AF10),"",'Measured Data'!AF10)</f>
        <v>3.8854351687388986</v>
      </c>
      <c r="AF6" s="243">
        <f>IF(ISBLANK('Measured Data'!AG10),"",'Measured Data'!AG10)</f>
        <v>0</v>
      </c>
      <c r="AG6" s="243">
        <f>IF(ISBLANK('Measured Data'!AH10),"",'Measured Data'!AH10)</f>
        <v>0</v>
      </c>
      <c r="AH6" s="243">
        <f>IF(ISBLANK('Measured Data'!AI10),"",'Measured Data'!AI10)</f>
        <v>0</v>
      </c>
      <c r="AI6" s="243">
        <f>IF(ISBLANK('Measured Data'!AJ10),"",'Measured Data'!AJ10)</f>
        <v>0</v>
      </c>
      <c r="AJ6" s="243">
        <f>IF(ISBLANK('Measured Data'!AK10),"",'Measured Data'!AK10)</f>
        <v>0</v>
      </c>
      <c r="AK6" s="243">
        <f>IF(ISBLANK('Measured Data'!AL10),"",'Measured Data'!AL10)</f>
        <v>0</v>
      </c>
      <c r="AL6" s="243">
        <f>IF(ISBLANK('Measured Data'!AM10),"",'Measured Data'!AM10)</f>
        <v>0</v>
      </c>
      <c r="AM6" s="243">
        <f>IF(ISBLANK('Measured Data'!AN10),"",'Measured Data'!AN10)</f>
        <v>0</v>
      </c>
      <c r="AN6" s="243">
        <f>IF(ISBLANK('Measured Data'!AO10),"",'Measured Data'!AO10)</f>
        <v>0</v>
      </c>
      <c r="AO6" s="243">
        <f>IF(ISBLANK('Measured Data'!AP10),"",'Measured Data'!AP10)</f>
        <v>0</v>
      </c>
      <c r="AP6" s="243">
        <f>IF(ISBLANK('Measured Data'!AQ10),"",'Measured Data'!AQ10)</f>
        <v>0</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70.97</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2035.7180708480835</v>
      </c>
      <c r="BV6" s="243">
        <f>IF(ISBLANK('In Process Calc.'!M6),"",'In Process Calc.'!M6)</f>
        <v>0</v>
      </c>
      <c r="BW6" s="243">
        <f>IF(ISBLANK('In Process Calc.'!N6),"",'In Process Calc.'!N6)</f>
        <v>0</v>
      </c>
      <c r="BX6" s="243">
        <f>IF(ISBLANK('In Process Calc.'!O6),"",'In Process Calc.'!O6)</f>
        <v>-7.5488000000000013E-2</v>
      </c>
      <c r="BY6" s="243">
        <f>IF(ISBLANK('In Process Calc.'!P6),"",'In Process Calc.'!P6)</f>
        <v>0.68688799999999983</v>
      </c>
      <c r="BZ6" s="243">
        <f>IF(ISBLANK('In Process Calc.'!Q6),"",'In Process Calc.'!Q6)</f>
        <v>3.3640249999999994</v>
      </c>
      <c r="CA6" s="243">
        <f>IF(ISBLANK('In Process Calc.'!R6),"",'In Process Calc.'!R6)</f>
        <v>7.6089000000000406E-2</v>
      </c>
      <c r="CB6" s="243">
        <f>IF(ISBLANK('In Process Calc.'!S6),"",'In Process Calc.'!S6)</f>
        <v>0.15175</v>
      </c>
      <c r="CC6" s="243">
        <f>IF(ISBLANK('In Process Calc.'!T6),"",'In Process Calc.'!T6)</f>
        <v>4.1004094487096108</v>
      </c>
      <c r="CD6" s="243">
        <f>IF(ISBLANK('In Process Calc.'!U6),"",'In Process Calc.'!U6)</f>
        <v>-0.67160799999999998</v>
      </c>
      <c r="CE6" s="243">
        <f>IF(ISBLANK('In Process Calc.'!V6),"",'In Process Calc.'!V6)</f>
        <v>0.16523199999999996</v>
      </c>
      <c r="CF6" s="243">
        <f>IF(ISBLANK('In Process Calc.'!W6),"",'In Process Calc.'!W6)</f>
        <v>0</v>
      </c>
      <c r="CG6" s="243">
        <f>IF(ISBLANK('In Process Calc.'!X6),"",'In Process Calc.'!X6)</f>
        <v>0</v>
      </c>
      <c r="CH6" s="243">
        <f>IF(ISBLANK('In Process Calc.'!Y6),"",'In Process Calc.'!Y6)</f>
        <v>0</v>
      </c>
      <c r="CI6" s="243">
        <f>IF(ISBLANK('In Process Calc.'!Z6),"",'In Process Calc.'!Z6)</f>
        <v>5.5706039076376559</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8.6017189999999975</v>
      </c>
      <c r="CW6" s="243">
        <f>IF(ISBLANK('In Process Calc.'!AN6),"",'In Process Calc.'!AN6)</f>
        <v>8.5262309999999975</v>
      </c>
      <c r="CX6" s="243">
        <f>IF(ISBLANK('In Process Calc.'!AO6),"",'In Process Calc.'!AO6)</f>
        <v>16.486868000000001</v>
      </c>
      <c r="CY6" s="243">
        <f>IF(ISBLANK('In Process Calc.'!AP6),"",'In Process Calc.'!AP6)</f>
        <v>0</v>
      </c>
      <c r="CZ6" s="243">
        <f>IF(ISBLANK('In Process Calc.'!AQ6),"",'In Process Calc.'!AQ6)</f>
        <v>0</v>
      </c>
      <c r="DA6" s="243">
        <f>IF(ISBLANK('In Process Calc.'!AR6),"",'In Process Calc.'!AR6)</f>
        <v>2.2408055646261745E-2</v>
      </c>
      <c r="DB6" s="243">
        <f>IF(ISBLANK('In Process Calc.'!AS6),"",'In Process Calc.'!AS6)</f>
        <v>2.2878178602500198E-2</v>
      </c>
      <c r="DC6" s="243">
        <f>IF(ISBLANK('In Process Calc.'!AT6),"",'In Process Calc.'!AT6)</f>
        <v>4.7012295623845415E-4</v>
      </c>
      <c r="DD6" s="243">
        <f>IF(ISBLANK('In Process Calc.'!AU6),"",'In Process Calc.'!AU6)</f>
        <v>0</v>
      </c>
      <c r="DE6" s="243">
        <f>IF(ISBLANK('In Process Calc.'!AV6),"",'In Process Calc.'!AV6)</f>
        <v>-1.4099043251857601E-3</v>
      </c>
      <c r="DF6" s="243">
        <f>IF(ISBLANK('In Process Calc.'!AW6),"",'In Process Calc.'!AW6)</f>
        <v>3.8900972767172402E-3</v>
      </c>
      <c r="DG6" s="243">
        <f>IF(ISBLANK('In Process Calc.'!AX6),"",'In Process Calc.'!AX6)</f>
        <v>3.2216113939620851E-2</v>
      </c>
      <c r="DH6" s="243">
        <f>IF(ISBLANK('In Process Calc.'!AY6),"",'In Process Calc.'!AY6)</f>
        <v>1.6040745650727831E-3</v>
      </c>
      <c r="DI6" s="243">
        <f>IF(ISBLANK('In Process Calc.'!AZ6),"",'In Process Calc.'!AZ6)</f>
        <v>3.7738513465016385E-3</v>
      </c>
      <c r="DJ6" s="243">
        <f>IF(ISBLANK('In Process Calc.'!BA6),"",'In Process Calc.'!BA6)</f>
        <v>0.10113035026121092</v>
      </c>
      <c r="DK6" s="243">
        <f>IF(ISBLANK('In Process Calc.'!BB6),"",'In Process Calc.'!BB6)</f>
        <v>-3.6417245833342883E-3</v>
      </c>
      <c r="DL6" s="243">
        <f>IF(ISBLANK('In Process Calc.'!BC6),"",'In Process Calc.'!BC6)</f>
        <v>2.3624009040604981E-3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7.9039590309891231E-2</v>
      </c>
      <c r="ED6" s="243">
        <f>IF(ISBLANK('In Process Calc.'!BU6),"",'In Process Calc.'!BU6)</f>
        <v>8.0449494635076987E-2</v>
      </c>
      <c r="EE6" s="243">
        <f>IF(ISBLANK('In Process Calc.'!BV6),"",'In Process Calc.'!BV6)</f>
        <v>0.17063811438616155</v>
      </c>
      <c r="EF6" s="243">
        <f>IF(ISBLANK('In Process Calc.'!BW6),"",'In Process Calc.'!BW6)</f>
        <v>0.19307645027839027</v>
      </c>
      <c r="EG6" s="243">
        <f>IF(ISBLANK('In Process Calc.'!BX6),"",'In Process Calc.'!BX6)</f>
        <v>0.33900074264965052</v>
      </c>
      <c r="EH6" s="243">
        <f>IF(ISBLANK('In Process Calc.'!BY6),"",'In Process Calc.'!BY6)</f>
        <v>0</v>
      </c>
      <c r="EI6" s="243">
        <f>IF(ISBLANK('In Process Calc.'!BZ6),"",'In Process Calc.'!BZ6)</f>
        <v>-3.601020439391369E-2</v>
      </c>
      <c r="EJ6" s="243">
        <f>IF(ISBLANK('In Process Calc.'!CA6),"",'In Process Calc.'!CA6)</f>
        <v>0</v>
      </c>
      <c r="EK6" s="243">
        <f>IF(ISBLANK('Post Process Calc.'!A6),"",'Post Process Calc.'!A6)</f>
        <v>1.3430000377655029</v>
      </c>
      <c r="EL6" s="243">
        <f>IF(ISBLANK('Post Process Calc.'!C6),"",'Post Process Calc.'!C6)</f>
        <v>2.4573937262705133E-2</v>
      </c>
      <c r="EM6" s="243">
        <f>IF(ISBLANK('Post Process Calc.'!D6),"",'Post Process Calc.'!D6)</f>
        <v>0</v>
      </c>
      <c r="EN6" s="243">
        <f>IF(ISBLANK('Post Process Calc.'!E6),"",'Post Process Calc.'!E6)</f>
        <v>2.3857928039471576</v>
      </c>
      <c r="EO6" s="243">
        <f>IF(ISBLANK('Post Process Calc.'!F6),"",'Post Process Calc.'!F6)</f>
        <v>-3.175328322007797E-2</v>
      </c>
      <c r="EP6" s="243">
        <f>IF(ISBLANK('Post Process Calc.'!G6),"",'Post Process Calc.'!G6)</f>
        <v>-5.2557660673670506E-3</v>
      </c>
      <c r="EQ6" s="243">
        <f>IF(ISBLANK('Post Process Calc.'!H6),"",'Post Process Calc.'!H6)</f>
        <v>-9.7366568913388361E-4</v>
      </c>
      <c r="ER6" s="243">
        <f>IF(ISBLANK('Post Process Calc.'!I6),"",'Post Process Calc.'!I6)</f>
        <v>-2.047180183250974E-2</v>
      </c>
      <c r="ES6" s="243">
        <f>IF(ISBLANK('Post Process Calc.'!J6),"",'Post Process Calc.'!J6)</f>
        <v>4.54155917119163E-3</v>
      </c>
      <c r="ET6" s="243">
        <f>IF(ISBLANK('Post Process Calc.'!K6),"",'Post Process Calc.'!K6)</f>
        <v>9.9503746540952273E-2</v>
      </c>
      <c r="EU6" s="243">
        <f>IF(ISBLANK('Post Process Calc.'!L6),"",'Post Process Calc.'!L6)</f>
        <v>-5.3373829133951962E-3</v>
      </c>
      <c r="EV6" s="243">
        <f>IF(ISBLANK('Post Process Calc.'!M6),"",'Post Process Calc.'!M6)</f>
        <v>-0.1154150358805462</v>
      </c>
      <c r="EW6" s="243">
        <f>IF(ISBLANK('Post Process Calc.'!N6),"",'Post Process Calc.'!N6)</f>
        <v>0</v>
      </c>
      <c r="EX6" s="243">
        <f>IF(ISBLANK('Post Process Calc.'!O6),"",'Post Process Calc.'!O6)</f>
        <v>0</v>
      </c>
      <c r="EY6" s="243">
        <f>IF(ISBLANK('Post Process Calc.'!P6),"",'Post Process Calc.'!P6)</f>
        <v>0</v>
      </c>
      <c r="EZ6" s="243">
        <f>IF(ISBLANK('Post Process Calc.'!Q6),"",'Post Process Calc.'!Q6)</f>
        <v>6.6383455431723526E-2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-0.20277692472682335</v>
      </c>
      <c r="FN6" s="243">
        <f>IF(ISBLANK('Post Process Calc.'!AE6),"",'Post Process Calc.'!AE6)</f>
        <v>-0.23453020794690138</v>
      </c>
      <c r="FO6" s="243">
        <f>IF(ISBLANK('Post Process Calc.'!AF6),"",'Post Process Calc.'!AF6)</f>
        <v>-0.60579934392742407</v>
      </c>
      <c r="FP6" s="243">
        <f>IF(ISBLANK('Post Process Calc.'!AG6),"",'Post Process Calc.'!AG6)</f>
        <v>0.66714528587526511</v>
      </c>
      <c r="FQ6" s="243">
        <f>IF(ISBLANK('Post Process Calc.'!AH6),"",'Post Process Calc.'!AH6)</f>
        <v>0</v>
      </c>
      <c r="FR6" s="243">
        <f>IF(ISBLANK('Post Process Calc.'!AI6),"",'Post Process Calc.'!AI6)</f>
        <v>-5.3640019586584264E-2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95.45</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4371.7850396572121</v>
      </c>
      <c r="BV7" s="243">
        <f>IF(ISBLANK('In Process Calc.'!M7),"",'In Process Calc.'!M7)</f>
        <v>0</v>
      </c>
      <c r="BW7" s="243">
        <f>IF(ISBLANK('In Process Calc.'!N7),"",'In Process Calc.'!N7)</f>
        <v>38.541310000000003</v>
      </c>
      <c r="BX7" s="243">
        <f>IF(ISBLANK('In Process Calc.'!O7),"",'In Process Calc.'!O7)</f>
        <v>-0.371778</v>
      </c>
      <c r="BY7" s="243">
        <f>IF(ISBLANK('In Process Calc.'!P7),"",'In Process Calc.'!P7)</f>
        <v>-0.15153600000000012</v>
      </c>
      <c r="BZ7" s="243">
        <f>IF(ISBLANK('In Process Calc.'!Q7),"",'In Process Calc.'!Q7)</f>
        <v>1.2412779999999999</v>
      </c>
      <c r="CA7" s="243">
        <f>IF(ISBLANK('In Process Calc.'!R7),"",'In Process Calc.'!R7)</f>
        <v>0.33073200000000041</v>
      </c>
      <c r="CB7" s="243">
        <f>IF(ISBLANK('In Process Calc.'!S7),"",'In Process Calc.'!S7)</f>
        <v>0.38210099999999991</v>
      </c>
      <c r="CC7" s="243">
        <f>IF(ISBLANK('In Process Calc.'!T7),"",'In Process Calc.'!T7)</f>
        <v>7.9942980563749506</v>
      </c>
      <c r="CD7" s="243">
        <f>IF(ISBLANK('In Process Calc.'!U7),"",'In Process Calc.'!U7)</f>
        <v>-1.2059280000000001</v>
      </c>
      <c r="CE7" s="243">
        <f>IF(ISBLANK('In Process Calc.'!V7),"",'In Process Calc.'!V7)</f>
        <v>-7.2246520000000016</v>
      </c>
      <c r="CF7" s="243">
        <f>IF(ISBLANK('In Process Calc.'!W7),"",'In Process Calc.'!W7)</f>
        <v>0</v>
      </c>
      <c r="CG7" s="243">
        <f>IF(ISBLANK('In Process Calc.'!X7),"",'In Process Calc.'!X7)</f>
        <v>0</v>
      </c>
      <c r="CH7" s="243">
        <f>IF(ISBLANK('In Process Calc.'!Y7),"",'In Process Calc.'!Y7)</f>
        <v>0</v>
      </c>
      <c r="CI7" s="243">
        <f>IF(ISBLANK('In Process Calc.'!Z7),"",'In Process Calc.'!Z7)</f>
        <v>9.0244227353463593</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-7.0369400000000022</v>
      </c>
      <c r="CW7" s="243">
        <f>IF(ISBLANK('In Process Calc.'!AN7),"",'In Process Calc.'!AN7)</f>
        <v>-7.4087180000000021</v>
      </c>
      <c r="CX7" s="243">
        <f>IF(ISBLANK('In Process Calc.'!AO7),"",'In Process Calc.'!AO7)</f>
        <v>-33.366136000000012</v>
      </c>
      <c r="CY7" s="243">
        <f>IF(ISBLANK('In Process Calc.'!AP7),"",'In Process Calc.'!AP7)</f>
        <v>0</v>
      </c>
      <c r="CZ7" s="243">
        <f>IF(ISBLANK('In Process Calc.'!AQ7),"",'In Process Calc.'!AQ7)</f>
        <v>0</v>
      </c>
      <c r="DA7" s="243">
        <f>IF(ISBLANK('In Process Calc.'!AR7),"",'In Process Calc.'!AR7)</f>
        <v>2.5875129445834179E-2</v>
      </c>
      <c r="DB7" s="243">
        <f>IF(ISBLANK('In Process Calc.'!AS7),"",'In Process Calc.'!AS7)</f>
        <v>2.5945738750565411E-2</v>
      </c>
      <c r="DC7" s="243">
        <f>IF(ISBLANK('In Process Calc.'!AT7),"",'In Process Calc.'!AT7)</f>
        <v>7.0609304731234266E-5</v>
      </c>
      <c r="DD7" s="243">
        <f>IF(ISBLANK('In Process Calc.'!AU7),"",'In Process Calc.'!AU7)</f>
        <v>0.42689760121491876</v>
      </c>
      <c r="DE7" s="243">
        <f>IF(ISBLANK('In Process Calc.'!AV7),"",'In Process Calc.'!AV7)</f>
        <v>-3.2818160634386397E-3</v>
      </c>
      <c r="DF7" s="243">
        <f>IF(ISBLANK('In Process Calc.'!AW7),"",'In Process Calc.'!AW7)</f>
        <v>-9.2866899023675373E-3</v>
      </c>
      <c r="DG7" s="243">
        <f>IF(ISBLANK('In Process Calc.'!AX7),"",'In Process Calc.'!AX7)</f>
        <v>-2.3512319697648179E-2</v>
      </c>
      <c r="DH7" s="243">
        <f>IF(ISBLANK('In Process Calc.'!AY7),"",'In Process Calc.'!AY7)</f>
        <v>2.8205187074899774E-3</v>
      </c>
      <c r="DI7" s="243">
        <f>IF(ISBLANK('In Process Calc.'!AZ7),"",'In Process Calc.'!AZ7)</f>
        <v>2.5514516589461465E-3</v>
      </c>
      <c r="DJ7" s="243">
        <f>IF(ISBLANK('In Process Calc.'!BA7),"",'In Process Calc.'!BA7)</f>
        <v>7.9511007546199414E-2</v>
      </c>
      <c r="DK7" s="243">
        <f>IF(ISBLANK('In Process Calc.'!BB7),"",'In Process Calc.'!BB7)</f>
        <v>-5.9183231260472322E-3</v>
      </c>
      <c r="DL7" s="243">
        <f>IF(ISBLANK('In Process Calc.'!BC7),"",'In Process Calc.'!BC7)</f>
        <v>-8.1853049438550707E-2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-0.1757709403924142</v>
      </c>
      <c r="ED7" s="243">
        <f>IF(ISBLANK('In Process Calc.'!BU7),"",'In Process Calc.'!BU7)</f>
        <v>-0.17248912432897556</v>
      </c>
      <c r="EE7" s="243">
        <f>IF(ISBLANK('In Process Calc.'!BV7),"",'In Process Calc.'!BV7)</f>
        <v>-0.5718809444344668</v>
      </c>
      <c r="EF7" s="243">
        <f>IF(ISBLANK('In Process Calc.'!BW7),"",'In Process Calc.'!BW7)</f>
        <v>2.6590784783636773E-2</v>
      </c>
      <c r="EG7" s="243">
        <f>IF(ISBLANK('In Process Calc.'!BX7),"",'In Process Calc.'!BX7)</f>
        <v>0.49867274933927114</v>
      </c>
      <c r="EH7" s="243">
        <f>IF(ISBLANK('In Process Calc.'!BY7),"",'In Process Calc.'!BY7)</f>
        <v>0</v>
      </c>
      <c r="EI7" s="243">
        <f>IF(ISBLANK('In Process Calc.'!BZ7),"",'In Process Calc.'!BZ7)</f>
        <v>-7.4434009940176196E-2</v>
      </c>
      <c r="EJ7" s="243">
        <f>IF(ISBLANK('In Process Calc.'!CA7),"",'In Process Calc.'!CA7)</f>
        <v>0</v>
      </c>
      <c r="EK7" s="243">
        <f>IF(ISBLANK('Post Process Calc.'!A7),"",'Post Process Calc.'!A7)</f>
        <v>2.6090999675750735</v>
      </c>
      <c r="EL7" s="243">
        <f>IF(ISBLANK('Post Process Calc.'!C7),"",'Post Process Calc.'!C7)</f>
        <v>2.2815212816208186E-2</v>
      </c>
      <c r="EM7" s="243">
        <f>IF(ISBLANK('Post Process Calc.'!D7),"",'Post Process Calc.'!D7)</f>
        <v>0</v>
      </c>
      <c r="EN7" s="243">
        <f>IF(ISBLANK('Post Process Calc.'!E7),"",'Post Process Calc.'!E7)</f>
        <v>3.5065038854593049</v>
      </c>
      <c r="EO7" s="243">
        <f>IF(ISBLANK('Post Process Calc.'!F7),"",'Post Process Calc.'!F7)</f>
        <v>-2.8728329475562017E-2</v>
      </c>
      <c r="EP7" s="243">
        <f>IF(ISBLANK('Post Process Calc.'!G7),"",'Post Process Calc.'!G7)</f>
        <v>-2.5755388885567985E-3</v>
      </c>
      <c r="EQ7" s="243">
        <f>IF(ISBLANK('Post Process Calc.'!H7),"",'Post Process Calc.'!H7)</f>
        <v>2.4315697743294358E-3</v>
      </c>
      <c r="ER7" s="243">
        <f>IF(ISBLANK('Post Process Calc.'!I7),"",'Post Process Calc.'!I7)</f>
        <v>-1.4053567781549267E-2</v>
      </c>
      <c r="ES7" s="243">
        <f>IF(ISBLANK('Post Process Calc.'!J7),"",'Post Process Calc.'!J7)</f>
        <v>3.2961488239212126E-3</v>
      </c>
      <c r="ET7" s="243">
        <f>IF(ISBLANK('Post Process Calc.'!K7),"",'Post Process Calc.'!K7)</f>
        <v>8.0967790857635766E-2</v>
      </c>
      <c r="EU7" s="243">
        <f>IF(ISBLANK('Post Process Calc.'!L7),"",'Post Process Calc.'!L7)</f>
        <v>-8.0147364350930637E-3</v>
      </c>
      <c r="EV7" s="243">
        <f>IF(ISBLANK('Post Process Calc.'!M7),"",'Post Process Calc.'!M7)</f>
        <v>-5.1504022615961133E-2</v>
      </c>
      <c r="EW7" s="243">
        <f>IF(ISBLANK('Post Process Calc.'!N7),"",'Post Process Calc.'!N7)</f>
        <v>0</v>
      </c>
      <c r="EX7" s="243">
        <f>IF(ISBLANK('Post Process Calc.'!O7),"",'Post Process Calc.'!O7)</f>
        <v>0</v>
      </c>
      <c r="EY7" s="243">
        <f>IF(ISBLANK('Post Process Calc.'!P7),"",'Post Process Calc.'!P7)</f>
        <v>0</v>
      </c>
      <c r="EZ7" s="243">
        <f>IF(ISBLANK('Post Process Calc.'!Q7),"",'Post Process Calc.'!Q7)</f>
        <v>4.3994922326562366E-2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-9.3610832169223973E-2</v>
      </c>
      <c r="FN7" s="243">
        <f>IF(ISBLANK('Post Process Calc.'!AE7),"",'Post Process Calc.'!AE7)</f>
        <v>-0.122339161644786</v>
      </c>
      <c r="FO7" s="243">
        <f>IF(ISBLANK('Post Process Calc.'!AF7),"",'Post Process Calc.'!AF7)</f>
        <v>-0.20796531970591664</v>
      </c>
      <c r="FP7" s="243">
        <f>IF(ISBLANK('Post Process Calc.'!AG7),"",'Post Process Calc.'!AG7)</f>
        <v>0.54336325420953946</v>
      </c>
      <c r="FQ7" s="243">
        <f>IF(ISBLANK('Post Process Calc.'!AH7),"",'Post Process Calc.'!AH7)</f>
        <v>0</v>
      </c>
      <c r="FR7" s="243">
        <f>IF(ISBLANK('Post Process Calc.'!AI7),"",'Post Process Calc.'!AI7)</f>
        <v>-9.8986724846985549E-2</v>
      </c>
      <c r="FS7" s="243">
        <f>IF(ISBLANK('Post Process Calc.'!AJ7),"",'Post Process Calc.'!AJ7)</f>
        <v>0</v>
      </c>
    </row>
    <row r="8" spans="1:175">
      <c r="A8" s="238" t="str">
        <f>IF('Measured Data'!B11&lt;&gt;0,'Measured Data'!$B$1,"")</f>
        <v>XB51</v>
      </c>
      <c r="B8" s="238">
        <f>IF(ISBLANK('Measured Data'!A11),"",'Measured Data'!A11)</f>
        <v>4</v>
      </c>
      <c r="C8" s="245">
        <f>IF(ISBLANK('Measured Data'!B11),"",'Measured Data'!B11)</f>
        <v>3.9770833333313931</v>
      </c>
      <c r="D8" s="246">
        <f>IF(ISBLANK('Measured Data'!C11),"",'Measured Data'!C11)</f>
        <v>95.449999999953434</v>
      </c>
      <c r="E8" s="238">
        <f>IF(ISBLANK('Measured Data'!D11),"",'Measured Data'!D11)</f>
        <v>20</v>
      </c>
      <c r="F8" s="238" t="str">
        <f>IF(ISBLANK('Measured Data'!E12),"",'Measured Data'!E12)</f>
        <v/>
      </c>
      <c r="G8" s="238" t="str">
        <f>IF(ISBLANK('Measured Data'!G11),"",'Measured Data'!G11)</f>
        <v/>
      </c>
      <c r="H8" s="243">
        <f>IF(ISBLANK('Measured Data'!H11),"",'Measured Data'!H11)</f>
        <v>2.6090999675750735</v>
      </c>
      <c r="I8" s="243">
        <f>IF(ISBLANK('Measured Data'!I11),"",'Measured Data'!I11)</f>
        <v>2.3031147254761297E-2</v>
      </c>
      <c r="J8" s="243">
        <f>IF(ISBLANK('Measured Data'!J11),"",'Measured Data'!J11)</f>
        <v>2.6321311148298348</v>
      </c>
      <c r="K8" s="243">
        <f>IF(ISBLANK('Measured Data'!K11),"",'Measured Data'!K11)</f>
        <v>99.125</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345</v>
      </c>
      <c r="S8" s="238">
        <f>IF(ISBLANK('Measured Data'!S11),"",'Measured Data'!S11)</f>
        <v>20.71</v>
      </c>
      <c r="T8" s="243">
        <f>IF(ISBLANK('Measured Data'!U11),"",'Measured Data'!U11)</f>
        <v>0.25800000000000001</v>
      </c>
      <c r="U8" s="243">
        <f>IF(ISBLANK('Measured Data'!V11),"",'Measured Data'!V11)</f>
        <v>2.1360000000000001</v>
      </c>
      <c r="V8" s="243">
        <f>IF(ISBLANK('Measured Data'!W11),"",'Measured Data'!W11)</f>
        <v>5.6870000000000003</v>
      </c>
      <c r="W8" s="243">
        <f>IF(ISBLANK('Measured Data'!X11),"",'Measured Data'!X11)</f>
        <v>1.593</v>
      </c>
      <c r="X8" s="243">
        <f>IF(ISBLANK('Measured Data'!Y11),"",'Measured Data'!Y11)</f>
        <v>0.84899999999999998</v>
      </c>
      <c r="Y8" s="243">
        <f>IF(ISBLANK('Measured Data'!Z11),"",'Measured Data'!Z11)</f>
        <v>33.082439663402823</v>
      </c>
      <c r="Z8" s="243">
        <f>IF(ISBLANK('Measured Data'!AA11),"",'Measured Data'!AA11)</f>
        <v>0.64800000000000002</v>
      </c>
      <c r="AA8" s="243">
        <f>IF(ISBLANK('Measured Data'!AB11),"",'Measured Data'!AB11)</f>
        <v>6.2320000000000002</v>
      </c>
      <c r="AB8" s="243">
        <f>IF(ISBLANK('Measured Data'!AC11),"",'Measured Data'!AC11)</f>
        <v>0</v>
      </c>
      <c r="AC8" s="243">
        <f>IF(ISBLANK('Measured Data'!AD11),"",'Measured Data'!AD11)</f>
        <v>0</v>
      </c>
      <c r="AD8" s="243">
        <f>IF(ISBLANK('Measured Data'!AE11),"",'Measured Data'!AE11)</f>
        <v>0</v>
      </c>
      <c r="AE8" s="243">
        <f>IF(ISBLANK('Measured Data'!AF11),"",'Measured Data'!AF11)</f>
        <v>5.7726465364120783</v>
      </c>
      <c r="AF8" s="243">
        <f>IF(ISBLANK('Measured Data'!AG11),"",'Measured Data'!AG11)</f>
        <v>0</v>
      </c>
      <c r="AG8" s="243">
        <f>IF(ISBLANK('Measured Data'!AH11),"",'Measured Data'!AH11)</f>
        <v>0</v>
      </c>
      <c r="AH8" s="243">
        <f>IF(ISBLANK('Measured Data'!AI11),"",'Measured Data'!AI11)</f>
        <v>0</v>
      </c>
      <c r="AI8" s="243">
        <f>IF(ISBLANK('Measured Data'!AJ11),"",'Measured Data'!AJ11)</f>
        <v>0</v>
      </c>
      <c r="AJ8" s="243">
        <f>IF(ISBLANK('Measured Data'!AK11),"",'Measured Data'!AK11)</f>
        <v>0</v>
      </c>
      <c r="AK8" s="243">
        <f>IF(ISBLANK('Measured Data'!AL11),"",'Measured Data'!AL11)</f>
        <v>0</v>
      </c>
      <c r="AL8" s="243">
        <f>IF(ISBLANK('Measured Data'!AM11),"",'Measured Data'!AM11)</f>
        <v>0</v>
      </c>
      <c r="AM8" s="243">
        <f>IF(ISBLANK('Measured Data'!AN11),"",'Measured Data'!AN11)</f>
        <v>0</v>
      </c>
      <c r="AN8" s="243">
        <f>IF(ISBLANK('Measured Data'!AO11),"",'Measured Data'!AO11)</f>
        <v>0</v>
      </c>
      <c r="AO8" s="243">
        <f>IF(ISBLANK('Measured Data'!AP11),"",'Measured Data'!AP11)</f>
        <v>0</v>
      </c>
      <c r="AP8" s="243">
        <f>IF(ISBLANK('Measured Data'!AQ11),"",'Measured Data'!AQ11)</f>
        <v>0</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6873.0426911666036</v>
      </c>
      <c r="BV8" s="243">
        <f>IF(ISBLANK('In Process Calc.'!M8),"",'In Process Calc.'!M8)</f>
        <v>0</v>
      </c>
      <c r="BW8" s="243">
        <f>IF(ISBLANK('In Process Calc.'!N8),"",'In Process Calc.'!N8)</f>
        <v>140.58590962962964</v>
      </c>
      <c r="BX8" s="243">
        <f>IF(ISBLANK('In Process Calc.'!O8),"",'In Process Calc.'!O8)</f>
        <v>-0.97580677777777769</v>
      </c>
      <c r="BY8" s="243">
        <f>IF(ISBLANK('In Process Calc.'!P8),"",'In Process Calc.'!P8)</f>
        <v>-0.69099285185185233</v>
      </c>
      <c r="BZ8" s="243">
        <f>IF(ISBLANK('In Process Calc.'!Q8),"",'In Process Calc.'!Q8)</f>
        <v>-0.32574733333333317</v>
      </c>
      <c r="CA8" s="243">
        <f>IF(ISBLANK('In Process Calc.'!R8),"",'In Process Calc.'!R8)</f>
        <v>-7.3289185185185068E-2</v>
      </c>
      <c r="CB8" s="243">
        <f>IF(ISBLANK('In Process Calc.'!S8),"",'In Process Calc.'!S8)</f>
        <v>0.46410481481481453</v>
      </c>
      <c r="CC8" s="243">
        <f>IF(ISBLANK('In Process Calc.'!T8),"",'In Process Calc.'!T8)</f>
        <v>12.867750240484616</v>
      </c>
      <c r="CD8" s="243">
        <f>IF(ISBLANK('In Process Calc.'!U8),"",'In Process Calc.'!U8)</f>
        <v>-1.7975822222222222</v>
      </c>
      <c r="CE8" s="243">
        <f>IF(ISBLANK('In Process Calc.'!V8),"",'In Process Calc.'!V8)</f>
        <v>-13.546547777777782</v>
      </c>
      <c r="CF8" s="243">
        <f>IF(ISBLANK('In Process Calc.'!W8),"",'In Process Calc.'!W8)</f>
        <v>0</v>
      </c>
      <c r="CG8" s="243">
        <f>IF(ISBLANK('In Process Calc.'!X8),"",'In Process Calc.'!X8)</f>
        <v>0</v>
      </c>
      <c r="CH8" s="243">
        <f>IF(ISBLANK('In Process Calc.'!Y8),"",'In Process Calc.'!Y8)</f>
        <v>0</v>
      </c>
      <c r="CI8" s="243">
        <f>IF(ISBLANK('In Process Calc.'!Z8),"",'In Process Calc.'!Z8)</f>
        <v>12.624469607262681</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-20.678064629629638</v>
      </c>
      <c r="CW8" s="243">
        <f>IF(ISBLANK('In Process Calc.'!AN8),"",'In Process Calc.'!AN8)</f>
        <v>-21.653871407407415</v>
      </c>
      <c r="CX8" s="243">
        <f>IF(ISBLANK('In Process Calc.'!AO8),"",'In Process Calc.'!AO8)</f>
        <v>-76.750703962963001</v>
      </c>
      <c r="CY8" s="243">
        <f>IF(ISBLANK('In Process Calc.'!AP8),"",'In Process Calc.'!AP8)</f>
        <v>0</v>
      </c>
      <c r="CZ8" s="243">
        <f>IF(ISBLANK('In Process Calc.'!AQ8),"",'In Process Calc.'!AQ8)</f>
        <v>0</v>
      </c>
      <c r="DA8" s="243">
        <f>IF(ISBLANK('In Process Calc.'!AR8),"",'In Process Calc.'!AR8)</f>
        <v>2.004706301442457E-2</v>
      </c>
      <c r="DB8" s="243">
        <f>IF(ISBLANK('In Process Calc.'!AS8),"",'In Process Calc.'!AS8)</f>
        <v>2.0333320052524622E-2</v>
      </c>
      <c r="DC8" s="243">
        <f>IF(ISBLANK('In Process Calc.'!AT8),"",'In Process Calc.'!AT8)</f>
        <v>2.862570381000523E-4</v>
      </c>
      <c r="DD8" s="243">
        <f>IF(ISBLANK('In Process Calc.'!AU8),"",'In Process Calc.'!AU8)</f>
        <v>0.81786637127224016</v>
      </c>
      <c r="DE8" s="243">
        <f>IF(ISBLANK('In Process Calc.'!AV8),"",'In Process Calc.'!AV8)</f>
        <v>-4.8411657884703529E-3</v>
      </c>
      <c r="DF8" s="243">
        <f>IF(ISBLANK('In Process Calc.'!AW8),"",'In Process Calc.'!AW8)</f>
        <v>-4.3236351505456152E-3</v>
      </c>
      <c r="DG8" s="243">
        <f>IF(ISBLANK('In Process Calc.'!AX8),"",'In Process Calc.'!AX8)</f>
        <v>-1.255938410966018E-2</v>
      </c>
      <c r="DH8" s="243">
        <f>IF(ISBLANK('In Process Calc.'!AY8),"",'In Process Calc.'!AY8)</f>
        <v>-3.238146279605494E-3</v>
      </c>
      <c r="DI8" s="243">
        <f>IF(ISBLANK('In Process Calc.'!AZ8),"",'In Process Calc.'!AZ8)</f>
        <v>6.572436238320965E-4</v>
      </c>
      <c r="DJ8" s="243">
        <f>IF(ISBLANK('In Process Calc.'!BA8),"",'In Process Calc.'!BA8)</f>
        <v>5.4698722786507108E-2</v>
      </c>
      <c r="DK8" s="243">
        <f>IF(ISBLANK('In Process Calc.'!BB8),"",'In Process Calc.'!BB8)</f>
        <v>-4.7419862837727771E-3</v>
      </c>
      <c r="DL8" s="243">
        <f>IF(ISBLANK('In Process Calc.'!BC8),"",'In Process Calc.'!BC8)</f>
        <v>-5.0668687790422912E-2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-0.10998803762371503</v>
      </c>
      <c r="ED8" s="243">
        <f>IF(ISBLANK('In Process Calc.'!BU8),"",'In Process Calc.'!BU8)</f>
        <v>-0.10514687183524468</v>
      </c>
      <c r="EE8" s="243">
        <f>IF(ISBLANK('In Process Calc.'!BV8),"",'In Process Calc.'!BV8)</f>
        <v>-0.37676533845373328</v>
      </c>
      <c r="EF8" s="243">
        <f>IF(ISBLANK('In Process Calc.'!BW8),"",'In Process Calc.'!BW8)</f>
        <v>3.9434617429925517E-3</v>
      </c>
      <c r="EG8" s="243">
        <f>IF(ISBLANK('In Process Calc.'!BX8),"",'In Process Calc.'!BX8)</f>
        <v>0.39469790489112777</v>
      </c>
      <c r="EH8" s="243">
        <f>IF(ISBLANK('In Process Calc.'!BY8),"",'In Process Calc.'!BY8)</f>
        <v>0</v>
      </c>
      <c r="EI8" s="243">
        <f>IF(ISBLANK('In Process Calc.'!BZ8),"",'In Process Calc.'!BZ8)</f>
        <v>-8.6692815521142552E-2</v>
      </c>
      <c r="EJ8" s="243">
        <f>IF(ISBLANK('In Process Calc.'!CA8),"",'In Process Calc.'!CA8)</f>
        <v>0</v>
      </c>
      <c r="EK8" s="243">
        <f>IF(ISBLANK('Post Process Calc.'!A8),"",'Post Process Calc.'!A8)</f>
        <v>3.9289001060485846</v>
      </c>
      <c r="EL8" s="243">
        <f>IF(ISBLANK('Post Process Calc.'!C8),"",'Post Process Calc.'!C8)</f>
        <v>2.058288572864507E-2</v>
      </c>
      <c r="EM8" s="243">
        <f>IF(ISBLANK('Post Process Calc.'!D8),"",'Post Process Calc.'!D8)</f>
        <v>0</v>
      </c>
      <c r="EN8" s="243">
        <f>IF(ISBLANK('Post Process Calc.'!E8),"",'Post Process Calc.'!E8)</f>
        <v>3.4485853315140464</v>
      </c>
      <c r="EO8" s="243">
        <f>IF(ISBLANK('Post Process Calc.'!F8),"",'Post Process Calc.'!F8)</f>
        <v>-2.3522753717361469E-2</v>
      </c>
      <c r="EP8" s="243">
        <f>IF(ISBLANK('Post Process Calc.'!G8),"",'Post Process Calc.'!G8)</f>
        <v>-1.4906083022295689E-3</v>
      </c>
      <c r="EQ8" s="243">
        <f>IF(ISBLANK('Post Process Calc.'!H8),"",'Post Process Calc.'!H8)</f>
        <v>4.0145403770987173E-3</v>
      </c>
      <c r="ER8" s="243">
        <f>IF(ISBLANK('Post Process Calc.'!I8),"",'Post Process Calc.'!I8)</f>
        <v>-9.1139346601547874E-3</v>
      </c>
      <c r="ES8" s="243">
        <f>IF(ISBLANK('Post Process Calc.'!J8),"",'Post Process Calc.'!J8)</f>
        <v>2.5485637189177858E-3</v>
      </c>
      <c r="ET8" s="243">
        <f>IF(ISBLANK('Post Process Calc.'!K8),"",'Post Process Calc.'!K8)</f>
        <v>7.1817658299274681E-2</v>
      </c>
      <c r="EU8" s="243">
        <f>IF(ISBLANK('Post Process Calc.'!L8),"",'Post Process Calc.'!L8)</f>
        <v>-7.3736015101016055E-3</v>
      </c>
      <c r="EV8" s="243">
        <f>IF(ISBLANK('Post Process Calc.'!M8),"",'Post Process Calc.'!M8)</f>
        <v>-2.8652684533508384E-2</v>
      </c>
      <c r="EW8" s="243">
        <f>IF(ISBLANK('Post Process Calc.'!N8),"",'Post Process Calc.'!N8)</f>
        <v>0</v>
      </c>
      <c r="EX8" s="243">
        <f>IF(ISBLANK('Post Process Calc.'!O8),"",'Post Process Calc.'!O8)</f>
        <v>0</v>
      </c>
      <c r="EY8" s="243">
        <f>IF(ISBLANK('Post Process Calc.'!P8),"",'Post Process Calc.'!P8)</f>
        <v>0</v>
      </c>
      <c r="EZ8" s="243">
        <f>IF(ISBLANK('Post Process Calc.'!Q8),"",'Post Process Calc.'!Q8)</f>
        <v>2.9857828146996605E-2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-5.2666870494398797E-2</v>
      </c>
      <c r="FN8" s="243">
        <f>IF(ISBLANK('Post Process Calc.'!AE8),"",'Post Process Calc.'!AE8)</f>
        <v>-7.6189624211760273E-2</v>
      </c>
      <c r="FO8" s="243">
        <f>IF(ISBLANK('Post Process Calc.'!AF8),"",'Post Process Calc.'!AF8)</f>
        <v>-8.1427652828326161E-2</v>
      </c>
      <c r="FP8" s="243">
        <f>IF(ISBLANK('Post Process Calc.'!AG8),"",'Post Process Calc.'!AG8)</f>
        <v>0.41574494148186608</v>
      </c>
      <c r="FQ8" s="243">
        <f>IF(ISBLANK('Post Process Calc.'!AH8),"",'Post Process Calc.'!AH8)</f>
        <v>0</v>
      </c>
      <c r="FR8" s="243">
        <f>IF(ISBLANK('Post Process Calc.'!AI8),"",'Post Process Calc.'!AI8)</f>
        <v>-0.10267114919529581</v>
      </c>
      <c r="FS8" s="243">
        <f>IF(ISBLANK('Post Process Calc.'!AJ8),"",'Post Process Calc.'!AJ8)</f>
        <v>0</v>
      </c>
    </row>
    <row r="9" spans="1:175">
      <c r="A9" s="238" t="str">
        <f>IF('Measured Data'!B12&lt;&gt;0,'Measured Data'!$B$1,"")</f>
        <v>XB51</v>
      </c>
      <c r="B9" s="238">
        <f>IF(ISBLANK('Measured Data'!A12),"",'Measured Data'!A12)</f>
        <v>5</v>
      </c>
      <c r="C9" s="245">
        <f>IF(ISBLANK('Measured Data'!B12),"",'Measured Data'!B12)</f>
        <v>4.828472222223354</v>
      </c>
      <c r="D9" s="246">
        <f>IF(ISBLANK('Measured Data'!C12),"",'Measured Data'!C12)</f>
        <v>115.8833333333605</v>
      </c>
      <c r="E9" s="238">
        <f>IF(ISBLANK('Measured Data'!D12),"",'Measured Data'!D12)</f>
        <v>35</v>
      </c>
      <c r="F9" s="238" t="str">
        <f>IF(ISBLANK('Measured Data'!E13),"",'Measured Data'!E13)</f>
        <v/>
      </c>
      <c r="G9" s="238" t="str">
        <f>IF(ISBLANK('Measured Data'!G12),"",'Measured Data'!G12)</f>
        <v/>
      </c>
      <c r="H9" s="243">
        <f>IF(ISBLANK('Measured Data'!H12),"",'Measured Data'!H12)</f>
        <v>3.9289001060485846</v>
      </c>
      <c r="I9" s="243">
        <f>IF(ISBLANK('Measured Data'!I12),"",'Measured Data'!I12)</f>
        <v>4.1964126657235035E-2</v>
      </c>
      <c r="J9" s="243">
        <f>IF(ISBLANK('Measured Data'!J12),"",'Measured Data'!J12)</f>
        <v>3.9708642327058197</v>
      </c>
      <c r="K9" s="243">
        <f>IF(ISBLANK('Measured Data'!K12),"",'Measured Data'!K12)</f>
        <v>98.943199157714844</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375</v>
      </c>
      <c r="S9" s="238">
        <f>IF(ISBLANK('Measured Data'!S12),"",'Measured Data'!S12)</f>
        <v>75.08</v>
      </c>
      <c r="T9" s="243">
        <f>IF(ISBLANK('Measured Data'!U12),"",'Measured Data'!U12)</f>
        <v>0.57899999999999996</v>
      </c>
      <c r="U9" s="243">
        <f>IF(ISBLANK('Measured Data'!V12),"",'Measured Data'!V12)</f>
        <v>2.411</v>
      </c>
      <c r="V9" s="243">
        <f>IF(ISBLANK('Measured Data'!W12),"",'Measured Data'!W12)</f>
        <v>6.4889999999999999</v>
      </c>
      <c r="W9" s="243">
        <f>IF(ISBLANK('Measured Data'!X12),"",'Measured Data'!X12)</f>
        <v>1.7989999999999999</v>
      </c>
      <c r="X9" s="243">
        <f>IF(ISBLANK('Measured Data'!Y12),"",'Measured Data'!Y12)</f>
        <v>0.8</v>
      </c>
      <c r="Y9" s="243">
        <f>IF(ISBLANK('Measured Data'!Z12),"",'Measured Data'!Z12)</f>
        <v>34.248096094495885</v>
      </c>
      <c r="Z9" s="243">
        <f>IF(ISBLANK('Measured Data'!AA12),"",'Measured Data'!AA12)</f>
        <v>0.96</v>
      </c>
      <c r="AA9" s="243">
        <f>IF(ISBLANK('Measured Data'!AB12),"",'Measured Data'!AB12)</f>
        <v>9.57</v>
      </c>
      <c r="AB9" s="243">
        <f>IF(ISBLANK('Measured Data'!AC12),"",'Measured Data'!AC12)</f>
        <v>0</v>
      </c>
      <c r="AC9" s="243">
        <f>IF(ISBLANK('Measured Data'!AD12),"",'Measured Data'!AD12)</f>
        <v>0</v>
      </c>
      <c r="AD9" s="243">
        <f>IF(ISBLANK('Measured Data'!AE12),"",'Measured Data'!AE12)</f>
        <v>0</v>
      </c>
      <c r="AE9" s="243">
        <f>IF(ISBLANK('Measured Data'!AF12),"",'Measured Data'!AF12)</f>
        <v>7.659857904085257</v>
      </c>
      <c r="AF9" s="243">
        <f>IF(ISBLANK('Measured Data'!AG12),"",'Measured Data'!AG12)</f>
        <v>0</v>
      </c>
      <c r="AG9" s="243">
        <f>IF(ISBLANK('Measured Data'!AH12),"",'Measured Data'!AH12)</f>
        <v>0</v>
      </c>
      <c r="AH9" s="243">
        <f>IF(ISBLANK('Measured Data'!AI12),"",'Measured Data'!AI12)</f>
        <v>0</v>
      </c>
      <c r="AI9" s="243">
        <f>IF(ISBLANK('Measured Data'!AJ12),"",'Measured Data'!AJ12)</f>
        <v>0</v>
      </c>
      <c r="AJ9" s="243">
        <f>IF(ISBLANK('Measured Data'!AK12),"",'Measured Data'!AK12)</f>
        <v>0</v>
      </c>
      <c r="AK9" s="243">
        <f>IF(ISBLANK('Measured Data'!AL12),"",'Measured Data'!AL12)</f>
        <v>0</v>
      </c>
      <c r="AL9" s="243">
        <f>IF(ISBLANK('Measured Data'!AM12),"",'Measured Data'!AM12)</f>
        <v>0</v>
      </c>
      <c r="AM9" s="243">
        <f>IF(ISBLANK('Measured Data'!AN12),"",'Measured Data'!AN12)</f>
        <v>0</v>
      </c>
      <c r="AN9" s="243">
        <f>IF(ISBLANK('Measured Data'!AO12),"",'Measured Data'!AO12)</f>
        <v>0</v>
      </c>
      <c r="AO9" s="243">
        <f>IF(ISBLANK('Measured Data'!AP12),"",'Measured Data'!AP12)</f>
        <v>0</v>
      </c>
      <c r="AP9" s="243">
        <f>IF(ISBLANK('Measured Data'!AQ12),"",'Measured Data'!AQ12)</f>
        <v>0</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141.08000000000001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11714.652945386082</v>
      </c>
      <c r="BV9" s="243">
        <f>IF(ISBLANK('In Process Calc.'!M9),"",'In Process Calc.'!M9)</f>
        <v>0</v>
      </c>
      <c r="BW9" s="243">
        <f>IF(ISBLANK('In Process Calc.'!N9),"",'In Process Calc.'!N9)</f>
        <v>367.41201777777781</v>
      </c>
      <c r="BX9" s="243">
        <f>IF(ISBLANK('In Process Calc.'!O9),"",'In Process Calc.'!O9)</f>
        <v>-2.5364640000000001</v>
      </c>
      <c r="BY9" s="243">
        <f>IF(ISBLANK('In Process Calc.'!P9),"",'In Process Calc.'!P9)</f>
        <v>-1.7317006666666663</v>
      </c>
      <c r="BZ9" s="243">
        <f>IF(ISBLANK('In Process Calc.'!Q9),"",'In Process Calc.'!Q9)</f>
        <v>-0.83796922222222425</v>
      </c>
      <c r="CA9" s="243">
        <f>IF(ISBLANK('In Process Calc.'!R9),"",'In Process Calc.'!R9)</f>
        <v>-0.82828455555555602</v>
      </c>
      <c r="CB9" s="243">
        <f>IF(ISBLANK('In Process Calc.'!S9),"",'In Process Calc.'!S9)</f>
        <v>0.64156177777777768</v>
      </c>
      <c r="CC9" s="243">
        <f>IF(ISBLANK('In Process Calc.'!T9),"",'In Process Calc.'!T9)</f>
        <v>20.620079823926854</v>
      </c>
      <c r="CD9" s="243">
        <f>IF(ISBLANK('In Process Calc.'!U9),"",'In Process Calc.'!U9)</f>
        <v>-2.9726013333333334</v>
      </c>
      <c r="CE9" s="243">
        <f>IF(ISBLANK('In Process Calc.'!V9),"",'In Process Calc.'!V9)</f>
        <v>-19.842863333333334</v>
      </c>
      <c r="CF9" s="243">
        <f>IF(ISBLANK('In Process Calc.'!W9),"",'In Process Calc.'!W9)</f>
        <v>0</v>
      </c>
      <c r="CG9" s="243">
        <f>IF(ISBLANK('In Process Calc.'!X9),"",'In Process Calc.'!X9)</f>
        <v>0</v>
      </c>
      <c r="CH9" s="243">
        <f>IF(ISBLANK('In Process Calc.'!Y9),"",'In Process Calc.'!Y9)</f>
        <v>0</v>
      </c>
      <c r="CI9" s="243">
        <f>IF(ISBLANK('In Process Calc.'!Z9),"",'In Process Calc.'!Z9)</f>
        <v>18.566434774028025</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-36.472432111111118</v>
      </c>
      <c r="CW9" s="243">
        <f>IF(ISBLANK('In Process Calc.'!AN9),"",'In Process Calc.'!AN9)</f>
        <v>-39.00889611111112</v>
      </c>
      <c r="CX9" s="243">
        <f>IF(ISBLANK('In Process Calc.'!AO9),"",'In Process Calc.'!AO9)</f>
        <v>-119.67377977777778</v>
      </c>
      <c r="CY9" s="243">
        <f>IF(ISBLANK('In Process Calc.'!AP9),"",'In Process Calc.'!AP9)</f>
        <v>0</v>
      </c>
      <c r="CZ9" s="243">
        <f>IF(ISBLANK('In Process Calc.'!AQ9),"",'In Process Calc.'!AQ9)</f>
        <v>0</v>
      </c>
      <c r="DA9" s="243">
        <f>IF(ISBLANK('In Process Calc.'!AR9),"",'In Process Calc.'!AR9)</f>
        <v>1.964975391830176E-2</v>
      </c>
      <c r="DB9" s="243">
        <f>IF(ISBLANK('In Process Calc.'!AS9),"",'In Process Calc.'!AS9)</f>
        <v>1.9694708021018414E-2</v>
      </c>
      <c r="DC9" s="243">
        <f>IF(ISBLANK('In Process Calc.'!AT9),"",'In Process Calc.'!AT9)</f>
        <v>4.4954102716654928E-5</v>
      </c>
      <c r="DD9" s="243">
        <f>IF(ISBLANK('In Process Calc.'!AU9),"",'In Process Calc.'!AU9)</f>
        <v>0.92057744703280409</v>
      </c>
      <c r="DE9" s="243">
        <f>IF(ISBLANK('In Process Calc.'!AV9),"",'In Process Calc.'!AV9)</f>
        <v>-6.3339527052515381E-3</v>
      </c>
      <c r="DF9" s="243">
        <f>IF(ISBLANK('In Process Calc.'!AW9),"",'In Process Calc.'!AW9)</f>
        <v>-4.2237295833845194E-3</v>
      </c>
      <c r="DG9" s="243">
        <f>IF(ISBLANK('In Process Calc.'!AX9),"",'In Process Calc.'!AX9)</f>
        <v>-2.078860862346924E-3</v>
      </c>
      <c r="DH9" s="243">
        <f>IF(ISBLANK('In Process Calc.'!AY9),"",'In Process Calc.'!AY9)</f>
        <v>-3.064160983281486E-3</v>
      </c>
      <c r="DI9" s="243">
        <f>IF(ISBLANK('In Process Calc.'!AZ9),"",'In Process Calc.'!AZ9)</f>
        <v>7.2021196879127074E-4</v>
      </c>
      <c r="DJ9" s="243">
        <f>IF(ISBLANK('In Process Calc.'!BA9),"",'In Process Calc.'!BA9)</f>
        <v>5.1606859714009856E-2</v>
      </c>
      <c r="DK9" s="243">
        <f>IF(ISBLANK('In Process Calc.'!BB9),"",'In Process Calc.'!BB9)</f>
        <v>-4.7688341626658231E-3</v>
      </c>
      <c r="DL9" s="243">
        <f>IF(ISBLANK('In Process Calc.'!BC9),"",'In Process Calc.'!BC9)</f>
        <v>-2.5553699030362621E-2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-6.4821909133667949E-2</v>
      </c>
      <c r="ED9" s="243">
        <f>IF(ISBLANK('In Process Calc.'!BU9),"",'In Process Calc.'!BU9)</f>
        <v>-5.8487956428416407E-2</v>
      </c>
      <c r="EE9" s="243">
        <f>IF(ISBLANK('In Process Calc.'!BV9),"",'In Process Calc.'!BV9)</f>
        <v>-0.21220771715096998</v>
      </c>
      <c r="EF9" s="243">
        <f>IF(ISBLANK('In Process Calc.'!BW9),"",'In Process Calc.'!BW9)</f>
        <v>4.3212718127476207E-3</v>
      </c>
      <c r="EG9" s="243">
        <f>IF(ISBLANK('In Process Calc.'!BX9),"",'In Process Calc.'!BX9)</f>
        <v>0.37901424292562724</v>
      </c>
      <c r="EH9" s="243">
        <f>IF(ISBLANK('In Process Calc.'!BY9),"",'In Process Calc.'!BY9)</f>
        <v>0</v>
      </c>
      <c r="EI9" s="243">
        <f>IF(ISBLANK('In Process Calc.'!BZ9),"",'In Process Calc.'!BZ9)</f>
        <v>-9.2406982116201394E-2</v>
      </c>
      <c r="EJ9" s="243">
        <f>IF(ISBLANK('In Process Calc.'!CA9),"",'In Process Calc.'!CA9)</f>
        <v>0</v>
      </c>
      <c r="EK9" s="243">
        <f>IF(ISBLANK('Post Process Calc.'!A9),"",'Post Process Calc.'!A9)</f>
        <v>6.4754999710083014</v>
      </c>
      <c r="EL9" s="243">
        <f>IF(ISBLANK('Post Process Calc.'!C9),"",'Post Process Calc.'!C9)</f>
        <v>1.6817943095409092E-2</v>
      </c>
      <c r="EM9" s="243">
        <f>IF(ISBLANK('Post Process Calc.'!D9),"",'Post Process Calc.'!D9)</f>
        <v>0</v>
      </c>
      <c r="EN9" s="243">
        <f>IF(ISBLANK('Post Process Calc.'!E9),"",'Post Process Calc.'!E9)</f>
        <v>2.8218765987348244</v>
      </c>
      <c r="EO9" s="243">
        <f>IF(ISBLANK('Post Process Calc.'!F9),"",'Post Process Calc.'!F9)</f>
        <v>-1.5759403765422782E-2</v>
      </c>
      <c r="EP9" s="243">
        <f>IF(ISBLANK('Post Process Calc.'!G9),"",'Post Process Calc.'!G9)</f>
        <v>-6.4830052867142303E-4</v>
      </c>
      <c r="EQ9" s="243">
        <f>IF(ISBLANK('Post Process Calc.'!H9),"",'Post Process Calc.'!H9)</f>
        <v>4.4586084135094647E-3</v>
      </c>
      <c r="ER9" s="243">
        <f>IF(ISBLANK('Post Process Calc.'!I9),"",'Post Process Calc.'!I9)</f>
        <v>-4.1603717861920268E-3</v>
      </c>
      <c r="ES9" s="243">
        <f>IF(ISBLANK('Post Process Calc.'!J9),"",'Post Process Calc.'!J9)</f>
        <v>1.6850196524592525E-3</v>
      </c>
      <c r="ET9" s="243">
        <f>IF(ISBLANK('Post Process Calc.'!K9),"",'Post Process Calc.'!K9)</f>
        <v>5.7484212717558075E-2</v>
      </c>
      <c r="EU9" s="243">
        <f>IF(ISBLANK('Post Process Calc.'!L9),"",'Post Process Calc.'!L9)</f>
        <v>-4.8906321548188641E-3</v>
      </c>
      <c r="EV9" s="243">
        <f>IF(ISBLANK('Post Process Calc.'!M9),"",'Post Process Calc.'!M9)</f>
        <v>-1.2342718576888869E-2</v>
      </c>
      <c r="EW9" s="243">
        <f>IF(ISBLANK('Post Process Calc.'!N9),"",'Post Process Calc.'!N9)</f>
        <v>0</v>
      </c>
      <c r="EX9" s="243">
        <f>IF(ISBLANK('Post Process Calc.'!O9),"",'Post Process Calc.'!O9)</f>
        <v>0</v>
      </c>
      <c r="EY9" s="243">
        <f>IF(ISBLANK('Post Process Calc.'!P9),"",'Post Process Calc.'!P9)</f>
        <v>0</v>
      </c>
      <c r="EZ9" s="243">
        <f>IF(ISBLANK('Post Process Calc.'!Q9),"",'Post Process Calc.'!Q9)</f>
        <v>1.4707185509965399E-2</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-2.2163011463928156E-2</v>
      </c>
      <c r="FN9" s="243">
        <f>IF(ISBLANK('Post Process Calc.'!AE9),"",'Post Process Calc.'!AE9)</f>
        <v>-3.7922415229350935E-2</v>
      </c>
      <c r="FO9" s="243">
        <f>IF(ISBLANK('Post Process Calc.'!AF9),"",'Post Process Calc.'!AF9)</f>
        <v>-7.6676616593805494E-3</v>
      </c>
      <c r="FP9" s="243">
        <f>IF(ISBLANK('Post Process Calc.'!AG9),"",'Post Process Calc.'!AG9)</f>
        <v>0.25584738512863398</v>
      </c>
      <c r="FQ9" s="243">
        <f>IF(ISBLANK('Post Process Calc.'!AH9),"",'Post Process Calc.'!AH9)</f>
        <v>0</v>
      </c>
      <c r="FR9" s="243">
        <f>IF(ISBLANK('Post Process Calc.'!AI9),"",'Post Process Calc.'!AI9)</f>
        <v>-8.5077831349076843E-2</v>
      </c>
      <c r="FS9" s="243">
        <f>IF(ISBLANK('Post Process Calc.'!AJ9),"",'Post Process Calc.'!AJ9)</f>
        <v>0</v>
      </c>
    </row>
    <row r="10" spans="1:175">
      <c r="A10" s="238" t="str">
        <f>IF('Measured Data'!B13&lt;&gt;0,'Measured Data'!$B$1,"")</f>
        <v>XB51</v>
      </c>
      <c r="B10" s="238">
        <f>IF(ISBLANK('Measured Data'!A13),"",'Measured Data'!A13)</f>
        <v>6</v>
      </c>
      <c r="C10" s="245">
        <f>IF(ISBLANK('Measured Data'!B13),"",'Measured Data'!B13)</f>
        <v>5.8784722222189885</v>
      </c>
      <c r="D10" s="246">
        <f>IF(ISBLANK('Measured Data'!C13),"",'Measured Data'!C13)</f>
        <v>141.08333333325572</v>
      </c>
      <c r="E10" s="238">
        <f>IF(ISBLANK('Measured Data'!D13),"",'Measured Data'!D13)</f>
        <v>20</v>
      </c>
      <c r="F10" s="238" t="e">
        <f>IF(ISBLANK('Measured Data'!#REF!),"",'Measured Data'!#REF!)</f>
        <v>#REF!</v>
      </c>
      <c r="G10" s="238" t="str">
        <f>IF(ISBLANK('Measured Data'!G13),"",'Measured Data'!G13)</f>
        <v/>
      </c>
      <c r="H10" s="243">
        <f>IF(ISBLANK('Measured Data'!H13),"",'Measured Data'!H13)</f>
        <v>6.4754999710083014</v>
      </c>
      <c r="I10" s="243">
        <f>IF(ISBLANK('Measured Data'!I13),"",'Measured Data'!I13)</f>
        <v>4.7592416766580214E-2</v>
      </c>
      <c r="J10" s="243">
        <f>IF(ISBLANK('Measured Data'!J13),"",'Measured Data'!J13)</f>
        <v>6.5230923877748817</v>
      </c>
      <c r="K10" s="243">
        <f>IF(ISBLANK('Measured Data'!K13),"",'Measured Data'!K13)</f>
        <v>99.270401000976562</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393</v>
      </c>
      <c r="S10" s="238">
        <f>IF(ISBLANK('Measured Data'!S13),"",'Measured Data'!S13)</f>
        <v>195.04</v>
      </c>
      <c r="T10" s="243">
        <f>IF(ISBLANK('Measured Data'!U13),"",'Measured Data'!U13)</f>
        <v>1.4039999999999999</v>
      </c>
      <c r="U10" s="243">
        <f>IF(ISBLANK('Measured Data'!V13),"",'Measured Data'!V13)</f>
        <v>2.9489999999999998</v>
      </c>
      <c r="V10" s="243">
        <f>IF(ISBLANK('Measured Data'!W13),"",'Measured Data'!W13)</f>
        <v>6.7220000000000004</v>
      </c>
      <c r="W10" s="243">
        <f>IF(ISBLANK('Measured Data'!X13),"",'Measured Data'!X13)</f>
        <v>2.1890000000000001</v>
      </c>
      <c r="X10" s="243">
        <f>IF(ISBLANK('Measured Data'!Y13),"",'Measured Data'!Y13)</f>
        <v>0.70099999999999996</v>
      </c>
      <c r="Y10" s="243">
        <f>IF(ISBLANK('Measured Data'!Z13),"",'Measured Data'!Z13)</f>
        <v>33.526499256200182</v>
      </c>
      <c r="Z10" s="243">
        <f>IF(ISBLANK('Measured Data'!AA13),"",'Measured Data'!AA13)</f>
        <v>1.5780000000000001</v>
      </c>
      <c r="AA10" s="243">
        <f>IF(ISBLANK('Measured Data'!AB13),"",'Measured Data'!AB13)</f>
        <v>12.855</v>
      </c>
      <c r="AB10" s="243">
        <f>IF(ISBLANK('Measured Data'!AC13),"",'Measured Data'!AC13)</f>
        <v>0</v>
      </c>
      <c r="AC10" s="243">
        <f>IF(ISBLANK('Measured Data'!AD13),"",'Measured Data'!AD13)</f>
        <v>0</v>
      </c>
      <c r="AD10" s="243">
        <f>IF(ISBLANK('Measured Data'!AE13),"",'Measured Data'!AE13)</f>
        <v>0</v>
      </c>
      <c r="AE10" s="243">
        <f>IF(ISBLANK('Measured Data'!AF13),"",'Measured Data'!AF13)</f>
        <v>10.768206039076377</v>
      </c>
      <c r="AF10" s="243">
        <f>IF(ISBLANK('Measured Data'!AG13),"",'Measured Data'!AG13)</f>
        <v>0</v>
      </c>
      <c r="AG10" s="243">
        <f>IF(ISBLANK('Measured Data'!AH13),"",'Measured Data'!AH13)</f>
        <v>0</v>
      </c>
      <c r="AH10" s="243">
        <f>IF(ISBLANK('Measured Data'!AI13),"",'Measured Data'!AI13)</f>
        <v>0</v>
      </c>
      <c r="AI10" s="243">
        <f>IF(ISBLANK('Measured Data'!AJ13),"",'Measured Data'!AJ13)</f>
        <v>0</v>
      </c>
      <c r="AJ10" s="243">
        <f>IF(ISBLANK('Measured Data'!AK13),"",'Measured Data'!AK13)</f>
        <v>0</v>
      </c>
      <c r="AK10" s="243">
        <f>IF(ISBLANK('Measured Data'!AL13),"",'Measured Data'!AL13)</f>
        <v>0</v>
      </c>
      <c r="AL10" s="243">
        <f>IF(ISBLANK('Measured Data'!AM13),"",'Measured Data'!AM13)</f>
        <v>0</v>
      </c>
      <c r="AM10" s="243">
        <f>IF(ISBLANK('Measured Data'!AN13),"",'Measured Data'!AN13)</f>
        <v>0</v>
      </c>
      <c r="AN10" s="243">
        <f>IF(ISBLANK('Measured Data'!AO13),"",'Measured Data'!AO13)</f>
        <v>0</v>
      </c>
      <c r="AO10" s="243">
        <f>IF(ISBLANK('Measured Data'!AP13),"",'Measured Data'!AP13)</f>
        <v>0</v>
      </c>
      <c r="AP10" s="243">
        <f>IF(ISBLANK('Measured Data'!AQ13),"",'Measured Data'!AQ13)</f>
        <v>0</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164.73</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18115.331097036687</v>
      </c>
      <c r="BV10" s="243">
        <f>IF(ISBLANK('In Process Calc.'!M10),"",'In Process Calc.'!M10)</f>
        <v>0</v>
      </c>
      <c r="BW10" s="243">
        <f>IF(ISBLANK('In Process Calc.'!N10),"",'In Process Calc.'!N10)</f>
        <v>732.5997188888889</v>
      </c>
      <c r="BX10" s="243">
        <f>IF(ISBLANK('In Process Calc.'!O10),"",'In Process Calc.'!O10)</f>
        <v>-5.6530212222222218</v>
      </c>
      <c r="BY10" s="243">
        <f>IF(ISBLANK('In Process Calc.'!P10),"",'In Process Calc.'!P10)</f>
        <v>-2.5387945185185186</v>
      </c>
      <c r="BZ10" s="243">
        <f>IF(ISBLANK('In Process Calc.'!Q10),"",'In Process Calc.'!Q10)</f>
        <v>1.069827555555555</v>
      </c>
      <c r="CA10" s="243">
        <f>IF(ISBLANK('In Process Calc.'!R10),"",'In Process Calc.'!R10)</f>
        <v>-2.3466398888888893</v>
      </c>
      <c r="CB10" s="243">
        <f>IF(ISBLANK('In Process Calc.'!S10),"",'In Process Calc.'!S10)</f>
        <v>0.7885806296296296</v>
      </c>
      <c r="CC10" s="243">
        <f>IF(ISBLANK('In Process Calc.'!T10),"",'In Process Calc.'!T10)</f>
        <v>30.756762103315186</v>
      </c>
      <c r="CD10" s="243">
        <f>IF(ISBLANK('In Process Calc.'!U10),"",'In Process Calc.'!U10)</f>
        <v>-4.6580169999999992</v>
      </c>
      <c r="CE10" s="243">
        <f>IF(ISBLANK('In Process Calc.'!V10),"",'In Process Calc.'!V10)</f>
        <v>-26.255684148148145</v>
      </c>
      <c r="CF10" s="243">
        <f>IF(ISBLANK('In Process Calc.'!W10),"",'In Process Calc.'!W10)</f>
        <v>0</v>
      </c>
      <c r="CG10" s="243">
        <f>IF(ISBLANK('In Process Calc.'!X10),"",'In Process Calc.'!X10)</f>
        <v>0</v>
      </c>
      <c r="CH10" s="243">
        <f>IF(ISBLANK('In Process Calc.'!Y10),"",'In Process Calc.'!Y10)</f>
        <v>0</v>
      </c>
      <c r="CI10" s="243">
        <f>IF(ISBLANK('In Process Calc.'!Z10),"",'In Process Calc.'!Z10)</f>
        <v>24.799363528715215</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-50.009740962962965</v>
      </c>
      <c r="CW10" s="243">
        <f>IF(ISBLANK('In Process Calc.'!AN10),"",'In Process Calc.'!AN10)</f>
        <v>-55.662762185185187</v>
      </c>
      <c r="CX10" s="243">
        <f>IF(ISBLANK('In Process Calc.'!AO10),"",'In Process Calc.'!AO10)</f>
        <v>-153.21797474074074</v>
      </c>
      <c r="CY10" s="243">
        <f>IF(ISBLANK('In Process Calc.'!AP10),"",'In Process Calc.'!AP10)</f>
        <v>0</v>
      </c>
      <c r="CZ10" s="243">
        <f>IF(ISBLANK('In Process Calc.'!AQ10),"",'In Process Calc.'!AQ10)</f>
        <v>0</v>
      </c>
      <c r="DA10" s="243">
        <f>IF(ISBLANK('In Process Calc.'!AR10),"",'In Process Calc.'!AR10)</f>
        <v>1.7575577403470554E-2</v>
      </c>
      <c r="DB10" s="243">
        <f>IF(ISBLANK('In Process Calc.'!AS10),"",'In Process Calc.'!AS10)</f>
        <v>1.780892146977683E-2</v>
      </c>
      <c r="DC10" s="243">
        <f>IF(ISBLANK('In Process Calc.'!AT10),"",'In Process Calc.'!AT10)</f>
        <v>2.3334406630627494E-4</v>
      </c>
      <c r="DD10" s="243">
        <f>IF(ISBLANK('In Process Calc.'!AU10),"",'In Process Calc.'!AU10)</f>
        <v>1.0027663562522091</v>
      </c>
      <c r="DE10" s="243">
        <f>IF(ISBLANK('In Process Calc.'!AV10),"",'In Process Calc.'!AV10)</f>
        <v>-8.5577326954623389E-3</v>
      </c>
      <c r="DF10" s="243">
        <f>IF(ISBLANK('In Process Calc.'!AW10),"",'In Process Calc.'!AW10)</f>
        <v>-2.2161933671714716E-3</v>
      </c>
      <c r="DG10" s="243">
        <f>IF(ISBLANK('In Process Calc.'!AX10),"",'In Process Calc.'!AX10)</f>
        <v>5.2386058388638398E-3</v>
      </c>
      <c r="DH10" s="243">
        <f>IF(ISBLANK('In Process Calc.'!AY10),"",'In Process Calc.'!AY10)</f>
        <v>-4.1692412982975184E-3</v>
      </c>
      <c r="DI10" s="243">
        <f>IF(ISBLANK('In Process Calc.'!AZ10),"",'In Process Calc.'!AZ10)</f>
        <v>4.0369803781264139E-4</v>
      </c>
      <c r="DJ10" s="243">
        <f>IF(ISBLANK('In Process Calc.'!BA10),"",'In Process Calc.'!BA10)</f>
        <v>3.9303993792439866E-2</v>
      </c>
      <c r="DK10" s="243">
        <f>IF(ISBLANK('In Process Calc.'!BB10),"",'In Process Calc.'!BB10)</f>
        <v>-4.6279711000439781E-3</v>
      </c>
      <c r="DL10" s="243">
        <f>IF(ISBLANK('In Process Calc.'!BC10),"",'In Process Calc.'!BC10)</f>
        <v>-1.7608919857390336E-2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-3.7575699804383716E-2</v>
      </c>
      <c r="ED10" s="243">
        <f>IF(ISBLANK('In Process Calc.'!BU10),"",'In Process Calc.'!BU10)</f>
        <v>-2.9017967108921378E-2</v>
      </c>
      <c r="EE10" s="243">
        <f>IF(ISBLANK('In Process Calc.'!BV10),"",'In Process Calc.'!BV10)</f>
        <v>-0.14345516668744629</v>
      </c>
      <c r="EF10" s="243">
        <f>IF(ISBLANK('In Process Calc.'!BW10),"",'In Process Calc.'!BW10)</f>
        <v>2.337661158233121E-2</v>
      </c>
      <c r="EG10" s="243">
        <f>IF(ISBLANK('In Process Calc.'!BX10),"",'In Process Calc.'!BX10)</f>
        <v>0.17191979373422511</v>
      </c>
      <c r="EH10" s="243">
        <f>IF(ISBLANK('In Process Calc.'!BY10),"",'In Process Calc.'!BY10)</f>
        <v>0</v>
      </c>
      <c r="EI10" s="243">
        <f>IF(ISBLANK('In Process Calc.'!BZ10),"",'In Process Calc.'!BZ10)</f>
        <v>-0.11774811293945832</v>
      </c>
      <c r="EJ10" s="243">
        <f>IF(ISBLANK('In Process Calc.'!CA10),"",'In Process Calc.'!CA10)</f>
        <v>0</v>
      </c>
      <c r="EK10" s="243">
        <f>IF(ISBLANK('Post Process Calc.'!A10),"",'Post Process Calc.'!A10)</f>
        <v>9.8106001449584959</v>
      </c>
      <c r="EL10" s="243">
        <f>IF(ISBLANK('Post Process Calc.'!C10),"",'Post Process Calc.'!C10)</f>
        <v>1.2648729841143288E-2</v>
      </c>
      <c r="EM10" s="243">
        <f>IF(ISBLANK('Post Process Calc.'!D10),"",'Post Process Calc.'!D10)</f>
        <v>0</v>
      </c>
      <c r="EN10" s="243">
        <f>IF(ISBLANK('Post Process Calc.'!E10),"",'Post Process Calc.'!E10)</f>
        <v>2.2424963528156172</v>
      </c>
      <c r="EO10" s="243">
        <f>IF(ISBLANK('Post Process Calc.'!F10),"",'Post Process Calc.'!F10)</f>
        <v>-1.0104163443930858E-2</v>
      </c>
      <c r="EP10" s="243">
        <f>IF(ISBLANK('Post Process Calc.'!G10),"",'Post Process Calc.'!G10)</f>
        <v>-2.0828231290731349E-4</v>
      </c>
      <c r="EQ10" s="243">
        <f>IF(ISBLANK('Post Process Calc.'!H10),"",'Post Process Calc.'!H10)</f>
        <v>4.1098342225424885E-3</v>
      </c>
      <c r="ER10" s="243">
        <f>IF(ISBLANK('Post Process Calc.'!I10),"",'Post Process Calc.'!I10)</f>
        <v>-1.3879212715268701E-3</v>
      </c>
      <c r="ES10" s="243">
        <f>IF(ISBLANK('Post Process Calc.'!J10),"",'Post Process Calc.'!J10)</f>
        <v>1.1116592498701741E-3</v>
      </c>
      <c r="ET10" s="243">
        <f>IF(ISBLANK('Post Process Calc.'!K10),"",'Post Process Calc.'!K10)</f>
        <v>4.6315429675966649E-2</v>
      </c>
      <c r="EU10" s="243">
        <f>IF(ISBLANK('Post Process Calc.'!L10),"",'Post Process Calc.'!L10)</f>
        <v>-2.7210955859687963E-3</v>
      </c>
      <c r="EV10" s="243">
        <f>IF(ISBLANK('Post Process Calc.'!M10),"",'Post Process Calc.'!M10)</f>
        <v>-4.4342379307815557E-3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5.1732638699410888E-3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-6.7830379681919446E-3</v>
      </c>
      <c r="FN10" s="243">
        <f>IF(ISBLANK('Post Process Calc.'!AE10),"",'Post Process Calc.'!AE10)</f>
        <v>-1.6887201412122799E-2</v>
      </c>
      <c r="FO10" s="243">
        <f>IF(ISBLANK('Post Process Calc.'!AF10),"",'Post Process Calc.'!AF10)</f>
        <v>2.0346810075951273E-2</v>
      </c>
      <c r="FP10" s="243">
        <f>IF(ISBLANK('Post Process Calc.'!AG10),"",'Post Process Calc.'!AG10)</f>
        <v>0.11169633761652277</v>
      </c>
      <c r="FQ10" s="243">
        <f>IF(ISBLANK('Post Process Calc.'!AH10),"",'Post Process Calc.'!AH10)</f>
        <v>0</v>
      </c>
      <c r="FR10" s="243">
        <f>IF(ISBLANK('Post Process Calc.'!AI10),"",'Post Process Calc.'!AI10)</f>
        <v>-5.8751383826215239E-2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189.12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23686.574742786324</v>
      </c>
      <c r="BV11" s="243">
        <f>IF(ISBLANK('In Process Calc.'!M11),"",'In Process Calc.'!M11)</f>
        <v>0</v>
      </c>
      <c r="BW11" s="243">
        <f>IF(ISBLANK('In Process Calc.'!N11),"",'In Process Calc.'!N11)</f>
        <v>1364.7481370370374</v>
      </c>
      <c r="BX11" s="243">
        <f>IF(ISBLANK('In Process Calc.'!O11),"",'In Process Calc.'!O11)</f>
        <v>-10.351283333333333</v>
      </c>
      <c r="BY11" s="243">
        <f>IF(ISBLANK('In Process Calc.'!P11),"",'In Process Calc.'!P11)</f>
        <v>-2.3388891851851863</v>
      </c>
      <c r="BZ11" s="243">
        <f>IF(ISBLANK('In Process Calc.'!Q11),"",'In Process Calc.'!Q11)</f>
        <v>9.6444920370370362</v>
      </c>
      <c r="CA11" s="243">
        <f>IF(ISBLANK('In Process Calc.'!R11),"",'In Process Calc.'!R11)</f>
        <v>-3.9236738148148156</v>
      </c>
      <c r="CB11" s="243">
        <f>IF(ISBLANK('In Process Calc.'!S11),"",'In Process Calc.'!S11)</f>
        <v>1.1072614814814814</v>
      </c>
      <c r="CC11" s="243">
        <f>IF(ISBLANK('In Process Calc.'!T11),"",'In Process Calc.'!T11)</f>
        <v>44.226152156654031</v>
      </c>
      <c r="CD11" s="243">
        <f>IF(ISBLANK('In Process Calc.'!U11),"",'In Process Calc.'!U11)</f>
        <v>-6.6042706666666664</v>
      </c>
      <c r="CE11" s="243">
        <f>IF(ISBLANK('In Process Calc.'!V11),"",'In Process Calc.'!V11)</f>
        <v>-25.159784592592597</v>
      </c>
      <c r="CF11" s="243">
        <f>IF(ISBLANK('In Process Calc.'!W11),"",'In Process Calc.'!W11)</f>
        <v>0</v>
      </c>
      <c r="CG11" s="243">
        <f>IF(ISBLANK('In Process Calc.'!X11),"",'In Process Calc.'!X11)</f>
        <v>0</v>
      </c>
      <c r="CH11" s="243">
        <f>IF(ISBLANK('In Process Calc.'!Y11),"",'In Process Calc.'!Y11)</f>
        <v>0</v>
      </c>
      <c r="CI11" s="243">
        <f>IF(ISBLANK('In Process Calc.'!Z11),"",'In Process Calc.'!Z11)</f>
        <v>27.923384974672718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-40.49533277777779</v>
      </c>
      <c r="CW11" s="243">
        <f>IF(ISBLANK('In Process Calc.'!AN11),"",'In Process Calc.'!AN11)</f>
        <v>-50.846616111111125</v>
      </c>
      <c r="CX11" s="243">
        <f>IF(ISBLANK('In Process Calc.'!AO11),"",'In Process Calc.'!AO11)</f>
        <v>-112.27291962962967</v>
      </c>
      <c r="CY11" s="243">
        <f>IF(ISBLANK('In Process Calc.'!AP11),"",'In Process Calc.'!AP11)</f>
        <v>0</v>
      </c>
      <c r="CZ11" s="243">
        <f>IF(ISBLANK('In Process Calc.'!AQ11),"",'In Process Calc.'!AQ11)</f>
        <v>0</v>
      </c>
      <c r="DA11" s="243">
        <f>IF(ISBLANK('In Process Calc.'!AR11),"",'In Process Calc.'!AR11)</f>
        <v>1.0684540624927246E-2</v>
      </c>
      <c r="DB11" s="243">
        <f>IF(ISBLANK('In Process Calc.'!AS11),"",'In Process Calc.'!AS11)</f>
        <v>1.0666384684841788E-2</v>
      </c>
      <c r="DC11" s="243">
        <f>IF(ISBLANK('In Process Calc.'!AT11),"",'In Process Calc.'!AT11)</f>
        <v>-1.8155940085457154E-5</v>
      </c>
      <c r="DD11" s="243">
        <f>IF(ISBLANK('In Process Calc.'!AU11),"",'In Process Calc.'!AU11)</f>
        <v>1.2123353211881611</v>
      </c>
      <c r="DE11" s="243">
        <f>IF(ISBLANK('In Process Calc.'!AV11),"",'In Process Calc.'!AV11)</f>
        <v>-9.0103351396272728E-3</v>
      </c>
      <c r="DF11" s="243">
        <f>IF(ISBLANK('In Process Calc.'!AW11),"",'In Process Calc.'!AW11)</f>
        <v>3.8337879133487732E-4</v>
      </c>
      <c r="DG11" s="243">
        <f>IF(ISBLANK('In Process Calc.'!AX11),"",'In Process Calc.'!AX11)</f>
        <v>1.6444506258024582E-2</v>
      </c>
      <c r="DH11" s="243">
        <f>IF(ISBLANK('In Process Calc.'!AY11),"",'In Process Calc.'!AY11)</f>
        <v>-3.0244383695728376E-3</v>
      </c>
      <c r="DI11" s="243">
        <f>IF(ISBLANK('In Process Calc.'!AZ11),"",'In Process Calc.'!AZ11)</f>
        <v>6.1116668458670125E-4</v>
      </c>
      <c r="DJ11" s="243">
        <f>IF(ISBLANK('In Process Calc.'!BA11),"",'In Process Calc.'!BA11)</f>
        <v>3.3393142088633906E-2</v>
      </c>
      <c r="DK11" s="243">
        <f>IF(ISBLANK('In Process Calc.'!BB11),"",'In Process Calc.'!BB11)</f>
        <v>-3.7325286220031353E-3</v>
      </c>
      <c r="DL11" s="243">
        <f>IF(ISBLANK('In Process Calc.'!BC11),"",'In Process Calc.'!BC11)</f>
        <v>2.1017180483761514E-3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1.7635581661145143E-2</v>
      </c>
      <c r="ED11" s="243">
        <f>IF(ISBLANK('In Process Calc.'!BU11),"",'In Process Calc.'!BU11)</f>
        <v>2.6645916800772416E-2</v>
      </c>
      <c r="EE11" s="243">
        <f>IF(ISBLANK('In Process Calc.'!BV11),"",'In Process Calc.'!BV11)</f>
        <v>2.4462486122319708E-2</v>
      </c>
      <c r="EF11" s="243">
        <f>IF(ISBLANK('In Process Calc.'!BW11),"",'In Process Calc.'!BW11)</f>
        <v>8.2253888129508554E-2</v>
      </c>
      <c r="EG11" s="243">
        <f>IF(ISBLANK('In Process Calc.'!BX11),"",'In Process Calc.'!BX11)</f>
        <v>9.8855764291448153E-3</v>
      </c>
      <c r="EH11" s="243">
        <f>IF(ISBLANK('In Process Calc.'!BY11),"",'In Process Calc.'!BY11)</f>
        <v>0</v>
      </c>
      <c r="EI11" s="243">
        <f>IF(ISBLANK('In Process Calc.'!BZ11),"",'In Process Calc.'!BZ11)</f>
        <v>-0.11177530440519953</v>
      </c>
      <c r="EJ11" s="243">
        <f>IF(ISBLANK('In Process Calc.'!CA11),"",'In Process Calc.'!CA11)</f>
        <v>0</v>
      </c>
      <c r="EK11" s="243">
        <f>IF(ISBLANK('Post Process Calc.'!A11),"",'Post Process Calc.'!A11)</f>
        <v>12.582400186157226</v>
      </c>
      <c r="EL11" s="243">
        <f>IF(ISBLANK('Post Process Calc.'!C11),"",'Post Process Calc.'!C11)</f>
        <v>8.5060930826518655E-3</v>
      </c>
      <c r="EM11" s="243">
        <f>IF(ISBLANK('Post Process Calc.'!D11),"",'Post Process Calc.'!D11)</f>
        <v>0</v>
      </c>
      <c r="EN11" s="243">
        <f>IF(ISBLANK('Post Process Calc.'!E11),"",'Post Process Calc.'!E11)</f>
        <v>1.9970014317936808</v>
      </c>
      <c r="EO11" s="243">
        <f>IF(ISBLANK('Post Process Calc.'!F11),"",'Post Process Calc.'!F11)</f>
        <v>-6.675141041872305E-3</v>
      </c>
      <c r="EP11" s="243">
        <f>IF(ISBLANK('Post Process Calc.'!G11),"",'Post Process Calc.'!G11)</f>
        <v>6.066265299499687E-5</v>
      </c>
      <c r="EQ11" s="243">
        <f>IF(ISBLANK('Post Process Calc.'!H11),"",'Post Process Calc.'!H11)</f>
        <v>3.860028245921565E-3</v>
      </c>
      <c r="ER11" s="243">
        <f>IF(ISBLANK('Post Process Calc.'!I11),"",'Post Process Calc.'!I11)</f>
        <v>1.7067395332874847E-4</v>
      </c>
      <c r="ES11" s="243">
        <f>IF(ISBLANK('Post Process Calc.'!J11),"",'Post Process Calc.'!J11)</f>
        <v>7.9798416819841143E-4</v>
      </c>
      <c r="ET11" s="243">
        <f>IF(ISBLANK('Post Process Calc.'!K11),"",'Post Process Calc.'!K11)</f>
        <v>4.222280263055788E-2</v>
      </c>
      <c r="EU11" s="243">
        <f>IF(ISBLANK('Post Process Calc.'!L11),"",'Post Process Calc.'!L11)</f>
        <v>-1.261838209222753E-3</v>
      </c>
      <c r="EV11" s="243">
        <f>IF(ISBLANK('Post Process Calc.'!M11),"",'Post Process Calc.'!M11)</f>
        <v>-7.0074137988797702E-6</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-9.5114007830296833E-4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2.4253756197627502E-3</v>
      </c>
      <c r="FN11" s="243">
        <f>IF(ISBLANK('Post Process Calc.'!AE11),"",'Post Process Calc.'!AE11)</f>
        <v>-4.2497654221095443E-3</v>
      </c>
      <c r="FO11" s="243">
        <f>IF(ISBLANK('Post Process Calc.'!AF11),"",'Post Process Calc.'!AF11)</f>
        <v>3.5936748404197208E-2</v>
      </c>
      <c r="FP11" s="243">
        <f>IF(ISBLANK('Post Process Calc.'!AG11),"",'Post Process Calc.'!AG11)</f>
        <v>-2.2526692191072138E-2</v>
      </c>
      <c r="FQ11" s="243">
        <f>IF(ISBLANK('Post Process Calc.'!AH11),"",'Post Process Calc.'!AH11)</f>
        <v>0</v>
      </c>
      <c r="FR11" s="243">
        <f>IF(ISBLANK('Post Process Calc.'!AI11),"",'Post Process Calc.'!AI11)</f>
        <v>-2.9885230979658457E-2</v>
      </c>
      <c r="FS11" s="243">
        <f>IF(ISBLANK('Post Process Calc.'!AJ11),"",'Post Process Calc.'!AJ11)</f>
        <v>0</v>
      </c>
    </row>
    <row r="12" spans="1:175">
      <c r="A12" s="238" t="str">
        <f>IF('Measured Data'!B14&lt;&gt;0,'Measured Data'!$B$1,"")</f>
        <v>XB51</v>
      </c>
      <c r="B12" s="238">
        <f>IF(ISBLANK('Measured Data'!A14),"",'Measured Data'!A14)</f>
        <v>7</v>
      </c>
      <c r="C12" s="245">
        <f>IF(ISBLANK('Measured Data'!B14),"",'Measured Data'!B14)</f>
        <v>6.8638888888890506</v>
      </c>
      <c r="D12" s="246">
        <f>IF(ISBLANK('Measured Data'!C14),"",'Measured Data'!C14)</f>
        <v>164.73333333333721</v>
      </c>
      <c r="E12" s="238">
        <f>IF(ISBLANK('Measured Data'!D14),"",'Measured Data'!D14)</f>
        <v>20</v>
      </c>
      <c r="F12" s="238" t="e">
        <f>IF(ISBLANK('Measured Data'!#REF!),"",'Measured Data'!#REF!)</f>
        <v>#REF!</v>
      </c>
      <c r="G12" s="238" t="str">
        <f>IF(ISBLANK('Measured Data'!G14),"",'Measured Data'!G14)</f>
        <v/>
      </c>
      <c r="H12" s="243">
        <f>IF(ISBLANK('Measured Data'!H14),"",'Measured Data'!H14)</f>
        <v>9.8106001449584959</v>
      </c>
      <c r="I12" s="243">
        <f>IF(ISBLANK('Measured Data'!I14),"",'Measured Data'!I14)</f>
        <v>9.2114923807461224E-2</v>
      </c>
      <c r="J12" s="243">
        <f>IF(ISBLANK('Measured Data'!J14),"",'Measured Data'!J14)</f>
        <v>9.9027150687659571</v>
      </c>
      <c r="K12" s="243">
        <f>IF(ISBLANK('Measured Data'!K14),"",'Measured Data'!K14)</f>
        <v>99.069801330566406</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406</v>
      </c>
      <c r="S12" s="238">
        <f>IF(ISBLANK('Measured Data'!S14),"",'Measured Data'!S14)</f>
        <v>386.43</v>
      </c>
      <c r="T12" s="243">
        <f>IF(ISBLANK('Measured Data'!U14),"",'Measured Data'!U14)</f>
        <v>3.0390000000000001</v>
      </c>
      <c r="U12" s="243">
        <f>IF(ISBLANK('Measured Data'!V14),"",'Measured Data'!V14)</f>
        <v>3.3559999999999999</v>
      </c>
      <c r="V12" s="243">
        <f>IF(ISBLANK('Measured Data'!W14),"",'Measured Data'!W14)</f>
        <v>5.673</v>
      </c>
      <c r="W12" s="243">
        <f>IF(ISBLANK('Measured Data'!X14),"",'Measured Data'!X14)</f>
        <v>2.976</v>
      </c>
      <c r="X12" s="243">
        <f>IF(ISBLANK('Measured Data'!Y14),"",'Measured Data'!Y14)</f>
        <v>0.61899999999999999</v>
      </c>
      <c r="Y12" s="243">
        <f>IF(ISBLANK('Measured Data'!Z14),"",'Measured Data'!Z14)</f>
        <v>29.974022513821357</v>
      </c>
      <c r="Z12" s="243">
        <f>IF(ISBLANK('Measured Data'!AA14),"",'Measured Data'!AA14)</f>
        <v>2.4569999999999999</v>
      </c>
      <c r="AA12" s="243">
        <f>IF(ISBLANK('Measured Data'!AB14),"",'Measured Data'!AB14)</f>
        <v>16.155999999999999</v>
      </c>
      <c r="AB12" s="243">
        <f>IF(ISBLANK('Measured Data'!AC14),"",'Measured Data'!AC14)</f>
        <v>0</v>
      </c>
      <c r="AC12" s="243">
        <f>IF(ISBLANK('Measured Data'!AD14),"",'Measured Data'!AD14)</f>
        <v>0</v>
      </c>
      <c r="AD12" s="243">
        <f>IF(ISBLANK('Measured Data'!AE14),"",'Measured Data'!AE14)</f>
        <v>0</v>
      </c>
      <c r="AE12" s="243">
        <f>IF(ISBLANK('Measured Data'!AF14),"",'Measured Data'!AF14)</f>
        <v>13.987566607460035</v>
      </c>
      <c r="AF12" s="243">
        <f>IF(ISBLANK('Measured Data'!AG14),"",'Measured Data'!AG14)</f>
        <v>0</v>
      </c>
      <c r="AG12" s="243">
        <f>IF(ISBLANK('Measured Data'!AH14),"",'Measured Data'!AH14)</f>
        <v>0</v>
      </c>
      <c r="AH12" s="243">
        <f>IF(ISBLANK('Measured Data'!AI14),"",'Measured Data'!AI14)</f>
        <v>0</v>
      </c>
      <c r="AI12" s="243">
        <f>IF(ISBLANK('Measured Data'!AJ14),"",'Measured Data'!AJ14)</f>
        <v>0</v>
      </c>
      <c r="AJ12" s="243">
        <f>IF(ISBLANK('Measured Data'!AK14),"",'Measured Data'!AK14)</f>
        <v>0</v>
      </c>
      <c r="AK12" s="243">
        <f>IF(ISBLANK('Measured Data'!AL14),"",'Measured Data'!AL14)</f>
        <v>0</v>
      </c>
      <c r="AL12" s="243">
        <f>IF(ISBLANK('Measured Data'!AM14),"",'Measured Data'!AM14)</f>
        <v>0</v>
      </c>
      <c r="AM12" s="243">
        <f>IF(ISBLANK('Measured Data'!AN14),"",'Measured Data'!AN14)</f>
        <v>0</v>
      </c>
      <c r="AN12" s="243">
        <f>IF(ISBLANK('Measured Data'!AO14),"",'Measured Data'!AO14)</f>
        <v>0</v>
      </c>
      <c r="AO12" s="243">
        <f>IF(ISBLANK('Measured Data'!AP14),"",'Measured Data'!AP14)</f>
        <v>0</v>
      </c>
      <c r="AP12" s="243">
        <f>IF(ISBLANK('Measured Data'!AQ14),"",'Measured Data'!AQ14)</f>
        <v>0</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213.07</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30156.120093410151</v>
      </c>
      <c r="BV12" s="243">
        <f>IF(ISBLANK('In Process Calc.'!M12),"",'In Process Calc.'!M12)</f>
        <v>0</v>
      </c>
      <c r="BW12" s="243">
        <f>IF(ISBLANK('In Process Calc.'!N12),"",'In Process Calc.'!N12)</f>
        <v>2236.0992422222225</v>
      </c>
      <c r="BX12" s="243">
        <f>IF(ISBLANK('In Process Calc.'!O12),"",'In Process Calc.'!O12)</f>
        <v>-13.914271000000001</v>
      </c>
      <c r="BY12" s="243">
        <f>IF(ISBLANK('In Process Calc.'!P12),"",'In Process Calc.'!P12)</f>
        <v>-1.2555183055555559</v>
      </c>
      <c r="BZ12" s="243">
        <f>IF(ISBLANK('In Process Calc.'!Q12),"",'In Process Calc.'!Q12)</f>
        <v>11.713494277777777</v>
      </c>
      <c r="CA12" s="243">
        <f>IF(ISBLANK('In Process Calc.'!R12),"",'In Process Calc.'!R12)</f>
        <v>-3.2401467222222231</v>
      </c>
      <c r="CB12" s="243">
        <f>IF(ISBLANK('In Process Calc.'!S12),"",'In Process Calc.'!S12)</f>
        <v>1.4612817499999999</v>
      </c>
      <c r="CC12" s="243">
        <f>IF(ISBLANK('In Process Calc.'!T12),"",'In Process Calc.'!T12)</f>
        <v>58.261340562456823</v>
      </c>
      <c r="CD12" s="243">
        <f>IF(ISBLANK('In Process Calc.'!U12),"",'In Process Calc.'!U12)</f>
        <v>-6.1420965833333332</v>
      </c>
      <c r="CE12" s="243">
        <f>IF(ISBLANK('In Process Calc.'!V12),"",'In Process Calc.'!V12)</f>
        <v>-19.101567166666669</v>
      </c>
      <c r="CF12" s="243">
        <f>IF(ISBLANK('In Process Calc.'!W12),"",'In Process Calc.'!W12)</f>
        <v>0</v>
      </c>
      <c r="CG12" s="243">
        <f>IF(ISBLANK('In Process Calc.'!X12),"",'In Process Calc.'!X12)</f>
        <v>0</v>
      </c>
      <c r="CH12" s="243">
        <f>IF(ISBLANK('In Process Calc.'!Y12),"",'In Process Calc.'!Y12)</f>
        <v>0</v>
      </c>
      <c r="CI12" s="243">
        <f>IF(ISBLANK('In Process Calc.'!Z12),"",'In Process Calc.'!Z12)</f>
        <v>20.008677471876855</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-27.212699222222231</v>
      </c>
      <c r="CW12" s="243">
        <f>IF(ISBLANK('In Process Calc.'!AN12),"",'In Process Calc.'!AN12)</f>
        <v>-41.126970222222234</v>
      </c>
      <c r="CX12" s="243">
        <f>IF(ISBLANK('In Process Calc.'!AO12),"",'In Process Calc.'!AO12)</f>
        <v>-49.347534861111129</v>
      </c>
      <c r="CY12" s="243">
        <f>IF(ISBLANK('In Process Calc.'!AP12),"",'In Process Calc.'!AP12)</f>
        <v>0</v>
      </c>
      <c r="CZ12" s="243">
        <f>IF(ISBLANK('In Process Calc.'!AQ12),"",'In Process Calc.'!AQ12)</f>
        <v>0</v>
      </c>
      <c r="DA12" s="243">
        <f>IF(ISBLANK('In Process Calc.'!AR12),"",'In Process Calc.'!AR12)</f>
        <v>9.8568215391944703E-3</v>
      </c>
      <c r="DB12" s="243">
        <f>IF(ISBLANK('In Process Calc.'!AS12),"",'In Process Calc.'!AS12)</f>
        <v>9.9523010435653321E-3</v>
      </c>
      <c r="DC12" s="243">
        <f>IF(ISBLANK('In Process Calc.'!AT12),"",'In Process Calc.'!AT12)</f>
        <v>9.547950437086144E-5</v>
      </c>
      <c r="DD12" s="243">
        <f>IF(ISBLANK('In Process Calc.'!AU12),"",'In Process Calc.'!AU12)</f>
        <v>1.3275666026457436</v>
      </c>
      <c r="DE12" s="243">
        <f>IF(ISBLANK('In Process Calc.'!AV12),"",'In Process Calc.'!AV12)</f>
        <v>-5.428470112400996E-3</v>
      </c>
      <c r="DF12" s="243">
        <f>IF(ISBLANK('In Process Calc.'!AW12),"",'In Process Calc.'!AW12)</f>
        <v>1.6505941055409278E-3</v>
      </c>
      <c r="DG12" s="243">
        <f>IF(ISBLANK('In Process Calc.'!AX12),"",'In Process Calc.'!AX12)</f>
        <v>3.1522749661548445E-3</v>
      </c>
      <c r="DH12" s="243">
        <f>IF(ISBLANK('In Process Calc.'!AY12),"",'In Process Calc.'!AY12)</f>
        <v>1.0414030977060828E-3</v>
      </c>
      <c r="DI12" s="243">
        <f>IF(ISBLANK('In Process Calc.'!AZ12),"",'In Process Calc.'!AZ12)</f>
        <v>5.3937555406552136E-4</v>
      </c>
      <c r="DJ12" s="243">
        <f>IF(ISBLANK('In Process Calc.'!BA12),"",'In Process Calc.'!BA12)</f>
        <v>2.9533231743167482E-2</v>
      </c>
      <c r="DK12" s="243">
        <f>IF(ISBLANK('In Process Calc.'!BB12),"",'In Process Calc.'!BB12)</f>
        <v>7.0415573468670225E-4</v>
      </c>
      <c r="DL12" s="243">
        <f>IF(ISBLANK('In Process Calc.'!BC12),"",'In Process Calc.'!BC12)</f>
        <v>9.2301336147573299E-3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1.9697679977974742E-2</v>
      </c>
      <c r="ED12" s="243">
        <f>IF(ISBLANK('In Process Calc.'!BU12),"",'In Process Calc.'!BU12)</f>
        <v>2.5126150090375738E-2</v>
      </c>
      <c r="EE12" s="243">
        <f>IF(ISBLANK('In Process Calc.'!BV12),"",'In Process Calc.'!BV12)</f>
        <v>6.3300566623099574E-2</v>
      </c>
      <c r="EF12" s="243">
        <f>IF(ISBLANK('In Process Calc.'!BW12),"",'In Process Calc.'!BW12)</f>
        <v>7.9585976960302562E-2</v>
      </c>
      <c r="EG12" s="243">
        <f>IF(ISBLANK('In Process Calc.'!BX12),"",'In Process Calc.'!BX12)</f>
        <v>-0.32321020427967379</v>
      </c>
      <c r="EH12" s="243">
        <f>IF(ISBLANK('In Process Calc.'!BY12),"",'In Process Calc.'!BY12)</f>
        <v>0</v>
      </c>
      <c r="EI12" s="243">
        <f>IF(ISBLANK('In Process Calc.'!BZ12),"",'In Process Calc.'!BZ12)</f>
        <v>2.3842826982509585E-2</v>
      </c>
      <c r="EJ12" s="243">
        <f>IF(ISBLANK('In Process Calc.'!CA12),"",'In Process Calc.'!CA12)</f>
        <v>0</v>
      </c>
      <c r="EK12" s="243">
        <f>IF(ISBLANK('Post Process Calc.'!A12),"",'Post Process Calc.'!A12)</f>
        <v>15.968199594116211</v>
      </c>
      <c r="EL12" s="243">
        <f>IF(ISBLANK('Post Process Calc.'!C12),"",'Post Process Calc.'!C12)</f>
        <v>5.2688161294544029E-3</v>
      </c>
      <c r="EM12" s="243">
        <f>IF(ISBLANK('Post Process Calc.'!D12),"",'Post Process Calc.'!D12)</f>
        <v>0</v>
      </c>
      <c r="EN12" s="243">
        <f>IF(ISBLANK('Post Process Calc.'!E12),"",'Post Process Calc.'!E12)</f>
        <v>1.7215942654564096</v>
      </c>
      <c r="EO12" s="243">
        <f>IF(ISBLANK('Post Process Calc.'!F12),"",'Post Process Calc.'!F12)</f>
        <v>-3.5780452477968136E-3</v>
      </c>
      <c r="EP12" s="243">
        <f>IF(ISBLANK('Post Process Calc.'!G12),"",'Post Process Calc.'!G12)</f>
        <v>2.5712633479172737E-4</v>
      </c>
      <c r="EQ12" s="243">
        <f>IF(ISBLANK('Post Process Calc.'!H12),"",'Post Process Calc.'!H12)</f>
        <v>3.2505344397707292E-3</v>
      </c>
      <c r="ER12" s="243">
        <f>IF(ISBLANK('Post Process Calc.'!I12),"",'Post Process Calc.'!I12)</f>
        <v>1.0443411158599983E-3</v>
      </c>
      <c r="ES12" s="243">
        <f>IF(ISBLANK('Post Process Calc.'!J12),"",'Post Process Calc.'!J12)</f>
        <v>5.2231521669676858E-4</v>
      </c>
      <c r="ET12" s="243">
        <f>IF(ISBLANK('Post Process Calc.'!K12),"",'Post Process Calc.'!K12)</f>
        <v>3.7188412926494746E-2</v>
      </c>
      <c r="EU12" s="243">
        <f>IF(ISBLANK('Post Process Calc.'!L12),"",'Post Process Calc.'!L12)</f>
        <v>-1.9625647499637043E-4</v>
      </c>
      <c r="EV12" s="243">
        <f>IF(ISBLANK('Post Process Calc.'!M12),"",'Post Process Calc.'!M12)</f>
        <v>3.0278096191329231E-3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-4.9256428064741418E-3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8.9774604351062996E-3</v>
      </c>
      <c r="FN12" s="243">
        <f>IF(ISBLANK('Post Process Calc.'!AE12),"",'Post Process Calc.'!AE12)</f>
        <v>5.3994151873094937E-3</v>
      </c>
      <c r="FO12" s="243">
        <f>IF(ISBLANK('Post Process Calc.'!AF12),"",'Post Process Calc.'!AF12)</f>
        <v>4.3577271734189904E-2</v>
      </c>
      <c r="FP12" s="243">
        <f>IF(ISBLANK('Post Process Calc.'!AG12),"",'Post Process Calc.'!AG12)</f>
        <v>-0.1324510087647458</v>
      </c>
      <c r="FQ12" s="243">
        <f>IF(ISBLANK('Post Process Calc.'!AH12),"",'Post Process Calc.'!AH12)</f>
        <v>0</v>
      </c>
      <c r="FR12" s="243">
        <f>IF(ISBLANK('Post Process Calc.'!AI12),"",'Post Process Calc.'!AI12)</f>
        <v>-5.2773554866211627E-3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16.753300531005859</v>
      </c>
      <c r="EL13" s="243">
        <f>IF(ISBLANK('Post Process Calc.'!C13),"",'Post Process Calc.'!C13)</f>
        <v>2.9739976768820516E-3</v>
      </c>
      <c r="EM13" s="243">
        <f>IF(ISBLANK('Post Process Calc.'!D13),"",'Post Process Calc.'!D13)</f>
        <v>0</v>
      </c>
      <c r="EN13" s="243">
        <f>IF(ISBLANK('Post Process Calc.'!E13),"",'Post Process Calc.'!E13)</f>
        <v>1.7439123769845268</v>
      </c>
      <c r="EO13" s="243">
        <f>IF(ISBLANK('Post Process Calc.'!F13),"",'Post Process Calc.'!F13)</f>
        <v>-9.6775866209559069E-4</v>
      </c>
      <c r="EP13" s="243">
        <f>IF(ISBLANK('Post Process Calc.'!G13),"",'Post Process Calc.'!G13)</f>
        <v>5.0772154185427937E-4</v>
      </c>
      <c r="EQ13" s="243">
        <f>IF(ISBLANK('Post Process Calc.'!H13),"",'Post Process Calc.'!H13)</f>
        <v>2.8978800804004908E-3</v>
      </c>
      <c r="ER13" s="243">
        <f>IF(ISBLANK('Post Process Calc.'!I13),"",'Post Process Calc.'!I13)</f>
        <v>1.6523868299114322E-3</v>
      </c>
      <c r="ES13" s="243">
        <f>IF(ISBLANK('Post Process Calc.'!J13),"",'Post Process Calc.'!J13)</f>
        <v>3.3739899668851811E-4</v>
      </c>
      <c r="ET13" s="243">
        <f>IF(ISBLANK('Post Process Calc.'!K13),"",'Post Process Calc.'!K13)</f>
        <v>3.8200287551901899E-2</v>
      </c>
      <c r="EU13" s="243">
        <f>IF(ISBLANK('Post Process Calc.'!L13),"",'Post Process Calc.'!L13)</f>
        <v>5.6024663916141469E-4</v>
      </c>
      <c r="EV13" s="243">
        <f>IF(ISBLANK('Post Process Calc.'!M13),"",'Post Process Calc.'!M13)</f>
        <v>6.2861311649147801E-3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-8.3847754917642913E-3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1.673206027186934E-2</v>
      </c>
      <c r="FN13" s="243">
        <f>IF(ISBLANK('Post Process Calc.'!AE13),"",'Post Process Calc.'!AE13)</f>
        <v>1.5764301609773764E-2</v>
      </c>
      <c r="FO13" s="243">
        <f>IF(ISBLANK('Post Process Calc.'!AF13),"",'Post Process Calc.'!AF13)</f>
        <v>5.6510033296993521E-2</v>
      </c>
      <c r="FP13" s="243">
        <f>IF(ISBLANK('Post Process Calc.'!AG13),"",'Post Process Calc.'!AG13)</f>
        <v>-0.21949508836476897</v>
      </c>
      <c r="FQ13" s="243">
        <f>IF(ISBLANK('Post Process Calc.'!AH13),"",'Post Process Calc.'!AH13)</f>
        <v>0</v>
      </c>
      <c r="FR13" s="243">
        <f>IF(ISBLANK('Post Process Calc.'!AI13),"",'Post Process Calc.'!AI13)</f>
        <v>1.4666031987330456E-2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16.191300256347656</v>
      </c>
      <c r="EL14" s="243">
        <f>IF(ISBLANK('Post Process Calc.'!C14),"",'Post Process Calc.'!C14)</f>
        <v>1.6645386568215918E-3</v>
      </c>
      <c r="EM14" s="243">
        <f>IF(ISBLANK('Post Process Calc.'!D14),"",'Post Process Calc.'!D14)</f>
        <v>0</v>
      </c>
      <c r="EN14" s="243">
        <f>IF(ISBLANK('Post Process Calc.'!E14),"",'Post Process Calc.'!E14)</f>
        <v>1.8612511549235631</v>
      </c>
      <c r="EO14" s="243">
        <f>IF(ISBLANK('Post Process Calc.'!F14),"",'Post Process Calc.'!F14)</f>
        <v>2.1159392486033062E-3</v>
      </c>
      <c r="EP14" s="243">
        <f>IF(ISBLANK('Post Process Calc.'!G14),"",'Post Process Calc.'!G14)</f>
        <v>8.1688019205107217E-4</v>
      </c>
      <c r="EQ14" s="243">
        <f>IF(ISBLANK('Post Process Calc.'!H14),"",'Post Process Calc.'!H14)</f>
        <v>2.0857343993721917E-3</v>
      </c>
      <c r="ER14" s="243">
        <f>IF(ISBLANK('Post Process Calc.'!I14),"",'Post Process Calc.'!I14)</f>
        <v>1.9214891534916879E-3</v>
      </c>
      <c r="ES14" s="243">
        <f>IF(ISBLANK('Post Process Calc.'!J14),"",'Post Process Calc.'!J14)</f>
        <v>1.404904703466454E-4</v>
      </c>
      <c r="ET14" s="243">
        <f>IF(ISBLANK('Post Process Calc.'!K14),"",'Post Process Calc.'!K14)</f>
        <v>4.075970141112055E-2</v>
      </c>
      <c r="EU14" s="243">
        <f>IF(ISBLANK('Post Process Calc.'!L14),"",'Post Process Calc.'!L14)</f>
        <v>1.0634132702051465E-3</v>
      </c>
      <c r="EV14" s="243">
        <f>IF(ISBLANK('Post Process Calc.'!M14),"",'Post Process Calc.'!M14)</f>
        <v>1.0173645572428247E-2</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-1.0053208903358403E-2</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2.6354741911771215E-2</v>
      </c>
      <c r="FN14" s="243">
        <f>IF(ISBLANK('Post Process Calc.'!AE14),"",'Post Process Calc.'!AE14)</f>
        <v>2.8470681160374545E-2</v>
      </c>
      <c r="FO14" s="243">
        <f>IF(ISBLANK('Post Process Calc.'!AF14),"",'Post Process Calc.'!AF14)</f>
        <v>7.2791378135307269E-2</v>
      </c>
      <c r="FP14" s="243">
        <f>IF(ISBLANK('Post Process Calc.'!AG14),"",'Post Process Calc.'!AG14)</f>
        <v>-0.24664579364694675</v>
      </c>
      <c r="FQ14" s="243">
        <f>IF(ISBLANK('Post Process Calc.'!AH14),"",'Post Process Calc.'!AH14)</f>
        <v>0</v>
      </c>
      <c r="FR14" s="243">
        <f>IF(ISBLANK('Post Process Calc.'!AI14),"",'Post Process Calc.'!AI14)</f>
        <v>2.6089819929716495E-2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16.129900796508789</v>
      </c>
      <c r="EL15" s="243">
        <f>IF(ISBLANK('Post Process Calc.'!C15),"",'Post Process Calc.'!C15)</f>
        <v>9.2506131667759368E-4</v>
      </c>
      <c r="EM15" s="243">
        <f>IF(ISBLANK('Post Process Calc.'!D15),"",'Post Process Calc.'!D15)</f>
        <v>0</v>
      </c>
      <c r="EN15" s="243">
        <f>IF(ISBLANK('Post Process Calc.'!E15),"",'Post Process Calc.'!E15)</f>
        <v>1.8831324766339526</v>
      </c>
      <c r="EO15" s="243">
        <f>IF(ISBLANK('Post Process Calc.'!F15),"",'Post Process Calc.'!F15)</f>
        <v>5.8558395614676005E-3</v>
      </c>
      <c r="EP15" s="243">
        <f>IF(ISBLANK('Post Process Calc.'!G15),"",'Post Process Calc.'!G15)</f>
        <v>1.1662969197725342E-3</v>
      </c>
      <c r="EQ15" s="243">
        <f>IF(ISBLANK('Post Process Calc.'!H15),"",'Post Process Calc.'!H15)</f>
        <v>4.6205087507694622E-4</v>
      </c>
      <c r="ER15" s="243">
        <f>IF(ISBLANK('Post Process Calc.'!I15),"",'Post Process Calc.'!I15)</f>
        <v>1.5660468505655179E-3</v>
      </c>
      <c r="ES15" s="243">
        <f>IF(ISBLANK('Post Process Calc.'!J15),"",'Post Process Calc.'!J15)</f>
        <v>-1.1147821122068187E-4</v>
      </c>
      <c r="ET15" s="243">
        <f>IF(ISBLANK('Post Process Calc.'!K15),"",'Post Process Calc.'!K15)</f>
        <v>4.0464969614902244E-2</v>
      </c>
      <c r="EU15" s="243">
        <f>IF(ISBLANK('Post Process Calc.'!L15),"",'Post Process Calc.'!L15)</f>
        <v>1.2367299010639639E-3</v>
      </c>
      <c r="EV15" s="243">
        <f>IF(ISBLANK('Post Process Calc.'!M15),"",'Post Process Calc.'!M15)</f>
        <v>1.4127377639042283E-2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-7.9755282549017568E-3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3.6287504417713022E-2</v>
      </c>
      <c r="FN15" s="243">
        <f>IF(ISBLANK('Post Process Calc.'!AE15),"",'Post Process Calc.'!AE15)</f>
        <v>4.214334397918066E-2</v>
      </c>
      <c r="FO15" s="243">
        <f>IF(ISBLANK('Post Process Calc.'!AF15),"",'Post Process Calc.'!AF15)</f>
        <v>8.6795647575622165E-2</v>
      </c>
      <c r="FP15" s="243">
        <f>IF(ISBLANK('Post Process Calc.'!AG15),"",'Post Process Calc.'!AG15)</f>
        <v>-0.19709710227891949</v>
      </c>
      <c r="FQ15" s="243">
        <f>IF(ISBLANK('Post Process Calc.'!AH15),"",'Post Process Calc.'!AH15)</f>
        <v>0</v>
      </c>
      <c r="FR15" s="243">
        <f>IF(ISBLANK('Post Process Calc.'!AI15),"",'Post Process Calc.'!AI15)</f>
        <v>3.056297614538445E-2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t="str">
        <f>IF(ISBLANK('Post Process Calc.'!A16),"",'Post Process Calc.'!A16)</f>
        <v/>
      </c>
      <c r="EL16" s="243" t="str">
        <f>IF(ISBLANK('Post Process Calc.'!C16),"",'Post Process Calc.'!C16)</f>
        <v/>
      </c>
      <c r="EM16" s="243" t="str">
        <f>IF(ISBLANK('Post Process Calc.'!D16),"",'Post Process Calc.'!D16)</f>
        <v/>
      </c>
      <c r="EN16" s="243" t="str">
        <f>IF(ISBLANK('Post Process Calc.'!E16),"",'Post Process Calc.'!E16)</f>
        <v/>
      </c>
      <c r="EO16" s="243" t="str">
        <f>IF(ISBLANK('Post Process Calc.'!F16),"",'Post Process Calc.'!F16)</f>
        <v/>
      </c>
      <c r="EP16" s="243" t="str">
        <f>IF(ISBLANK('Post Process Calc.'!G16),"",'Post Process Calc.'!G16)</f>
        <v/>
      </c>
      <c r="EQ16" s="243" t="str">
        <f>IF(ISBLANK('Post Process Calc.'!H16),"",'Post Process Calc.'!H16)</f>
        <v/>
      </c>
      <c r="ER16" s="243" t="str">
        <f>IF(ISBLANK('Post Process Calc.'!I16),"",'Post Process Calc.'!I16)</f>
        <v/>
      </c>
      <c r="ES16" s="243" t="str">
        <f>IF(ISBLANK('Post Process Calc.'!J16),"",'Post Process Calc.'!J16)</f>
        <v/>
      </c>
      <c r="ET16" s="243" t="str">
        <f>IF(ISBLANK('Post Process Calc.'!K16),"",'Post Process Calc.'!K16)</f>
        <v/>
      </c>
      <c r="EU16" s="243" t="str">
        <f>IF(ISBLANK('Post Process Calc.'!L16),"",'Post Process Calc.'!L16)</f>
        <v/>
      </c>
      <c r="EV16" s="243" t="str">
        <f>IF(ISBLANK('Post Process Calc.'!M16),"",'Post Process Calc.'!M16)</f>
        <v/>
      </c>
      <c r="EW16" s="243" t="str">
        <f>IF(ISBLANK('Post Process Calc.'!N16),"",'Post Process Calc.'!N16)</f>
        <v/>
      </c>
      <c r="EX16" s="243" t="str">
        <f>IF(ISBLANK('Post Process Calc.'!O16),"",'Post Process Calc.'!O16)</f>
        <v/>
      </c>
      <c r="EY16" s="243" t="str">
        <f>IF(ISBLANK('Post Process Calc.'!P16),"",'Post Process Calc.'!P16)</f>
        <v/>
      </c>
      <c r="EZ16" s="243" t="str">
        <f>IF(ISBLANK('Post Process Calc.'!Q16),"",'Post Process Calc.'!Q16)</f>
        <v/>
      </c>
      <c r="FA16" s="243" t="str">
        <f>IF(ISBLANK('Post Process Calc.'!R16),"",'Post Process Calc.'!R16)</f>
        <v/>
      </c>
      <c r="FB16" s="243" t="str">
        <f>IF(ISBLANK('Post Process Calc.'!S16),"",'Post Process Calc.'!S16)</f>
        <v/>
      </c>
      <c r="FC16" s="243" t="str">
        <f>IF(ISBLANK('Post Process Calc.'!T16),"",'Post Process Calc.'!T16)</f>
        <v/>
      </c>
      <c r="FD16" s="243" t="str">
        <f>IF(ISBLANK('Post Process Calc.'!U16),"",'Post Process Calc.'!U16)</f>
        <v/>
      </c>
      <c r="FE16" s="243" t="str">
        <f>IF(ISBLANK('Post Process Calc.'!V16),"",'Post Process Calc.'!V16)</f>
        <v/>
      </c>
      <c r="FF16" s="243" t="str">
        <f>IF(ISBLANK('Post Process Calc.'!W16),"",'Post Process Calc.'!W16)</f>
        <v/>
      </c>
      <c r="FG16" s="243" t="str">
        <f>IF(ISBLANK('Post Process Calc.'!X16),"",'Post Process Calc.'!X16)</f>
        <v/>
      </c>
      <c r="FH16" s="243" t="str">
        <f>IF(ISBLANK('Post Process Calc.'!Y16),"",'Post Process Calc.'!Y16)</f>
        <v/>
      </c>
      <c r="FI16" s="243" t="str">
        <f>IF(ISBLANK('Post Process Calc.'!Z16),"",'Post Process Calc.'!Z16)</f>
        <v/>
      </c>
      <c r="FJ16" s="243" t="str">
        <f>IF(ISBLANK('Post Process Calc.'!AA16),"",'Post Process Calc.'!AA16)</f>
        <v/>
      </c>
      <c r="FK16" s="243" t="str">
        <f>IF(ISBLANK('Post Process Calc.'!AB16),"",'Post Process Calc.'!AB16)</f>
        <v/>
      </c>
      <c r="FL16" s="243" t="str">
        <f>IF(ISBLANK('Post Process Calc.'!AC16),"",'Post Process Calc.'!AC16)</f>
        <v/>
      </c>
      <c r="FM16" s="243" t="str">
        <f>IF(ISBLANK('Post Process Calc.'!AD16),"",'Post Process Calc.'!AD16)</f>
        <v/>
      </c>
      <c r="FN16" s="243" t="str">
        <f>IF(ISBLANK('Post Process Calc.'!AE16),"",'Post Process Calc.'!AE16)</f>
        <v/>
      </c>
      <c r="FO16" s="243" t="str">
        <f>IF(ISBLANK('Post Process Calc.'!AF16),"",'Post Process Calc.'!AF16)</f>
        <v/>
      </c>
      <c r="FP16" s="243" t="str">
        <f>IF(ISBLANK('Post Process Calc.'!AG16),"",'Post Process Calc.'!AG16)</f>
        <v/>
      </c>
      <c r="FQ16" s="243" t="str">
        <f>IF(ISBLANK('Post Process Calc.'!AH16),"",'Post Process Calc.'!AH16)</f>
        <v/>
      </c>
      <c r="FR16" s="243" t="str">
        <f>IF(ISBLANK('Post Process Calc.'!AI16),"",'Post Process Calc.'!AI16)</f>
        <v/>
      </c>
      <c r="FS16" s="243" t="str">
        <f>IF(ISBLANK('Post Process Calc.'!AJ16),"",'Post Process Calc.'!AJ16)</f>
        <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t="str">
        <f>IF(ISBLANK('Post Process Calc.'!A17),"",'Post Process Calc.'!A17)</f>
        <v/>
      </c>
      <c r="EL17" s="243" t="str">
        <f>IF(ISBLANK('Post Process Calc.'!C17),"",'Post Process Calc.'!C17)</f>
        <v/>
      </c>
      <c r="EM17" s="243" t="str">
        <f>IF(ISBLANK('Post Process Calc.'!D17),"",'Post Process Calc.'!D17)</f>
        <v/>
      </c>
      <c r="EN17" s="243" t="str">
        <f>IF(ISBLANK('Post Process Calc.'!E17),"",'Post Process Calc.'!E17)</f>
        <v/>
      </c>
      <c r="EO17" s="243" t="str">
        <f>IF(ISBLANK('Post Process Calc.'!F17),"",'Post Process Calc.'!F17)</f>
        <v/>
      </c>
      <c r="EP17" s="243" t="str">
        <f>IF(ISBLANK('Post Process Calc.'!G17),"",'Post Process Calc.'!G17)</f>
        <v/>
      </c>
      <c r="EQ17" s="243" t="str">
        <f>IF(ISBLANK('Post Process Calc.'!H17),"",'Post Process Calc.'!H17)</f>
        <v/>
      </c>
      <c r="ER17" s="243" t="str">
        <f>IF(ISBLANK('Post Process Calc.'!I17),"",'Post Process Calc.'!I17)</f>
        <v/>
      </c>
      <c r="ES17" s="243" t="str">
        <f>IF(ISBLANK('Post Process Calc.'!J17),"",'Post Process Calc.'!J17)</f>
        <v/>
      </c>
      <c r="ET17" s="243" t="str">
        <f>IF(ISBLANK('Post Process Calc.'!K17),"",'Post Process Calc.'!K17)</f>
        <v/>
      </c>
      <c r="EU17" s="243" t="str">
        <f>IF(ISBLANK('Post Process Calc.'!L17),"",'Post Process Calc.'!L17)</f>
        <v/>
      </c>
      <c r="EV17" s="243" t="str">
        <f>IF(ISBLANK('Post Process Calc.'!M17),"",'Post Process Calc.'!M17)</f>
        <v/>
      </c>
      <c r="EW17" s="243" t="str">
        <f>IF(ISBLANK('Post Process Calc.'!N17),"",'Post Process Calc.'!N17)</f>
        <v/>
      </c>
      <c r="EX17" s="243" t="str">
        <f>IF(ISBLANK('Post Process Calc.'!O17),"",'Post Process Calc.'!O17)</f>
        <v/>
      </c>
      <c r="EY17" s="243" t="str">
        <f>IF(ISBLANK('Post Process Calc.'!P17),"",'Post Process Calc.'!P17)</f>
        <v/>
      </c>
      <c r="EZ17" s="243" t="str">
        <f>IF(ISBLANK('Post Process Calc.'!Q17),"",'Post Process Calc.'!Q17)</f>
        <v/>
      </c>
      <c r="FA17" s="243" t="str">
        <f>IF(ISBLANK('Post Process Calc.'!R17),"",'Post Process Calc.'!R17)</f>
        <v/>
      </c>
      <c r="FB17" s="243" t="str">
        <f>IF(ISBLANK('Post Process Calc.'!S17),"",'Post Process Calc.'!S17)</f>
        <v/>
      </c>
      <c r="FC17" s="243" t="str">
        <f>IF(ISBLANK('Post Process Calc.'!T17),"",'Post Process Calc.'!T17)</f>
        <v/>
      </c>
      <c r="FD17" s="243" t="str">
        <f>IF(ISBLANK('Post Process Calc.'!U17),"",'Post Process Calc.'!U17)</f>
        <v/>
      </c>
      <c r="FE17" s="243" t="str">
        <f>IF(ISBLANK('Post Process Calc.'!V17),"",'Post Process Calc.'!V17)</f>
        <v/>
      </c>
      <c r="FF17" s="243" t="str">
        <f>IF(ISBLANK('Post Process Calc.'!W17),"",'Post Process Calc.'!W17)</f>
        <v/>
      </c>
      <c r="FG17" s="243" t="str">
        <f>IF(ISBLANK('Post Process Calc.'!X17),"",'Post Process Calc.'!X17)</f>
        <v/>
      </c>
      <c r="FH17" s="243" t="str">
        <f>IF(ISBLANK('Post Process Calc.'!Y17),"",'Post Process Calc.'!Y17)</f>
        <v/>
      </c>
      <c r="FI17" s="243" t="str">
        <f>IF(ISBLANK('Post Process Calc.'!Z17),"",'Post Process Calc.'!Z17)</f>
        <v/>
      </c>
      <c r="FJ17" s="243" t="str">
        <f>IF(ISBLANK('Post Process Calc.'!AA17),"",'Post Process Calc.'!AA17)</f>
        <v/>
      </c>
      <c r="FK17" s="243" t="str">
        <f>IF(ISBLANK('Post Process Calc.'!AB17),"",'Post Process Calc.'!AB17)</f>
        <v/>
      </c>
      <c r="FL17" s="243" t="str">
        <f>IF(ISBLANK('Post Process Calc.'!AC17),"",'Post Process Calc.'!AC17)</f>
        <v/>
      </c>
      <c r="FM17" s="243" t="str">
        <f>IF(ISBLANK('Post Process Calc.'!AD17),"",'Post Process Calc.'!AD17)</f>
        <v/>
      </c>
      <c r="FN17" s="243" t="str">
        <f>IF(ISBLANK('Post Process Calc.'!AE17),"",'Post Process Calc.'!AE17)</f>
        <v/>
      </c>
      <c r="FO17" s="243" t="str">
        <f>IF(ISBLANK('Post Process Calc.'!AF17),"",'Post Process Calc.'!AF17)</f>
        <v/>
      </c>
      <c r="FP17" s="243" t="str">
        <f>IF(ISBLANK('Post Process Calc.'!AG17),"",'Post Process Calc.'!AG17)</f>
        <v/>
      </c>
      <c r="FQ17" s="243" t="str">
        <f>IF(ISBLANK('Post Process Calc.'!AH17),"",'Post Process Calc.'!AH17)</f>
        <v/>
      </c>
      <c r="FR17" s="243" t="str">
        <f>IF(ISBLANK('Post Process Calc.'!AI17),"",'Post Process Calc.'!AI17)</f>
        <v/>
      </c>
      <c r="FS17" s="243" t="str">
        <f>IF(ISBLANK('Post Process Calc.'!AJ17),"",'Post Process Calc.'!AJ17)</f>
        <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XB51</v>
      </c>
      <c r="B20" s="238">
        <f>IF(ISBLANK('Measured Data'!A15),"",'Measured Data'!A15)</f>
        <v>8</v>
      </c>
      <c r="C20" s="245">
        <f>IF(ISBLANK('Measured Data'!B15),"",'Measured Data'!B15)</f>
        <v>7.8798611111051287</v>
      </c>
      <c r="D20" s="246">
        <f>IF(ISBLANK('Measured Data'!C15),"",'Measured Data'!C15)</f>
        <v>189.11666666652309</v>
      </c>
      <c r="E20" s="238">
        <f>IF(ISBLANK('Measured Data'!D15),"",'Measured Data'!D15)</f>
        <v>20</v>
      </c>
      <c r="F20" s="238" t="str">
        <f>IF(ISBLANK('Measured Data'!E15),"",'Measured Data'!E15)</f>
        <v/>
      </c>
      <c r="G20" s="238" t="str">
        <f>IF(ISBLANK('Measured Data'!G15),"",'Measured Data'!G15)</f>
        <v/>
      </c>
      <c r="H20" s="238">
        <f>IF(ISBLANK('Measured Data'!H15),"",'Measured Data'!H15)</f>
        <v>12.582400186157226</v>
      </c>
      <c r="I20" s="238">
        <f>IF(ISBLANK('Measured Data'!I15),"",'Measured Data'!I15)</f>
        <v>8.5980720295495416E-2</v>
      </c>
      <c r="J20" s="238">
        <f>IF(ISBLANK('Measured Data'!J15),"",'Measured Data'!J15)</f>
        <v>12.668380906452722</v>
      </c>
      <c r="K20" s="238">
        <f>IF(ISBLANK('Measured Data'!K15),"",'Measured Data'!K15)</f>
        <v>99.321296691894531</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378</v>
      </c>
      <c r="S20" s="238">
        <f>IF(ISBLANK('Measured Data'!S15),"",'Measured Data'!S15)</f>
        <v>710.45</v>
      </c>
      <c r="T20" s="238">
        <f>IF(ISBLANK('Measured Data'!U15),"",'Measured Data'!U15)</f>
        <v>5.4450000000000003</v>
      </c>
      <c r="U20" s="238">
        <f>IF(ISBLANK('Measured Data'!V15),"",'Measured Data'!V15)</f>
        <v>3.2080000000000002</v>
      </c>
      <c r="V20" s="238">
        <f>IF(ISBLANK('Measured Data'!W15),"",'Measured Data'!W15)</f>
        <v>1.135</v>
      </c>
      <c r="W20" s="238">
        <f>IF(ISBLANK('Measured Data'!X15),"",'Measured Data'!X15)</f>
        <v>3.758</v>
      </c>
      <c r="X20" s="238">
        <f>IF(ISBLANK('Measured Data'!Y15),"",'Measured Data'!Y15)</f>
        <v>0.44500000000000001</v>
      </c>
      <c r="Y20" s="238">
        <f>IF(ISBLANK('Measured Data'!Z15),"",'Measured Data'!Z15)</f>
        <v>18.650502897488842</v>
      </c>
      <c r="Z20" s="238">
        <f>IF(ISBLANK('Measured Data'!AA15),"",'Measured Data'!AA15)</f>
        <v>3.4380000000000002</v>
      </c>
      <c r="AA20" s="238">
        <f>IF(ISBLANK('Measured Data'!AB15),"",'Measured Data'!AB15)</f>
        <v>15.374000000000001</v>
      </c>
      <c r="AB20" s="238">
        <f>IF(ISBLANK('Measured Data'!AC15),"",'Measured Data'!AC15)</f>
        <v>0</v>
      </c>
      <c r="AC20" s="238">
        <f>IF(ISBLANK('Measured Data'!AD15),"",'Measured Data'!AD15)</f>
        <v>0</v>
      </c>
      <c r="AD20" s="238">
        <f>IF(ISBLANK('Measured Data'!AE15),"",'Measured Data'!AE15)</f>
        <v>0</v>
      </c>
      <c r="AE20" s="238">
        <f>IF(ISBLANK('Measured Data'!AF15),"",'Measured Data'!AF15)</f>
        <v>15.430728241563054</v>
      </c>
      <c r="AF20" s="238">
        <f>IF(ISBLANK('Measured Data'!AG15),"",'Measured Data'!AG15)</f>
        <v>0</v>
      </c>
      <c r="AG20" s="238">
        <f>IF(ISBLANK('Measured Data'!AH15),"",'Measured Data'!AH15)</f>
        <v>0</v>
      </c>
      <c r="AH20" s="238">
        <f>IF(ISBLANK('Measured Data'!AI15),"",'Measured Data'!AI15)</f>
        <v>0</v>
      </c>
      <c r="AI20" s="238">
        <f>IF(ISBLANK('Measured Data'!AJ15),"",'Measured Data'!AJ15)</f>
        <v>0</v>
      </c>
      <c r="AJ20" s="238">
        <f>IF(ISBLANK('Measured Data'!AK15),"",'Measured Data'!AK15)</f>
        <v>0</v>
      </c>
      <c r="AK20" s="238">
        <f>IF(ISBLANK('Measured Data'!AL15),"",'Measured Data'!AL15)</f>
        <v>0</v>
      </c>
      <c r="AL20" s="238">
        <f>IF(ISBLANK('Measured Data'!AM15),"",'Measured Data'!AM15)</f>
        <v>0</v>
      </c>
      <c r="AM20" s="238">
        <f>IF(ISBLANK('Measured Data'!AN15),"",'Measured Data'!AN15)</f>
        <v>0</v>
      </c>
      <c r="AN20" s="238">
        <f>IF(ISBLANK('Measured Data'!AO15),"",'Measured Data'!AO15)</f>
        <v>0</v>
      </c>
      <c r="AO20" s="238">
        <f>IF(ISBLANK('Measured Data'!AP15),"",'Measured Data'!AP15)</f>
        <v>0</v>
      </c>
      <c r="AP20" s="238">
        <f>IF(ISBLANK('Measured Data'!AQ15),"",'Measured Data'!AQ15)</f>
        <v>0</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238.18</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30724.39130304955</v>
      </c>
      <c r="BV20" s="243">
        <f>IF(ISBLANK('In Process Calc.'!M13),"",'In Process Calc.'!M13)</f>
        <v>0</v>
      </c>
      <c r="BW20" s="243">
        <f>IF(ISBLANK('In Process Calc.'!N13),"",'In Process Calc.'!N13)</f>
        <v>3032.3680236111113</v>
      </c>
      <c r="BX20" s="243">
        <f>IF(ISBLANK('In Process Calc.'!O13),"",'In Process Calc.'!O13)</f>
        <v>-13.808660305555556</v>
      </c>
      <c r="BY20" s="243">
        <f>IF(ISBLANK('In Process Calc.'!P13),"",'In Process Calc.'!P13)</f>
        <v>-0.3603012777777781</v>
      </c>
      <c r="BZ20" s="243">
        <f>IF(ISBLANK('In Process Calc.'!Q13),"",'In Process Calc.'!Q13)</f>
        <v>11.71487947222222</v>
      </c>
      <c r="CA20" s="243">
        <f>IF(ISBLANK('In Process Calc.'!R13),"",'In Process Calc.'!R13)</f>
        <v>-1.4101418333333335</v>
      </c>
      <c r="CB20" s="243">
        <f>IF(ISBLANK('In Process Calc.'!S13),"",'In Process Calc.'!S13)</f>
        <v>1.697571611111111</v>
      </c>
      <c r="CC20" s="243">
        <f>IF(ISBLANK('In Process Calc.'!T13),"",'In Process Calc.'!T13)</f>
        <v>71.298677089160918</v>
      </c>
      <c r="CD20" s="243">
        <f>IF(ISBLANK('In Process Calc.'!U13),"",'In Process Calc.'!U13)</f>
        <v>-6.2068681111111106</v>
      </c>
      <c r="CE20" s="243">
        <f>IF(ISBLANK('In Process Calc.'!V13),"",'In Process Calc.'!V13)</f>
        <v>-11.40858866666667</v>
      </c>
      <c r="CF20" s="243">
        <f>IF(ISBLANK('In Process Calc.'!W13),"",'In Process Calc.'!W13)</f>
        <v>0</v>
      </c>
      <c r="CG20" s="243">
        <f>IF(ISBLANK('In Process Calc.'!X13),"",'In Process Calc.'!X13)</f>
        <v>0</v>
      </c>
      <c r="CH20" s="243">
        <f>IF(ISBLANK('In Process Calc.'!Y13),"",'In Process Calc.'!Y13)</f>
        <v>0</v>
      </c>
      <c r="CI20" s="243">
        <f>IF(ISBLANK('In Process Calc.'!Z13),"",'In Process Calc.'!Z13)</f>
        <v>14.411504588513914</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-13.65742997222223</v>
      </c>
      <c r="CW20" s="243">
        <f>IF(ISBLANK('In Process Calc.'!AN13),"",'In Process Calc.'!AN13)</f>
        <v>-27.466090277777788</v>
      </c>
      <c r="CX20" s="243">
        <f>IF(ISBLANK('In Process Calc.'!AO13),"",'In Process Calc.'!AO13)</f>
        <v>2.5912695833333075</v>
      </c>
      <c r="CY20" s="243">
        <f>IF(ISBLANK('In Process Calc.'!AP13),"",'In Process Calc.'!AP13)</f>
        <v>0</v>
      </c>
      <c r="CZ20" s="243">
        <f>IF(ISBLANK('In Process Calc.'!AQ13),"",'In Process Calc.'!AQ13)</f>
        <v>0</v>
      </c>
      <c r="DA20" s="243">
        <f>IF(ISBLANK('In Process Calc.'!AR13),"",'In Process Calc.'!AR13)</f>
        <v>7.3164078553509876E-4</v>
      </c>
      <c r="DB20" s="243">
        <f>IF(ISBLANK('In Process Calc.'!AS13),"",'In Process Calc.'!AS13)</f>
        <v>1.1820970615234066E-3</v>
      </c>
      <c r="DC20" s="243">
        <f>IF(ISBLANK('In Process Calc.'!AT13),"",'In Process Calc.'!AT13)</f>
        <v>4.5045627598830785E-4</v>
      </c>
      <c r="DD20" s="243">
        <f>IF(ISBLANK('In Process Calc.'!AU13),"",'In Process Calc.'!AU13)</f>
        <v>1.0251842902302319</v>
      </c>
      <c r="DE20" s="243">
        <f>IF(ISBLANK('In Process Calc.'!AV13),"",'In Process Calc.'!AV13)</f>
        <v>1.3597220857497448E-4</v>
      </c>
      <c r="DF20" s="243">
        <f>IF(ISBLANK('In Process Calc.'!AW13),"",'In Process Calc.'!AW13)</f>
        <v>1.1525786953791848E-3</v>
      </c>
      <c r="DG20" s="243">
        <f>IF(ISBLANK('In Process Calc.'!AX13),"",'In Process Calc.'!AX13)</f>
        <v>1.7834173793437334E-6</v>
      </c>
      <c r="DH20" s="243">
        <f>IF(ISBLANK('In Process Calc.'!AY13),"",'In Process Calc.'!AY13)</f>
        <v>2.3561042539694244E-3</v>
      </c>
      <c r="DI20" s="243">
        <f>IF(ISBLANK('In Process Calc.'!AZ13),"",'In Process Calc.'!AZ13)</f>
        <v>3.0421970471989008E-4</v>
      </c>
      <c r="DJ20" s="243">
        <f>IF(ISBLANK('In Process Calc.'!BA13),"",'In Process Calc.'!BA13)</f>
        <v>2.4144522984423475E-2</v>
      </c>
      <c r="DK20" s="243">
        <f>IF(ISBLANK('In Process Calc.'!BB13),"",'In Process Calc.'!BB13)</f>
        <v>-8.3392384938369324E-5</v>
      </c>
      <c r="DL20" s="243">
        <f>IF(ISBLANK('In Process Calc.'!BC13),"",'In Process Calc.'!BC13)</f>
        <v>9.9045961459427682E-3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1.7147989159605748E-2</v>
      </c>
      <c r="ED20" s="243">
        <f>IF(ISBLANK('In Process Calc.'!BU13),"",'In Process Calc.'!BU13)</f>
        <v>1.7012016951030773E-2</v>
      </c>
      <c r="EE20" s="243">
        <f>IF(ISBLANK('In Process Calc.'!BV13),"",'In Process Calc.'!BV13)</f>
        <v>6.7686276516736435E-2</v>
      </c>
      <c r="EF20" s="243">
        <f>IF(ISBLANK('In Process Calc.'!BW13),"",'In Process Calc.'!BW13)</f>
        <v>6.8103238441428279E-2</v>
      </c>
      <c r="EG20" s="243">
        <f>IF(ISBLANK('In Process Calc.'!BX13),"",'In Process Calc.'!BX13)</f>
        <v>-0.43541411841224298</v>
      </c>
      <c r="EH20" s="243">
        <f>IF(ISBLANK('In Process Calc.'!BY13),"",'In Process Calc.'!BY13)</f>
        <v>0</v>
      </c>
      <c r="EI20" s="243">
        <f>IF(ISBLANK('In Process Calc.'!BZ13),"",'In Process Calc.'!BZ13)</f>
        <v>-3.4538841372914611E-3</v>
      </c>
      <c r="EJ20" s="243">
        <f>IF(ISBLANK('In Process Calc.'!CA13),"",'In Process Calc.'!CA13)</f>
        <v>0</v>
      </c>
      <c r="EK20" s="243">
        <f>IF(ISBLANK('Post Process Calc.'!A20),"",'Post Process Calc.'!A20)</f>
        <v>0.32924999957084655</v>
      </c>
      <c r="EL20" s="243">
        <f>IF(ISBLANK('Post Process Calc.'!C20),"",'Post Process Calc.'!C20)</f>
        <v>3.2104395037506034E-2</v>
      </c>
      <c r="EM20" s="243">
        <f>IF(ISBLANK('Post Process Calc.'!D20),"",'Post Process Calc.'!D20)</f>
        <v>4.8589801521378671E-3</v>
      </c>
      <c r="EN20" s="243">
        <f>IF(ISBLANK('Post Process Calc.'!E20),"",'Post Process Calc.'!E20)</f>
        <v>-4.3997318398012915E-2</v>
      </c>
      <c r="EO20" s="243">
        <f>IF(ISBLANK('Post Process Calc.'!F20),"",'Post Process Calc.'!F20)</f>
        <v>3.6828969147388785E-2</v>
      </c>
      <c r="EP20" s="243">
        <f>IF(ISBLANK('Post Process Calc.'!G20),"",'Post Process Calc.'!G20)</f>
        <v>9.6430413678712981E-2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XB51</v>
      </c>
      <c r="B21" s="238">
        <f>IF(ISBLANK('Measured Data'!A16),"",'Measured Data'!A16)</f>
        <v>9</v>
      </c>
      <c r="C21" s="245">
        <f>IF(ISBLANK('Measured Data'!B16),"",'Measured Data'!B16)</f>
        <v>8.8777777777722804</v>
      </c>
      <c r="D21" s="246">
        <f>IF(ISBLANK('Measured Data'!C16),"",'Measured Data'!C16)</f>
        <v>213.06666666653473</v>
      </c>
      <c r="E21" s="238">
        <f>IF(ISBLANK('Measured Data'!D16),"",'Measured Data'!D16)</f>
        <v>20</v>
      </c>
      <c r="F21" s="238" t="str">
        <f>IF(ISBLANK('Measured Data'!E16),"",'Measured Data'!E16)</f>
        <v/>
      </c>
      <c r="G21" s="238" t="str">
        <f>IF(ISBLANK('Measured Data'!G16),"",'Measured Data'!G16)</f>
        <v/>
      </c>
      <c r="H21" s="238">
        <f>IF(ISBLANK('Measured Data'!H16),"",'Measured Data'!H16)</f>
        <v>15.968199594116211</v>
      </c>
      <c r="I21" s="238">
        <f>IF(ISBLANK('Measured Data'!I16),"",'Measured Data'!I16)</f>
        <v>0.11873738334253403</v>
      </c>
      <c r="J21" s="238">
        <f>IF(ISBLANK('Measured Data'!J16),"",'Measured Data'!J16)</f>
        <v>16.086936977458745</v>
      </c>
      <c r="K21" s="238">
        <f>IF(ISBLANK('Measured Data'!K16),"",'Measured Data'!K16)</f>
        <v>99.26190185546875</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375</v>
      </c>
      <c r="S21" s="238">
        <f>IF(ISBLANK('Measured Data'!S16),"",'Measured Data'!S16)</f>
        <v>1165.3599999999999</v>
      </c>
      <c r="T21" s="238">
        <f>IF(ISBLANK('Measured Data'!U16),"",'Measured Data'!U16)</f>
        <v>7.3079999999999998</v>
      </c>
      <c r="U21" s="238">
        <f>IF(ISBLANK('Measured Data'!V16),"",'Measured Data'!V16)</f>
        <v>2.6469999999999998</v>
      </c>
      <c r="V21" s="238">
        <f>IF(ISBLANK('Measured Data'!W16),"",'Measured Data'!W16)</f>
        <v>5.8000000000000003E-2</v>
      </c>
      <c r="W21" s="238">
        <f>IF(ISBLANK('Measured Data'!X16),"",'Measured Data'!X16)</f>
        <v>3.4060000000000001</v>
      </c>
      <c r="X21" s="238">
        <f>IF(ISBLANK('Measured Data'!Y16),"",'Measured Data'!Y16)</f>
        <v>0.26100000000000001</v>
      </c>
      <c r="Y21" s="238">
        <f>IF(ISBLANK('Measured Data'!Z16),"",'Measured Data'!Z16)</f>
        <v>9.5472812451430986</v>
      </c>
      <c r="Z21" s="238">
        <f>IF(ISBLANK('Measured Data'!AA16),"",'Measured Data'!AA16)</f>
        <v>3.2010000000000001</v>
      </c>
      <c r="AA21" s="238">
        <f>IF(ISBLANK('Measured Data'!AB16),"",'Measured Data'!AB16)</f>
        <v>12.234</v>
      </c>
      <c r="AB21" s="238">
        <f>IF(ISBLANK('Measured Data'!AC16),"",'Measured Data'!AC16)</f>
        <v>0</v>
      </c>
      <c r="AC21" s="238">
        <f>IF(ISBLANK('Measured Data'!AD16),"",'Measured Data'!AD16)</f>
        <v>0</v>
      </c>
      <c r="AD21" s="238">
        <f>IF(ISBLANK('Measured Data'!AE16),"",'Measured Data'!AE16)</f>
        <v>0</v>
      </c>
      <c r="AE21" s="238">
        <f>IF(ISBLANK('Measured Data'!AF16),"",'Measured Data'!AF16)</f>
        <v>11.323268206039078</v>
      </c>
      <c r="AF21" s="238">
        <f>IF(ISBLANK('Measured Data'!AG16),"",'Measured Data'!AG16)</f>
        <v>0</v>
      </c>
      <c r="AG21" s="238">
        <f>IF(ISBLANK('Measured Data'!AH16),"",'Measured Data'!AH16)</f>
        <v>0</v>
      </c>
      <c r="AH21" s="238">
        <f>IF(ISBLANK('Measured Data'!AI16),"",'Measured Data'!AI16)</f>
        <v>0</v>
      </c>
      <c r="AI21" s="238">
        <f>IF(ISBLANK('Measured Data'!AJ16),"",'Measured Data'!AJ16)</f>
        <v>0</v>
      </c>
      <c r="AJ21" s="238">
        <f>IF(ISBLANK('Measured Data'!AK16),"",'Measured Data'!AK16)</f>
        <v>0</v>
      </c>
      <c r="AK21" s="238">
        <f>IF(ISBLANK('Measured Data'!AL16),"",'Measured Data'!AL16)</f>
        <v>0</v>
      </c>
      <c r="AL21" s="238">
        <f>IF(ISBLANK('Measured Data'!AM16),"",'Measured Data'!AM16)</f>
        <v>0</v>
      </c>
      <c r="AM21" s="238">
        <f>IF(ISBLANK('Measured Data'!AN16),"",'Measured Data'!AN16)</f>
        <v>0</v>
      </c>
      <c r="AN21" s="238">
        <f>IF(ISBLANK('Measured Data'!AO16),"",'Measured Data'!AO16)</f>
        <v>0</v>
      </c>
      <c r="AO21" s="238">
        <f>IF(ISBLANK('Measured Data'!AP16),"",'Measured Data'!AP16)</f>
        <v>0</v>
      </c>
      <c r="AP21" s="238">
        <f>IF(ISBLANK('Measured Data'!AQ16),"",'Measured Data'!AQ16)</f>
        <v>0</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261.83</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29519.628891693115</v>
      </c>
      <c r="BV21" s="243">
        <f>IF(ISBLANK('In Process Calc.'!M14),"",'In Process Calc.'!M14)</f>
        <v>0</v>
      </c>
      <c r="BW21" s="243">
        <f>IF(ISBLANK('In Process Calc.'!N14),"",'In Process Calc.'!N14)</f>
        <v>3859.0252555555558</v>
      </c>
      <c r="BX21" s="243">
        <f>IF(ISBLANK('In Process Calc.'!O14),"",'In Process Calc.'!O14)</f>
        <v>-11.882762500000002</v>
      </c>
      <c r="BY21" s="243">
        <f>IF(ISBLANK('In Process Calc.'!P14),"",'In Process Calc.'!P14)</f>
        <v>0.32313805555555519</v>
      </c>
      <c r="BZ21" s="243">
        <f>IF(ISBLANK('In Process Calc.'!Q14),"",'In Process Calc.'!Q14)</f>
        <v>11.698777222222221</v>
      </c>
      <c r="CA21" s="243">
        <f>IF(ISBLANK('In Process Calc.'!R14),"",'In Process Calc.'!R14)</f>
        <v>-0.79624166666666718</v>
      </c>
      <c r="CB21" s="243">
        <f>IF(ISBLANK('In Process Calc.'!S14),"",'In Process Calc.'!S14)</f>
        <v>1.8027272222222221</v>
      </c>
      <c r="CC21" s="243">
        <f>IF(ISBLANK('In Process Calc.'!T14),"",'In Process Calc.'!T14)</f>
        <v>86.449325988235898</v>
      </c>
      <c r="CD21" s="243">
        <f>IF(ISBLANK('In Process Calc.'!U14),"",'In Process Calc.'!U14)</f>
        <v>-5.0236336111111113</v>
      </c>
      <c r="CE21" s="243">
        <f>IF(ISBLANK('In Process Calc.'!V14),"",'In Process Calc.'!V14)</f>
        <v>-6.6414622222222262</v>
      </c>
      <c r="CF21" s="243">
        <f>IF(ISBLANK('In Process Calc.'!W14),"",'In Process Calc.'!W14)</f>
        <v>0</v>
      </c>
      <c r="CG21" s="243">
        <f>IF(ISBLANK('In Process Calc.'!X14),"",'In Process Calc.'!X14)</f>
        <v>0</v>
      </c>
      <c r="CH21" s="243">
        <f>IF(ISBLANK('In Process Calc.'!Y14),"",'In Process Calc.'!Y14)</f>
        <v>0</v>
      </c>
      <c r="CI21" s="243">
        <f>IF(ISBLANK('In Process Calc.'!Z14),"",'In Process Calc.'!Z14)</f>
        <v>8.15571343990527</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-1.0721725000000122</v>
      </c>
      <c r="CW21" s="243">
        <f>IF(ISBLANK('In Process Calc.'!AN14),"",'In Process Calc.'!AN14)</f>
        <v>-12.954935000000013</v>
      </c>
      <c r="CX21" s="243">
        <f>IF(ISBLANK('In Process Calc.'!AO14),"",'In Process Calc.'!AO14)</f>
        <v>33.68814222222219</v>
      </c>
      <c r="CY21" s="243">
        <f>IF(ISBLANK('In Process Calc.'!AP14),"",'In Process Calc.'!AP14)</f>
        <v>0</v>
      </c>
      <c r="CZ21" s="243">
        <f>IF(ISBLANK('In Process Calc.'!AQ14),"",'In Process Calc.'!AQ14)</f>
        <v>0</v>
      </c>
      <c r="DA21" s="243">
        <f>IF(ISBLANK('In Process Calc.'!AR14),"",'In Process Calc.'!AR14)</f>
        <v>-1.6644359759038821E-3</v>
      </c>
      <c r="DB21" s="243">
        <f>IF(ISBLANK('In Process Calc.'!AS14),"",'In Process Calc.'!AS14)</f>
        <v>-1.4694570152564994E-3</v>
      </c>
      <c r="DC21" s="243">
        <f>IF(ISBLANK('In Process Calc.'!AT14),"",'In Process Calc.'!AT14)</f>
        <v>1.9497896064738282E-4</v>
      </c>
      <c r="DD21" s="243">
        <f>IF(ISBLANK('In Process Calc.'!AU14),"",'In Process Calc.'!AU14)</f>
        <v>1.1420658742501071</v>
      </c>
      <c r="DE21" s="243">
        <f>IF(ISBLANK('In Process Calc.'!AV14),"",'In Process Calc.'!AV14)</f>
        <v>2.6607184647070067E-3</v>
      </c>
      <c r="DF21" s="243">
        <f>IF(ISBLANK('In Process Calc.'!AW14),"",'In Process Calc.'!AW14)</f>
        <v>9.4420360647458693E-4</v>
      </c>
      <c r="DG21" s="243">
        <f>IF(ISBLANK('In Process Calc.'!AX14),"",'In Process Calc.'!AX14)</f>
        <v>-2.2246016260436011E-5</v>
      </c>
      <c r="DH21" s="243">
        <f>IF(ISBLANK('In Process Calc.'!AY14),"",'In Process Calc.'!AY14)</f>
        <v>8.4813197472101854E-4</v>
      </c>
      <c r="DI21" s="243">
        <f>IF(ISBLANK('In Process Calc.'!AZ14),"",'In Process Calc.'!AZ14)</f>
        <v>1.4527742611460806E-4</v>
      </c>
      <c r="DJ21" s="243">
        <f>IF(ISBLANK('In Process Calc.'!BA14),"",'In Process Calc.'!BA14)</f>
        <v>3.1093867846328657E-2</v>
      </c>
      <c r="DK21" s="243">
        <f>IF(ISBLANK('In Process Calc.'!BB14),"",'In Process Calc.'!BB14)</f>
        <v>1.6346941531096457E-3</v>
      </c>
      <c r="DL21" s="243">
        <f>IF(ISBLANK('In Process Calc.'!BC14),"",'In Process Calc.'!BC14)</f>
        <v>6.5860095575878755E-3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1.7241848122727277E-2</v>
      </c>
      <c r="ED21" s="243">
        <f>IF(ISBLANK('In Process Calc.'!BU14),"",'In Process Calc.'!BU14)</f>
        <v>1.458112965802027E-2</v>
      </c>
      <c r="EE21" s="243">
        <f>IF(ISBLANK('In Process Calc.'!BV14),"",'In Process Calc.'!BV14)</f>
        <v>5.8926103976986124E-2</v>
      </c>
      <c r="EF21" s="243">
        <f>IF(ISBLANK('In Process Calc.'!BW14),"",'In Process Calc.'!BW14)</f>
        <v>5.9015088042027875E-2</v>
      </c>
      <c r="EG21" s="243">
        <f>IF(ISBLANK('In Process Calc.'!BX14),"",'In Process Calc.'!BX14)</f>
        <v>-1.6613194600599179E-2</v>
      </c>
      <c r="EH21" s="243">
        <f>IF(ISBLANK('In Process Calc.'!BY14),"",'In Process Calc.'!BY14)</f>
        <v>0</v>
      </c>
      <c r="EI21" s="243">
        <f>IF(ISBLANK('In Process Calc.'!BZ14),"",'In Process Calc.'!BZ14)</f>
        <v>5.2572879038033822E-2</v>
      </c>
      <c r="EJ21" s="243">
        <f>IF(ISBLANK('In Process Calc.'!CA14),"",'In Process Calc.'!CA14)</f>
        <v>0</v>
      </c>
      <c r="EK21" s="243">
        <f>IF(ISBLANK('Post Process Calc.'!A21),"",'Post Process Calc.'!A21)</f>
        <v>0.59924999957084657</v>
      </c>
      <c r="EL21" s="243">
        <f>IF(ISBLANK('Post Process Calc.'!C21),"",'Post Process Calc.'!C21)</f>
        <v>7.4853757248542888E-2</v>
      </c>
      <c r="EM21" s="243">
        <f>IF(ISBLANK('Post Process Calc.'!D21),"",'Post Process Calc.'!D21)</f>
        <v>5.1586916974178672E-2</v>
      </c>
      <c r="EN21" s="243">
        <f>IF(ISBLANK('Post Process Calc.'!E21),"",'Post Process Calc.'!E21)</f>
        <v>5.9736459475640503E-3</v>
      </c>
      <c r="EO21" s="243">
        <f>IF(ISBLANK('Post Process Calc.'!F21),"",'Post Process Calc.'!F21)</f>
        <v>-9.0904810043970942E-5</v>
      </c>
      <c r="EP21" s="243">
        <f>IF(ISBLANK('Post Process Calc.'!G21),"",'Post Process Calc.'!G21)</f>
        <v>1.1067591840009371E-2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284.83</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28682.695062487117</v>
      </c>
      <c r="BV22" s="243">
        <f>IF(ISBLANK('In Process Calc.'!M15),"",'In Process Calc.'!M15)</f>
        <v>0</v>
      </c>
      <c r="BW22" s="243">
        <f>IF(ISBLANK('In Process Calc.'!N15),"",'In Process Calc.'!N15)</f>
        <v>4593.6981444444446</v>
      </c>
      <c r="BX22" s="243">
        <f>IF(ISBLANK('In Process Calc.'!O15),"",'In Process Calc.'!O15)</f>
        <v>-8.4987777777777787</v>
      </c>
      <c r="BY22" s="243">
        <f>IF(ISBLANK('In Process Calc.'!P15),"",'In Process Calc.'!P15)</f>
        <v>0.97741822222222163</v>
      </c>
      <c r="BZ22" s="243">
        <f>IF(ISBLANK('In Process Calc.'!Q15),"",'In Process Calc.'!Q15)</f>
        <v>11.703634111111109</v>
      </c>
      <c r="CA22" s="243">
        <f>IF(ISBLANK('In Process Calc.'!R15),"",'In Process Calc.'!R15)</f>
        <v>0.19239566666666641</v>
      </c>
      <c r="CB22" s="243">
        <f>IF(ISBLANK('In Process Calc.'!S15),"",'In Process Calc.'!S15)</f>
        <v>1.7830759999999999</v>
      </c>
      <c r="CC22" s="243">
        <f>IF(ISBLANK('In Process Calc.'!T15),"",'In Process Calc.'!T15)</f>
        <v>103.05467116437173</v>
      </c>
      <c r="CD22" s="243">
        <f>IF(ISBLANK('In Process Calc.'!U15),"",'In Process Calc.'!U15)</f>
        <v>-4.6163913333333335</v>
      </c>
      <c r="CE22" s="243">
        <f>IF(ISBLANK('In Process Calc.'!V15),"",'In Process Calc.'!V15)</f>
        <v>-2.0623628888888934</v>
      </c>
      <c r="CF22" s="243">
        <f>IF(ISBLANK('In Process Calc.'!W15),"",'In Process Calc.'!W15)</f>
        <v>0</v>
      </c>
      <c r="CG22" s="243">
        <f>IF(ISBLANK('In Process Calc.'!X15),"",'In Process Calc.'!X15)</f>
        <v>0</v>
      </c>
      <c r="CH22" s="243">
        <f>IF(ISBLANK('In Process Calc.'!Y15),"",'In Process Calc.'!Y15)</f>
        <v>0</v>
      </c>
      <c r="CI22" s="243">
        <f>IF(ISBLANK('In Process Calc.'!Z15),"",'In Process Calc.'!Z15)</f>
        <v>4.3035820011841333</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11.281565444444428</v>
      </c>
      <c r="CW22" s="243">
        <f>IF(ISBLANK('In Process Calc.'!AN15),"",'In Process Calc.'!AN15)</f>
        <v>2.7827876666666498</v>
      </c>
      <c r="CX22" s="243">
        <f>IF(ISBLANK('In Process Calc.'!AO15),"",'In Process Calc.'!AO15)</f>
        <v>56.249646666666621</v>
      </c>
      <c r="CY22" s="243">
        <f>IF(ISBLANK('In Process Calc.'!AP15),"",'In Process Calc.'!AP15)</f>
        <v>0</v>
      </c>
      <c r="CZ22" s="243">
        <f>IF(ISBLANK('In Process Calc.'!AQ15),"",'In Process Calc.'!AQ15)</f>
        <v>0</v>
      </c>
      <c r="DA22" s="243">
        <f>IF(ISBLANK('In Process Calc.'!AR15),"",'In Process Calc.'!AR15)</f>
        <v>-1.2299657130928365E-3</v>
      </c>
      <c r="DB22" s="243">
        <f>IF(ISBLANK('In Process Calc.'!AS15),"",'In Process Calc.'!AS15)</f>
        <v>-5.4292197513925301E-4</v>
      </c>
      <c r="DC22" s="243">
        <f>IF(ISBLANK('In Process Calc.'!AT15),"",'In Process Calc.'!AT15)</f>
        <v>6.8704373795358347E-4</v>
      </c>
      <c r="DD22" s="243">
        <f>IF(ISBLANK('In Process Calc.'!AU15),"",'In Process Calc.'!AU15)</f>
        <v>1.0796820873275796</v>
      </c>
      <c r="DE22" s="243">
        <f>IF(ISBLANK('In Process Calc.'!AV15),"",'In Process Calc.'!AV15)</f>
        <v>4.9731353145469085E-3</v>
      </c>
      <c r="DF22" s="243">
        <f>IF(ISBLANK('In Process Calc.'!AW15),"",'In Process Calc.'!AW15)</f>
        <v>9.615361975750552E-4</v>
      </c>
      <c r="DG22" s="243">
        <f>IF(ISBLANK('In Process Calc.'!AX15),"",'In Process Calc.'!AX15)</f>
        <v>7.1377289304952576E-6</v>
      </c>
      <c r="DH22" s="243">
        <f>IF(ISBLANK('In Process Calc.'!AY15),"",'In Process Calc.'!AY15)</f>
        <v>1.4529105889257068E-3</v>
      </c>
      <c r="DI22" s="243">
        <f>IF(ISBLANK('In Process Calc.'!AZ15),"",'In Process Calc.'!AZ15)</f>
        <v>-2.8879618328526485E-5</v>
      </c>
      <c r="DJ22" s="243">
        <f>IF(ISBLANK('In Process Calc.'!BA15),"",'In Process Calc.'!BA15)</f>
        <v>3.4066597514338048E-2</v>
      </c>
      <c r="DK22" s="243">
        <f>IF(ISBLANK('In Process Calc.'!BB15),"",'In Process Calc.'!BB15)</f>
        <v>5.9848702622487511E-4</v>
      </c>
      <c r="DL22" s="243">
        <f>IF(ISBLANK('In Process Calc.'!BC15),"",'In Process Calc.'!BC15)</f>
        <v>6.7294868247702311E-3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1.8184047410525282E-2</v>
      </c>
      <c r="ED22" s="243">
        <f>IF(ISBLANK('In Process Calc.'!BU15),"",'In Process Calc.'!BU15)</f>
        <v>1.3210912095978373E-2</v>
      </c>
      <c r="EE22" s="243">
        <f>IF(ISBLANK('In Process Calc.'!BV15),"",'In Process Calc.'!BV15)</f>
        <v>6.2995407945520235E-2</v>
      </c>
      <c r="EF22" s="243">
        <f>IF(ISBLANK('In Process Calc.'!BW15),"",'In Process Calc.'!BW15)</f>
        <v>6.3168685655491399E-2</v>
      </c>
      <c r="EG22" s="243">
        <f>IF(ISBLANK('In Process Calc.'!BX15),"",'In Process Calc.'!BX15)</f>
        <v>1.3567811579680563E-2</v>
      </c>
      <c r="EH22" s="243">
        <f>IF(ISBLANK('In Process Calc.'!BY15),"",'In Process Calc.'!BY15)</f>
        <v>0</v>
      </c>
      <c r="EI22" s="243">
        <f>IF(ISBLANK('In Process Calc.'!BZ15),"",'In Process Calc.'!BZ15)</f>
        <v>1.7568147977589547E-2</v>
      </c>
      <c r="EJ22" s="243">
        <f>IF(ISBLANK('In Process Calc.'!CA15),"",'In Process Calc.'!CA15)</f>
        <v>0</v>
      </c>
      <c r="EK22" s="243">
        <f>IF(ISBLANK('Post Process Calc.'!A22),"",'Post Process Calc.'!A22)</f>
        <v>1.0665000188827514</v>
      </c>
      <c r="EL22" s="243">
        <f>IF(ISBLANK('Post Process Calc.'!C22),"",'Post Process Calc.'!C22)</f>
        <v>9.5706170287010089E-2</v>
      </c>
      <c r="EM22" s="243">
        <f>IF(ISBLANK('Post Process Calc.'!D22),"",'Post Process Calc.'!D22)</f>
        <v>6.7489362516996207E-2</v>
      </c>
      <c r="EN22" s="243">
        <f>IF(ISBLANK('Post Process Calc.'!E22),"",'Post Process Calc.'!E22)</f>
        <v>-1.2566537523588665E-3</v>
      </c>
      <c r="EO22" s="243">
        <f>IF(ISBLANK('Post Process Calc.'!F22),"",'Post Process Calc.'!F22)</f>
        <v>-2.6072777157438113E-3</v>
      </c>
      <c r="EP22" s="243">
        <f>IF(ISBLANK('Post Process Calc.'!G22),"",'Post Process Calc.'!G22)</f>
        <v>-9.3166804255870959E-3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XB51</v>
      </c>
      <c r="B23" s="238">
        <f>IF(ISBLANK('Measured Data'!A17),"",'Measured Data'!A17)</f>
        <v>10</v>
      </c>
      <c r="C23" s="245">
        <f>IF(ISBLANK('Measured Data'!B17),"",'Measured Data'!B17)</f>
        <v>9.9243055555562023</v>
      </c>
      <c r="D23" s="246">
        <f>IF(ISBLANK('Measured Data'!C17),"",'Measured Data'!C17)</f>
        <v>238.18333333334886</v>
      </c>
      <c r="E23" s="238">
        <f>IF(ISBLANK('Measured Data'!D17),"",'Measured Data'!D17)</f>
        <v>46</v>
      </c>
      <c r="F23" s="238" t="str">
        <f>IF(ISBLANK('Measured Data'!E17),"",'Measured Data'!E17)</f>
        <v/>
      </c>
      <c r="G23" s="238" t="str">
        <f>IF(ISBLANK('Measured Data'!G17),"",'Measured Data'!G17)</f>
        <v/>
      </c>
      <c r="H23" s="238">
        <f>IF(ISBLANK('Measured Data'!H17),"",'Measured Data'!H17)</f>
        <v>16.753300531005859</v>
      </c>
      <c r="I23" s="238">
        <f>IF(ISBLANK('Measured Data'!I17),"",'Measured Data'!I17)</f>
        <v>0.31012733276295279</v>
      </c>
      <c r="J23" s="238">
        <f>IF(ISBLANK('Measured Data'!J17),"",'Measured Data'!J17)</f>
        <v>17.063427863768812</v>
      </c>
      <c r="K23" s="238">
        <f>IF(ISBLANK('Measured Data'!K17),"",'Measured Data'!K17)</f>
        <v>98.182502746582031</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382</v>
      </c>
      <c r="S23" s="238">
        <f>IF(ISBLANK('Measured Data'!S17),"",'Measured Data'!S17)</f>
        <v>1627.85</v>
      </c>
      <c r="T23" s="238">
        <f>IF(ISBLANK('Measured Data'!U17),"",'Measured Data'!U17)</f>
        <v>7.4710000000000001</v>
      </c>
      <c r="U23" s="238">
        <f>IF(ISBLANK('Measured Data'!V17),"",'Measured Data'!V17)</f>
        <v>2.246</v>
      </c>
      <c r="V23" s="238">
        <f>IF(ISBLANK('Measured Data'!W17),"",'Measured Data'!W17)</f>
        <v>5.8999999999999997E-2</v>
      </c>
      <c r="W23" s="238">
        <f>IF(ISBLANK('Measured Data'!X17),"",'Measured Data'!X17)</f>
        <v>2.5259999999999998</v>
      </c>
      <c r="X23" s="238">
        <f>IF(ISBLANK('Measured Data'!Y17),"",'Measured Data'!Y17)</f>
        <v>0.14199999999999999</v>
      </c>
      <c r="Y23" s="238">
        <f>IF(ISBLANK('Measured Data'!Z17),"",'Measured Data'!Z17)</f>
        <v>6.2723417482626154</v>
      </c>
      <c r="Z23" s="238">
        <f>IF(ISBLANK('Measured Data'!AA17),"",'Measured Data'!AA17)</f>
        <v>3.3319999999999999</v>
      </c>
      <c r="AA23" s="238">
        <f>IF(ISBLANK('Measured Data'!AB17),"",'Measured Data'!AB17)</f>
        <v>8.4719999999999995</v>
      </c>
      <c r="AB23" s="238">
        <f>IF(ISBLANK('Measured Data'!AC17),"",'Measured Data'!AC17)</f>
        <v>0</v>
      </c>
      <c r="AC23" s="238">
        <f>IF(ISBLANK('Measured Data'!AD17),"",'Measured Data'!AD17)</f>
        <v>0</v>
      </c>
      <c r="AD23" s="238">
        <f>IF(ISBLANK('Measured Data'!AE17),"",'Measured Data'!AE17)</f>
        <v>0</v>
      </c>
      <c r="AE23" s="238">
        <f>IF(ISBLANK('Measured Data'!AF17),"",'Measured Data'!AF17)</f>
        <v>8.6589698046181169</v>
      </c>
      <c r="AF23" s="238">
        <f>IF(ISBLANK('Measured Data'!AG17),"",'Measured Data'!AG17)</f>
        <v>0</v>
      </c>
      <c r="AG23" s="238">
        <f>IF(ISBLANK('Measured Data'!AH17),"",'Measured Data'!AH17)</f>
        <v>0</v>
      </c>
      <c r="AH23" s="238">
        <f>IF(ISBLANK('Measured Data'!AI17),"",'Measured Data'!AI17)</f>
        <v>0</v>
      </c>
      <c r="AI23" s="238">
        <f>IF(ISBLANK('Measured Data'!AJ17),"",'Measured Data'!AJ17)</f>
        <v>0</v>
      </c>
      <c r="AJ23" s="238">
        <f>IF(ISBLANK('Measured Data'!AK17),"",'Measured Data'!AK17)</f>
        <v>0</v>
      </c>
      <c r="AK23" s="238">
        <f>IF(ISBLANK('Measured Data'!AL17),"",'Measured Data'!AL17)</f>
        <v>0</v>
      </c>
      <c r="AL23" s="238">
        <f>IF(ISBLANK('Measured Data'!AM17),"",'Measured Data'!AM17)</f>
        <v>0</v>
      </c>
      <c r="AM23" s="238">
        <f>IF(ISBLANK('Measured Data'!AN17),"",'Measured Data'!AN17)</f>
        <v>0</v>
      </c>
      <c r="AN23" s="238">
        <f>IF(ISBLANK('Measured Data'!AO17),"",'Measured Data'!AO17)</f>
        <v>0</v>
      </c>
      <c r="AO23" s="238">
        <f>IF(ISBLANK('Measured Data'!AP17),"",'Measured Data'!AP17)</f>
        <v>0</v>
      </c>
      <c r="AP23" s="238">
        <f>IF(ISBLANK('Measured Data'!AQ17),"",'Measured Data'!AQ17)</f>
        <v>0</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308.67</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27428.22468223131</v>
      </c>
      <c r="BV23" s="243">
        <f>IF(ISBLANK('In Process Calc.'!M16),"",'In Process Calc.'!M16)</f>
        <v>0</v>
      </c>
      <c r="BW23" s="243">
        <f>IF(ISBLANK('In Process Calc.'!N16),"",'In Process Calc.'!N16)</f>
        <v>5216.8884716666671</v>
      </c>
      <c r="BX23" s="243">
        <f>IF(ISBLANK('In Process Calc.'!O16),"",'In Process Calc.'!O16)</f>
        <v>-5.0843223888888902</v>
      </c>
      <c r="BY23" s="243">
        <f>IF(ISBLANK('In Process Calc.'!P16),"",'In Process Calc.'!P16)</f>
        <v>1.4317899444444442</v>
      </c>
      <c r="BZ23" s="243">
        <f>IF(ISBLANK('In Process Calc.'!Q16),"",'In Process Calc.'!Q16)</f>
        <v>11.689605833333331</v>
      </c>
      <c r="CA23" s="243">
        <f>IF(ISBLANK('In Process Calc.'!R16),"",'In Process Calc.'!R16)</f>
        <v>0.68544588888888858</v>
      </c>
      <c r="CB23" s="243">
        <f>IF(ISBLANK('In Process Calc.'!S16),"",'In Process Calc.'!S16)</f>
        <v>1.6178337222222221</v>
      </c>
      <c r="CC23" s="243">
        <f>IF(ISBLANK('In Process Calc.'!T16),"",'In Process Calc.'!T16)</f>
        <v>118.69643760746584</v>
      </c>
      <c r="CD23" s="243">
        <f>IF(ISBLANK('In Process Calc.'!U16),"",'In Process Calc.'!U16)</f>
        <v>-4.2608473333333334</v>
      </c>
      <c r="CE23" s="243">
        <f>IF(ISBLANK('In Process Calc.'!V16),"",'In Process Calc.'!V16)</f>
        <v>0.34836561111110731</v>
      </c>
      <c r="CF23" s="243">
        <f>IF(ISBLANK('In Process Calc.'!W16),"",'In Process Calc.'!W16)</f>
        <v>0</v>
      </c>
      <c r="CG23" s="243">
        <f>IF(ISBLANK('In Process Calc.'!X16),"",'In Process Calc.'!X16)</f>
        <v>0</v>
      </c>
      <c r="CH23" s="243">
        <f>IF(ISBLANK('In Process Calc.'!Y16),"",'In Process Calc.'!Y16)</f>
        <v>0</v>
      </c>
      <c r="CI23" s="243">
        <f>IF(ISBLANK('In Process Calc.'!Z16),"",'In Process Calc.'!Z16)</f>
        <v>2.0831914841128882</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19.769833333333324</v>
      </c>
      <c r="CW23" s="243">
        <f>IF(ISBLANK('In Process Calc.'!AN16),"",'In Process Calc.'!AN16)</f>
        <v>14.685510944444435</v>
      </c>
      <c r="CX23" s="243">
        <f>IF(ISBLANK('In Process Calc.'!AO16),"",'In Process Calc.'!AO16)</f>
        <v>63.488507444444416</v>
      </c>
      <c r="CY23" s="243">
        <f>IF(ISBLANK('In Process Calc.'!AP16),"",'In Process Calc.'!AP16)</f>
        <v>0</v>
      </c>
      <c r="CZ23" s="243">
        <f>IF(ISBLANK('In Process Calc.'!AQ16),"",'In Process Calc.'!AQ16)</f>
        <v>0</v>
      </c>
      <c r="DA23" s="243">
        <f>IF(ISBLANK('In Process Calc.'!AR16),"",'In Process Calc.'!AR16)</f>
        <v>-1.8443089730005103E-3</v>
      </c>
      <c r="DB23" s="243">
        <f>IF(ISBLANK('In Process Calc.'!AS16),"",'In Process Calc.'!AS16)</f>
        <v>-5.6704530371216953E-4</v>
      </c>
      <c r="DC23" s="243">
        <f>IF(ISBLANK('In Process Calc.'!AT16),"",'In Process Calc.'!AT16)</f>
        <v>1.2772636692883407E-3</v>
      </c>
      <c r="DD23" s="243">
        <f>IF(ISBLANK('In Process Calc.'!AU16),"",'In Process Calc.'!AU16)</f>
        <v>0.91620777219841332</v>
      </c>
      <c r="DE23" s="243">
        <f>IF(ISBLANK('In Process Calc.'!AV16),"",'In Process Calc.'!AV16)</f>
        <v>5.01989589451574E-3</v>
      </c>
      <c r="DF23" s="243">
        <f>IF(ISBLANK('In Process Calc.'!AW16),"",'In Process Calc.'!AW16)</f>
        <v>6.6801245972922707E-4</v>
      </c>
      <c r="DG23" s="243">
        <f>IF(ISBLANK('In Process Calc.'!AX16),"",'In Process Calc.'!AX16)</f>
        <v>-2.0624224364725659E-5</v>
      </c>
      <c r="DH23" s="243">
        <f>IF(ISBLANK('In Process Calc.'!AY16),"",'In Process Calc.'!AY16)</f>
        <v>7.2487717788833825E-4</v>
      </c>
      <c r="DI23" s="243">
        <f>IF(ISBLANK('In Process Calc.'!AZ16),"",'In Process Calc.'!AZ16)</f>
        <v>-2.4293743433181206E-4</v>
      </c>
      <c r="DJ23" s="243">
        <f>IF(ISBLANK('In Process Calc.'!BA16),"",'In Process Calc.'!BA16)</f>
        <v>3.6613476096878504E-2</v>
      </c>
      <c r="DK23" s="243">
        <f>IF(ISBLANK('In Process Calc.'!BB16),"",'In Process Calc.'!BB16)</f>
        <v>5.2271699660439894E-4</v>
      </c>
      <c r="DL23" s="243">
        <f>IF(ISBLANK('In Process Calc.'!BC16),"",'In Process Calc.'!BC16)</f>
        <v>3.544227328118679E-3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1.2722298349587199E-2</v>
      </c>
      <c r="ED23" s="243">
        <f>IF(ISBLANK('In Process Calc.'!BU16),"",'In Process Calc.'!BU16)</f>
        <v>7.7024024550714594E-3</v>
      </c>
      <c r="EE23" s="243">
        <f>IF(ISBLANK('In Process Calc.'!BV16),"",'In Process Calc.'!BV16)</f>
        <v>4.0761871273641552E-2</v>
      </c>
      <c r="EF23" s="243">
        <f>IF(ISBLANK('In Process Calc.'!BW16),"",'In Process Calc.'!BW16)</f>
        <v>4.2301992777091332E-2</v>
      </c>
      <c r="EG23" s="243">
        <f>IF(ISBLANK('In Process Calc.'!BX16),"",'In Process Calc.'!BX16)</f>
        <v>-6.2450093323851992E-2</v>
      </c>
      <c r="EH23" s="243">
        <f>IF(ISBLANK('In Process Calc.'!BY16),"",'In Process Calc.'!BY16)</f>
        <v>0</v>
      </c>
      <c r="EI23" s="243">
        <f>IF(ISBLANK('In Process Calc.'!BZ16),"",'In Process Calc.'!BZ16)</f>
        <v>1.4276628507528226E-2</v>
      </c>
      <c r="EJ23" s="243">
        <f>IF(ISBLANK('In Process Calc.'!CA16),"",'In Process Calc.'!CA16)</f>
        <v>0</v>
      </c>
      <c r="EK23" s="243">
        <f>IF(ISBLANK('Post Process Calc.'!A23),"",'Post Process Calc.'!A23)</f>
        <v>1.9760500026702883</v>
      </c>
      <c r="EL23" s="243">
        <f>IF(ISBLANK('Post Process Calc.'!C23),"",'Post Process Calc.'!C23)</f>
        <v>8.6604471299917329E-2</v>
      </c>
      <c r="EM23" s="243">
        <f>IF(ISBLANK('Post Process Calc.'!D23),"",'Post Process Calc.'!D23)</f>
        <v>5.2883106584454796E-2</v>
      </c>
      <c r="EN23" s="243">
        <f>IF(ISBLANK('Post Process Calc.'!E23),"",'Post Process Calc.'!E23)</f>
        <v>-7.1954531825508599E-3</v>
      </c>
      <c r="EO23" s="243">
        <f>IF(ISBLANK('Post Process Calc.'!F23),"",'Post Process Calc.'!F23)</f>
        <v>9.3928315076893039E-4</v>
      </c>
      <c r="EP23" s="243">
        <f>IF(ISBLANK('Post Process Calc.'!G23),"",'Post Process Calc.'!G23)</f>
        <v>-9.1239625228728399E-3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XB51</v>
      </c>
      <c r="B24" s="238">
        <f>IF(ISBLANK('Measured Data'!A18),"",'Measured Data'!A18)</f>
        <v>11</v>
      </c>
      <c r="C24" s="245">
        <f>IF(ISBLANK('Measured Data'!B18),"",'Measured Data'!B18)</f>
        <v>10.909722222218988</v>
      </c>
      <c r="D24" s="246">
        <f>IF(ISBLANK('Measured Data'!C18),"",'Measured Data'!C18)</f>
        <v>261.83333333325572</v>
      </c>
      <c r="E24" s="238">
        <f>IF(ISBLANK('Measured Data'!D18),"",'Measured Data'!D18)</f>
        <v>20</v>
      </c>
      <c r="F24" s="238" t="str">
        <f>IF(ISBLANK('Measured Data'!E18),"",'Measured Data'!E18)</f>
        <v/>
      </c>
      <c r="G24" s="238" t="str">
        <f>IF(ISBLANK('Measured Data'!G18),"",'Measured Data'!G18)</f>
        <v/>
      </c>
      <c r="H24" s="238">
        <f>IF(ISBLANK('Measured Data'!H18),"",'Measured Data'!H18)</f>
        <v>16.191300256347656</v>
      </c>
      <c r="I24" s="238">
        <f>IF(ISBLANK('Measured Data'!I18),"",'Measured Data'!I18)</f>
        <v>0.38792026582183681</v>
      </c>
      <c r="J24" s="238">
        <f>IF(ISBLANK('Measured Data'!J18),"",'Measured Data'!J18)</f>
        <v>16.579220522169493</v>
      </c>
      <c r="K24" s="238">
        <f>IF(ISBLANK('Measured Data'!K18),"",'Measured Data'!K18)</f>
        <v>97.660202026367188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382</v>
      </c>
      <c r="S24" s="238">
        <f>IF(ISBLANK('Measured Data'!S18),"",'Measured Data'!S18)</f>
        <v>2082.52</v>
      </c>
      <c r="T24" s="238">
        <f>IF(ISBLANK('Measured Data'!U18),"",'Measured Data'!U18)</f>
        <v>6.4710000000000001</v>
      </c>
      <c r="U24" s="238">
        <f>IF(ISBLANK('Measured Data'!V18),"",'Measured Data'!V18)</f>
        <v>1.889</v>
      </c>
      <c r="V24" s="238">
        <f>IF(ISBLANK('Measured Data'!W18),"",'Measured Data'!W18)</f>
        <v>6.8000000000000005E-2</v>
      </c>
      <c r="W24" s="238">
        <f>IF(ISBLANK('Measured Data'!X18),"",'Measured Data'!X18)</f>
        <v>2.2080000000000002</v>
      </c>
      <c r="X24" s="238">
        <f>IF(ISBLANK('Measured Data'!Y18),"",'Measured Data'!Y18)</f>
        <v>8.5999999999999993E-2</v>
      </c>
      <c r="Y24" s="238">
        <f>IF(ISBLANK('Measured Data'!Z18),"",'Measured Data'!Z18)</f>
        <v>7.8820577721530221</v>
      </c>
      <c r="Z24" s="238">
        <f>IF(ISBLANK('Measured Data'!AA18),"",'Measured Data'!AA18)</f>
        <v>2.7109999999999999</v>
      </c>
      <c r="AA24" s="238">
        <f>IF(ISBLANK('Measured Data'!AB18),"",'Measured Data'!AB18)</f>
        <v>5.944</v>
      </c>
      <c r="AB24" s="238">
        <f>IF(ISBLANK('Measured Data'!AC18),"",'Measured Data'!AC18)</f>
        <v>0</v>
      </c>
      <c r="AC24" s="238">
        <f>IF(ISBLANK('Measured Data'!AD18),"",'Measured Data'!AD18)</f>
        <v>0</v>
      </c>
      <c r="AD24" s="238">
        <f>IF(ISBLANK('Measured Data'!AE18),"",'Measured Data'!AE18)</f>
        <v>0</v>
      </c>
      <c r="AE24" s="238">
        <f>IF(ISBLANK('Measured Data'!AF18),"",'Measured Data'!AF18)</f>
        <v>5.3285968028419184</v>
      </c>
      <c r="AF24" s="238">
        <f>IF(ISBLANK('Measured Data'!AG18),"",'Measured Data'!AG18)</f>
        <v>0</v>
      </c>
      <c r="AG24" s="238">
        <f>IF(ISBLANK('Measured Data'!AH18),"",'Measured Data'!AH18)</f>
        <v>0</v>
      </c>
      <c r="AH24" s="238">
        <f>IF(ISBLANK('Measured Data'!AI18),"",'Measured Data'!AI18)</f>
        <v>0</v>
      </c>
      <c r="AI24" s="238">
        <f>IF(ISBLANK('Measured Data'!AJ18),"",'Measured Data'!AJ18)</f>
        <v>0</v>
      </c>
      <c r="AJ24" s="238">
        <f>IF(ISBLANK('Measured Data'!AK18),"",'Measured Data'!AK18)</f>
        <v>0</v>
      </c>
      <c r="AK24" s="238">
        <f>IF(ISBLANK('Measured Data'!AL18),"",'Measured Data'!AL18)</f>
        <v>0</v>
      </c>
      <c r="AL24" s="238">
        <f>IF(ISBLANK('Measured Data'!AM18),"",'Measured Data'!AM18)</f>
        <v>0</v>
      </c>
      <c r="AM24" s="238">
        <f>IF(ISBLANK('Measured Data'!AN18),"",'Measured Data'!AN18)</f>
        <v>0</v>
      </c>
      <c r="AN24" s="238">
        <f>IF(ISBLANK('Measured Data'!AO18),"",'Measured Data'!AO18)</f>
        <v>0</v>
      </c>
      <c r="AO24" s="238">
        <f>IF(ISBLANK('Measured Data'!AP18),"",'Measured Data'!AP18)</f>
        <v>0</v>
      </c>
      <c r="AP24" s="238">
        <f>IF(ISBLANK('Measured Data'!AQ18),"",'Measured Data'!AQ18)</f>
        <v>0</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333.02</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22710.853350833804</v>
      </c>
      <c r="BV24" s="243">
        <f>IF(ISBLANK('In Process Calc.'!M17),"",'In Process Calc.'!M17)</f>
        <v>0</v>
      </c>
      <c r="BW24" s="243">
        <f>IF(ISBLANK('In Process Calc.'!N17),"",'In Process Calc.'!N17)</f>
        <v>5492.0639488888901</v>
      </c>
      <c r="BX24" s="243">
        <f>IF(ISBLANK('In Process Calc.'!O17),"",'In Process Calc.'!O17)</f>
        <v>-3.9673431111111119</v>
      </c>
      <c r="BY24" s="243">
        <f>IF(ISBLANK('In Process Calc.'!P17),"",'In Process Calc.'!P17)</f>
        <v>1.5480791111111107</v>
      </c>
      <c r="BZ24" s="243">
        <f>IF(ISBLANK('In Process Calc.'!Q17),"",'In Process Calc.'!Q17)</f>
        <v>11.678966999999998</v>
      </c>
      <c r="CA24" s="243">
        <f>IF(ISBLANK('In Process Calc.'!R17),"",'In Process Calc.'!R17)</f>
        <v>-0.70658900000000036</v>
      </c>
      <c r="CB24" s="243">
        <f>IF(ISBLANK('In Process Calc.'!S17),"",'In Process Calc.'!S17)</f>
        <v>1.3176104444444443</v>
      </c>
      <c r="CC24" s="243">
        <f>IF(ISBLANK('In Process Calc.'!T17),"",'In Process Calc.'!T17)</f>
        <v>131.72909914153692</v>
      </c>
      <c r="CD24" s="243">
        <f>IF(ISBLANK('In Process Calc.'!U17),"",'In Process Calc.'!U17)</f>
        <v>-3.054977111111111</v>
      </c>
      <c r="CE24" s="243">
        <f>IF(ISBLANK('In Process Calc.'!V17),"",'In Process Calc.'!V17)</f>
        <v>-0.11845444444444814</v>
      </c>
      <c r="CF24" s="243">
        <f>IF(ISBLANK('In Process Calc.'!W17),"",'In Process Calc.'!W17)</f>
        <v>0</v>
      </c>
      <c r="CG24" s="243">
        <f>IF(ISBLANK('In Process Calc.'!X17),"",'In Process Calc.'!X17)</f>
        <v>0</v>
      </c>
      <c r="CH24" s="243">
        <f>IF(ISBLANK('In Process Calc.'!Y17),"",'In Process Calc.'!Y17)</f>
        <v>0</v>
      </c>
      <c r="CI24" s="243">
        <f>IF(ISBLANK('In Process Calc.'!Z17),"",'In Process Calc.'!Z17)</f>
        <v>4.8764801657785686</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21.283130555555545</v>
      </c>
      <c r="CW24" s="243">
        <f>IF(ISBLANK('In Process Calc.'!AN17),"",'In Process Calc.'!AN17)</f>
        <v>17.315787444444432</v>
      </c>
      <c r="CX24" s="243">
        <f>IF(ISBLANK('In Process Calc.'!AO17),"",'In Process Calc.'!AO17)</f>
        <v>57.11852088888886</v>
      </c>
      <c r="CY24" s="243">
        <f>IF(ISBLANK('In Process Calc.'!AP17),"",'In Process Calc.'!AP17)</f>
        <v>0</v>
      </c>
      <c r="CZ24" s="243">
        <f>IF(ISBLANK('In Process Calc.'!AQ17),"",'In Process Calc.'!AQ17)</f>
        <v>0</v>
      </c>
      <c r="DA24" s="243">
        <f>IF(ISBLANK('In Process Calc.'!AR17),"",'In Process Calc.'!AR17)</f>
        <v>-7.5814851883928931E-3</v>
      </c>
      <c r="DB24" s="243">
        <f>IF(ISBLANK('In Process Calc.'!AS17),"",'In Process Calc.'!AS17)</f>
        <v>-2.7051876261762276E-3</v>
      </c>
      <c r="DC24" s="243">
        <f>IF(ISBLANK('In Process Calc.'!AT17),"",'In Process Calc.'!AT17)</f>
        <v>4.8762975622166655E-3</v>
      </c>
      <c r="DD24" s="243">
        <f>IF(ISBLANK('In Process Calc.'!AU17),"",'In Process Calc.'!AU17)</f>
        <v>0.44224604302057091</v>
      </c>
      <c r="DE24" s="243">
        <f>IF(ISBLANK('In Process Calc.'!AV17),"",'In Process Calc.'!AV17)</f>
        <v>1.7951442138656681E-3</v>
      </c>
      <c r="DF24" s="243">
        <f>IF(ISBLANK('In Process Calc.'!AW17),"",'In Process Calc.'!AW17)</f>
        <v>1.8689319383994744E-4</v>
      </c>
      <c r="DG24" s="243">
        <f>IF(ISBLANK('In Process Calc.'!AX17),"",'In Process Calc.'!AX17)</f>
        <v>-1.7098114961102962E-5</v>
      </c>
      <c r="DH24" s="243">
        <f>IF(ISBLANK('In Process Calc.'!AY17),"",'In Process Calc.'!AY17)</f>
        <v>-2.2371976150350583E-3</v>
      </c>
      <c r="DI24" s="243">
        <f>IF(ISBLANK('In Process Calc.'!AZ17),"",'In Process Calc.'!AZ17)</f>
        <v>-4.8250141313524474E-4</v>
      </c>
      <c r="DJ24" s="243">
        <f>IF(ISBLANK('In Process Calc.'!BA17),"",'In Process Calc.'!BA17)</f>
        <v>3.9810151286534236E-2</v>
      </c>
      <c r="DK24" s="243">
        <f>IF(ISBLANK('In Process Calc.'!BB17),"",'In Process Calc.'!BB17)</f>
        <v>1.9380045764159617E-3</v>
      </c>
      <c r="DL24" s="243">
        <f>IF(ISBLANK('In Process Calc.'!BC17),"",'In Process Calc.'!BC17)</f>
        <v>-7.5024607736163043E-4</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2.9145848066032421E-3</v>
      </c>
      <c r="ED24" s="243">
        <f>IF(ISBLANK('In Process Calc.'!BU17),"",'In Process Calc.'!BU17)</f>
        <v>1.1194405927375741E-3</v>
      </c>
      <c r="EE24" s="243">
        <f>IF(ISBLANK('In Process Calc.'!BV17),"",'In Process Calc.'!BV17)</f>
        <v>5.3339290111223099E-4</v>
      </c>
      <c r="EF24" s="243">
        <f>IF(ISBLANK('In Process Calc.'!BW17),"",'In Process Calc.'!BW17)</f>
        <v>1.6196814686716497E-2</v>
      </c>
      <c r="EG24" s="243">
        <f>IF(ISBLANK('In Process Calc.'!BX17),"",'In Process Calc.'!BX17)</f>
        <v>0.13952379489100789</v>
      </c>
      <c r="EH24" s="243">
        <f>IF(ISBLANK('In Process Calc.'!BY17),"",'In Process Calc.'!BY17)</f>
        <v>0</v>
      </c>
      <c r="EI24" s="243">
        <f>IF(ISBLANK('In Process Calc.'!BZ17),"",'In Process Calc.'!BZ17)</f>
        <v>4.8681165827960338E-2</v>
      </c>
      <c r="EJ24" s="243">
        <f>IF(ISBLANK('In Process Calc.'!CA17),"",'In Process Calc.'!CA17)</f>
        <v>0</v>
      </c>
      <c r="EK24" s="243">
        <f>IF(ISBLANK('Post Process Calc.'!A24),"",'Post Process Calc.'!A24)</f>
        <v>3.2690000368118293</v>
      </c>
      <c r="EL24" s="243">
        <f>IF(ISBLANK('Post Process Calc.'!C24),"",'Post Process Calc.'!C24)</f>
        <v>7.5325407257936558E-2</v>
      </c>
      <c r="EM24" s="243">
        <f>IF(ISBLANK('Post Process Calc.'!D24),"",'Post Process Calc.'!D24)</f>
        <v>3.6162685614812624E-2</v>
      </c>
      <c r="EN24" s="243">
        <f>IF(ISBLANK('Post Process Calc.'!E24),"",'Post Process Calc.'!E24)</f>
        <v>-7.8010140067021495E-3</v>
      </c>
      <c r="EO24" s="243">
        <f>IF(ISBLANK('Post Process Calc.'!F24),"",'Post Process Calc.'!F24)</f>
        <v>3.3083444115931532E-3</v>
      </c>
      <c r="EP24" s="243">
        <f>IF(ISBLANK('Post Process Calc.'!G24),"",'Post Process Calc.'!G24)</f>
        <v>-6.0721165722529809E-3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XB51</v>
      </c>
      <c r="B25" s="238">
        <f>IF(ISBLANK('Measured Data'!A19),"",'Measured Data'!A19)</f>
        <v>12</v>
      </c>
      <c r="C25" s="245">
        <f>IF(ISBLANK('Measured Data'!B19),"",'Measured Data'!B19)</f>
        <v>11.868055555554747</v>
      </c>
      <c r="D25" s="246">
        <f>IF(ISBLANK('Measured Data'!C19),"",'Measured Data'!C19)</f>
        <v>284.83333333331393</v>
      </c>
      <c r="E25" s="238">
        <f>IF(ISBLANK('Measured Data'!D19),"",'Measured Data'!D19)</f>
        <v>20</v>
      </c>
      <c r="F25" s="238" t="str">
        <f>IF(ISBLANK('Measured Data'!E19),"",'Measured Data'!E19)</f>
        <v/>
      </c>
      <c r="G25" s="238" t="str">
        <f>IF(ISBLANK('Measured Data'!G19),"",'Measured Data'!G19)</f>
        <v/>
      </c>
      <c r="H25" s="238">
        <f>IF(ISBLANK('Measured Data'!H19),"",'Measured Data'!H19)</f>
        <v>16.129900796508789</v>
      </c>
      <c r="I25" s="238">
        <f>IF(ISBLANK('Measured Data'!I19),"",'Measured Data'!I19)</f>
        <v>0.65608017913175942</v>
      </c>
      <c r="J25" s="238">
        <f>IF(ISBLANK('Measured Data'!J19),"",'Measured Data'!J19)</f>
        <v>16.785980975640548</v>
      </c>
      <c r="K25" s="238">
        <f>IF(ISBLANK('Measured Data'!K19),"",'Measured Data'!K19)</f>
        <v>96.091499328613281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408</v>
      </c>
      <c r="S25" s="238">
        <f>IF(ISBLANK('Measured Data'!S19),"",'Measured Data'!S19)</f>
        <v>2540.4499999999998</v>
      </c>
      <c r="T25" s="238">
        <f>IF(ISBLANK('Measured Data'!U19),"",'Measured Data'!U19)</f>
        <v>4.76</v>
      </c>
      <c r="U25" s="238">
        <f>IF(ISBLANK('Measured Data'!V19),"",'Measured Data'!V19)</f>
        <v>1.5740000000000001</v>
      </c>
      <c r="V25" s="238">
        <f>IF(ISBLANK('Measured Data'!W19),"",'Measured Data'!W19)</f>
        <v>6.7000000000000004E-2</v>
      </c>
      <c r="W25" s="238">
        <f>IF(ISBLANK('Measured Data'!X19),"",'Measured Data'!X19)</f>
        <v>1.716</v>
      </c>
      <c r="X25" s="238">
        <f>IF(ISBLANK('Measured Data'!Y19),"",'Measured Data'!Y19)</f>
        <v>9.9000000000000005E-2</v>
      </c>
      <c r="Y25" s="238">
        <f>IF(ISBLANK('Measured Data'!Z19),"",'Measured Data'!Z19)</f>
        <v>8.8811918559470691</v>
      </c>
      <c r="Z25" s="238">
        <f>IF(ISBLANK('Measured Data'!AA19),"",'Measured Data'!AA19)</f>
        <v>2.5529999999999999</v>
      </c>
      <c r="AA25" s="238">
        <f>IF(ISBLANK('Measured Data'!AB19),"",'Measured Data'!AB19)</f>
        <v>3.5590000000000002</v>
      </c>
      <c r="AB25" s="238">
        <f>IF(ISBLANK('Measured Data'!AC19),"",'Measured Data'!AC19)</f>
        <v>0</v>
      </c>
      <c r="AC25" s="238">
        <f>IF(ISBLANK('Measured Data'!AD19),"",'Measured Data'!AD19)</f>
        <v>0</v>
      </c>
      <c r="AD25" s="238">
        <f>IF(ISBLANK('Measured Data'!AE19),"",'Measured Data'!AE19)</f>
        <v>0</v>
      </c>
      <c r="AE25" s="238">
        <f>IF(ISBLANK('Measured Data'!AF19),"",'Measured Data'!AF19)</f>
        <v>3.3303730017761985</v>
      </c>
      <c r="AF25" s="238">
        <f>IF(ISBLANK('Measured Data'!AG19),"",'Measured Data'!AG19)</f>
        <v>0</v>
      </c>
      <c r="AG25" s="238">
        <f>IF(ISBLANK('Measured Data'!AH19),"",'Measured Data'!AH19)</f>
        <v>0</v>
      </c>
      <c r="AH25" s="238">
        <f>IF(ISBLANK('Measured Data'!AI19),"",'Measured Data'!AI19)</f>
        <v>0</v>
      </c>
      <c r="AI25" s="238">
        <f>IF(ISBLANK('Measured Data'!AJ19),"",'Measured Data'!AJ19)</f>
        <v>0</v>
      </c>
      <c r="AJ25" s="238">
        <f>IF(ISBLANK('Measured Data'!AK19),"",'Measured Data'!AK19)</f>
        <v>0</v>
      </c>
      <c r="AK25" s="238">
        <f>IF(ISBLANK('Measured Data'!AL19),"",'Measured Data'!AL19)</f>
        <v>0</v>
      </c>
      <c r="AL25" s="238">
        <f>IF(ISBLANK('Measured Data'!AM19),"",'Measured Data'!AM19)</f>
        <v>0</v>
      </c>
      <c r="AM25" s="238">
        <f>IF(ISBLANK('Measured Data'!AN19),"",'Measured Data'!AN19)</f>
        <v>0</v>
      </c>
      <c r="AN25" s="238">
        <f>IF(ISBLANK('Measured Data'!AO19),"",'Measured Data'!AO19)</f>
        <v>0</v>
      </c>
      <c r="AO25" s="238">
        <f>IF(ISBLANK('Measured Data'!AP19),"",'Measured Data'!AP19)</f>
        <v>0</v>
      </c>
      <c r="AP25" s="238">
        <f>IF(ISBLANK('Measured Data'!AQ19),"",'Measured Data'!AQ19)</f>
        <v>0</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5.202200038528443</v>
      </c>
      <c r="EL25" s="243">
        <f>IF(ISBLANK('Post Process Calc.'!C25),"",'Post Process Calc.'!C25)</f>
        <v>6.289051606076719E-2</v>
      </c>
      <c r="EM25" s="243">
        <f>IF(ISBLANK('Post Process Calc.'!D25),"",'Post Process Calc.'!D25)</f>
        <v>2.1087590806991536E-2</v>
      </c>
      <c r="EN25" s="243">
        <f>IF(ISBLANK('Post Process Calc.'!E25),"",'Post Process Calc.'!E25)</f>
        <v>-6.0312422651329521E-3</v>
      </c>
      <c r="EO25" s="243">
        <f>IF(ISBLANK('Post Process Calc.'!F25),"",'Post Process Calc.'!F25)</f>
        <v>4.2779885486106369E-3</v>
      </c>
      <c r="EP25" s="243">
        <f>IF(ISBLANK('Post Process Calc.'!G25),"",'Post Process Calc.'!G25)</f>
        <v>-3.2999731679041956E-3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8.1430500579833982</v>
      </c>
      <c r="EL26" s="243">
        <f>IF(ISBLANK('Post Process Calc.'!C26),"",'Post Process Calc.'!C26)</f>
        <v>5.0831688889231307E-2</v>
      </c>
      <c r="EM26" s="243">
        <f>IF(ISBLANK('Post Process Calc.'!D26),"",'Post Process Calc.'!D26)</f>
        <v>9.2720495847371937E-3</v>
      </c>
      <c r="EN26" s="243">
        <f>IF(ISBLANK('Post Process Calc.'!E26),"",'Post Process Calc.'!E26)</f>
        <v>-3.6826215607348605E-3</v>
      </c>
      <c r="EO26" s="243">
        <f>IF(ISBLANK('Post Process Calc.'!F26),"",'Post Process Calc.'!F26)</f>
        <v>4.275961448406195E-3</v>
      </c>
      <c r="EP26" s="243">
        <f>IF(ISBLANK('Post Process Calc.'!G26),"",'Post Process Calc.'!G26)</f>
        <v>-1.344271123342767E-3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11.196500165557861</v>
      </c>
      <c r="EL27" s="243">
        <f>IF(ISBLANK('Post Process Calc.'!C27),"",'Post Process Calc.'!C27)</f>
        <v>4.4134194462242884E-2</v>
      </c>
      <c r="EM27" s="243">
        <f>IF(ISBLANK('Post Process Calc.'!D27),"",'Post Process Calc.'!D27)</f>
        <v>1.8553255093505024E-3</v>
      </c>
      <c r="EN27" s="243">
        <f>IF(ISBLANK('Post Process Calc.'!E27),"",'Post Process Calc.'!E27)</f>
        <v>-1.9444841825072014E-3</v>
      </c>
      <c r="EO27" s="243">
        <f>IF(ISBLANK('Post Process Calc.'!F27),"",'Post Process Calc.'!F27)</f>
        <v>4.0168483828002984E-3</v>
      </c>
      <c r="EP27" s="243">
        <f>IF(ISBLANK('Post Process Calc.'!G27),"",'Post Process Calc.'!G27)</f>
        <v>-2.7133893558094966E-4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14.275299890136719</v>
      </c>
      <c r="EL28" s="243">
        <f>IF(ISBLANK('Post Process Calc.'!C28),"",'Post Process Calc.'!C28)</f>
        <v>3.9542381939957801E-2</v>
      </c>
      <c r="EM28" s="243">
        <f>IF(ISBLANK('Post Process Calc.'!D28),"",'Post Process Calc.'!D28)</f>
        <v>-3.1887177717506736E-3</v>
      </c>
      <c r="EN28" s="243">
        <f>IF(ISBLANK('Post Process Calc.'!E28),"",'Post Process Calc.'!E28)</f>
        <v>-6.7225229040200954E-4</v>
      </c>
      <c r="EO28" s="243">
        <f>IF(ISBLANK('Post Process Calc.'!F28),"",'Post Process Calc.'!F28)</f>
        <v>3.5758649260134688E-3</v>
      </c>
      <c r="EP28" s="243">
        <f>IF(ISBLANK('Post Process Calc.'!G28),"",'Post Process Calc.'!G28)</f>
        <v>3.545047818560414E-4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XB51</v>
      </c>
      <c r="B29" s="238">
        <f>IF(ISBLANK('Measured Data'!A20),"",'Measured Data'!A20)</f>
        <v>13</v>
      </c>
      <c r="C29" s="245">
        <f>IF(ISBLANK('Measured Data'!B20),"",'Measured Data'!B20)</f>
        <v>12.861111111109494</v>
      </c>
      <c r="D29" s="246">
        <f>IF(ISBLANK('Measured Data'!C20),"",'Measured Data'!C20)</f>
        <v>308.66666666662786</v>
      </c>
      <c r="E29" s="238">
        <f>IF(ISBLANK('Measured Data'!D20),"",'Measured Data'!D20)</f>
        <v>20</v>
      </c>
      <c r="F29" s="238" t="str">
        <f>IF(ISBLANK('Measured Data'!E20),"",'Measured Data'!E20)</f>
        <v/>
      </c>
      <c r="G29" s="238" t="str">
        <f>IF(ISBLANK('Measured Data'!G20),"",'Measured Data'!G20)</f>
        <v/>
      </c>
      <c r="H29" s="238">
        <f>IF(ISBLANK('Measured Data'!H20),"",'Measured Data'!H20)</f>
        <v>15.486100061035156</v>
      </c>
      <c r="I29" s="238">
        <f>IF(ISBLANK('Measured Data'!I20),"",'Measured Data'!I20)</f>
        <v>1.1402165897147682</v>
      </c>
      <c r="J29" s="238">
        <f>IF(ISBLANK('Measured Data'!J20),"",'Measured Data'!J20)</f>
        <v>16.626316650749924</v>
      </c>
      <c r="K29" s="238">
        <f>IF(ISBLANK('Measured Data'!K20),"",'Measured Data'!K20)</f>
        <v>93.142097473144531</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424</v>
      </c>
      <c r="S29" s="238">
        <f>IF(ISBLANK('Measured Data'!S20),"",'Measured Data'!S20)</f>
        <v>2894.43</v>
      </c>
      <c r="T29" s="238">
        <f>IF(ISBLANK('Measured Data'!U20),"",'Measured Data'!U20)</f>
        <v>2.8809999999999998</v>
      </c>
      <c r="U29" s="238">
        <f>IF(ISBLANK('Measured Data'!V20),"",'Measured Data'!V20)</f>
        <v>1.327</v>
      </c>
      <c r="V29" s="238">
        <f>IF(ISBLANK('Measured Data'!W20),"",'Measured Data'!W20)</f>
        <v>7.4999999999999997E-2</v>
      </c>
      <c r="W29" s="238">
        <f>IF(ISBLANK('Measured Data'!X20),"",'Measured Data'!X20)</f>
        <v>1.448</v>
      </c>
      <c r="X29" s="238">
        <f>IF(ISBLANK('Measured Data'!Y20),"",'Measured Data'!Y20)</f>
        <v>0.191</v>
      </c>
      <c r="Y29" s="238">
        <f>IF(ISBLANK('Measured Data'!Z20),"",'Measured Data'!Z20)</f>
        <v>12.65569839472457</v>
      </c>
      <c r="Z29" s="238">
        <f>IF(ISBLANK('Measured Data'!AA20),"",'Measured Data'!AA20)</f>
        <v>2.3639999999999999</v>
      </c>
      <c r="AA29" s="238">
        <f>IF(ISBLANK('Measured Data'!AB20),"",'Measured Data'!AB20)</f>
        <v>2.2330000000000001</v>
      </c>
      <c r="AB29" s="238">
        <f>IF(ISBLANK('Measured Data'!AC20),"",'Measured Data'!AC20)</f>
        <v>0</v>
      </c>
      <c r="AC29" s="238">
        <f>IF(ISBLANK('Measured Data'!AD20),"",'Measured Data'!AD20)</f>
        <v>0</v>
      </c>
      <c r="AD29" s="238">
        <f>IF(ISBLANK('Measured Data'!AE20),"",'Measured Data'!AE20)</f>
        <v>0</v>
      </c>
      <c r="AE29" s="238">
        <f>IF(ISBLANK('Measured Data'!AF20),"",'Measured Data'!AF20)</f>
        <v>2.1092362344582591</v>
      </c>
      <c r="AF29" s="238">
        <f>IF(ISBLANK('Measured Data'!AG20),"",'Measured Data'!AG20)</f>
        <v>0</v>
      </c>
      <c r="AG29" s="238">
        <f>IF(ISBLANK('Measured Data'!AH20),"",'Measured Data'!AH20)</f>
        <v>0</v>
      </c>
      <c r="AH29" s="238">
        <f>IF(ISBLANK('Measured Data'!AI20),"",'Measured Data'!AI20)</f>
        <v>0</v>
      </c>
      <c r="AI29" s="238">
        <f>IF(ISBLANK('Measured Data'!AJ20),"",'Measured Data'!AJ20)</f>
        <v>0</v>
      </c>
      <c r="AJ29" s="238">
        <f>IF(ISBLANK('Measured Data'!AK20),"",'Measured Data'!AK20)</f>
        <v>0</v>
      </c>
      <c r="AK29" s="238">
        <f>IF(ISBLANK('Measured Data'!AL20),"",'Measured Data'!AL20)</f>
        <v>0</v>
      </c>
      <c r="AL29" s="238">
        <f>IF(ISBLANK('Measured Data'!AM20),"",'Measured Data'!AM20)</f>
        <v>0</v>
      </c>
      <c r="AM29" s="238">
        <f>IF(ISBLANK('Measured Data'!AN20),"",'Measured Data'!AN20)</f>
        <v>0</v>
      </c>
      <c r="AN29" s="238">
        <f>IF(ISBLANK('Measured Data'!AO20),"",'Measured Data'!AO20)</f>
        <v>0</v>
      </c>
      <c r="AO29" s="238">
        <f>IF(ISBLANK('Measured Data'!AP20),"",'Measured Data'!AP20)</f>
        <v>0</v>
      </c>
      <c r="AP29" s="238">
        <f>IF(ISBLANK('Measured Data'!AQ20),"",'Measured Data'!AQ20)</f>
        <v>0</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16.360750062561035</v>
      </c>
      <c r="EL29" s="243">
        <f>IF(ISBLANK('Post Process Calc.'!C29),"",'Post Process Calc.'!C29)</f>
        <v>3.7880847555194587E-2</v>
      </c>
      <c r="EM29" s="243">
        <f>IF(ISBLANK('Post Process Calc.'!D29),"",'Post Process Calc.'!D29)</f>
        <v>-6.8538510221468401E-3</v>
      </c>
      <c r="EN29" s="243">
        <f>IF(ISBLANK('Post Process Calc.'!E29),"",'Post Process Calc.'!E29)</f>
        <v>2.086483329753267E-4</v>
      </c>
      <c r="EO29" s="243">
        <f>IF(ISBLANK('Post Process Calc.'!F29),"",'Post Process Calc.'!F29)</f>
        <v>3.1477714773716346E-3</v>
      </c>
      <c r="EP29" s="243">
        <f>IF(ISBLANK('Post Process Calc.'!G29),"",'Post Process Calc.'!G29)</f>
        <v>7.4134229657445638E-4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XB51</v>
      </c>
      <c r="B30" s="238">
        <f>IF(ISBLANK('Measured Data'!A21),"",'Measured Data'!A21)</f>
        <v>14</v>
      </c>
      <c r="C30" s="245">
        <f>IF(ISBLANK('Measured Data'!B21),"",'Measured Data'!B21)</f>
        <v>13.875694444439432</v>
      </c>
      <c r="D30" s="246">
        <f>IF(ISBLANK('Measured Data'!C21),"",'Measured Data'!C21)</f>
        <v>333.01666666654637</v>
      </c>
      <c r="E30" s="238">
        <f>IF(ISBLANK('Measured Data'!D21),"",'Measured Data'!D21)</f>
        <v>20</v>
      </c>
      <c r="F30" s="238" t="str">
        <f>IF(ISBLANK('Measured Data'!E21),"",'Measured Data'!E21)</f>
        <v/>
      </c>
      <c r="G30" s="238" t="str">
        <f>IF(ISBLANK('Measured Data'!G21),"",'Measured Data'!G21)</f>
        <v/>
      </c>
      <c r="H30" s="238">
        <f>IF(ISBLANK('Measured Data'!H21),"",'Measured Data'!H21)</f>
        <v>12.884300096130371</v>
      </c>
      <c r="I30" s="238">
        <f>IF(ISBLANK('Measured Data'!I21),"",'Measured Data'!I21)</f>
        <v>2.8270155407675173</v>
      </c>
      <c r="J30" s="238">
        <f>IF(ISBLANK('Measured Data'!J21),"",'Measured Data'!J21)</f>
        <v>15.711315636897888</v>
      </c>
      <c r="K30" s="238">
        <f>IF(ISBLANK('Measured Data'!K21),"",'Measured Data'!K21)</f>
        <v>82.006500244140625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445</v>
      </c>
      <c r="S30" s="238">
        <f>IF(ISBLANK('Measured Data'!S21),"",'Measured Data'!S21)</f>
        <v>3050.77</v>
      </c>
      <c r="T30" s="238">
        <f>IF(ISBLANK('Measured Data'!U21),"",'Measured Data'!U21)</f>
        <v>2.2639999999999998</v>
      </c>
      <c r="U30" s="238">
        <f>IF(ISBLANK('Measured Data'!V21),"",'Measured Data'!V21)</f>
        <v>1.264</v>
      </c>
      <c r="V30" s="238">
        <f>IF(ISBLANK('Measured Data'!W21),"",'Measured Data'!W21)</f>
        <v>8.1000000000000003E-2</v>
      </c>
      <c r="W30" s="238">
        <f>IF(ISBLANK('Measured Data'!X21),"",'Measured Data'!X21)</f>
        <v>2.2229999999999999</v>
      </c>
      <c r="X30" s="238">
        <f>IF(ISBLANK('Measured Data'!Y21),"",'Measured Data'!Y21)</f>
        <v>0.35799999999999998</v>
      </c>
      <c r="Y30" s="238">
        <f>IF(ISBLANK('Measured Data'!Z21),"",'Measured Data'!Z21)</f>
        <v>14.265414418614977</v>
      </c>
      <c r="Z30" s="238">
        <f>IF(ISBLANK('Measured Data'!AA21),"",'Measured Data'!AA21)</f>
        <v>1.6970000000000001</v>
      </c>
      <c r="AA30" s="238">
        <f>IF(ISBLANK('Measured Data'!AB21),"",'Measured Data'!AB21)</f>
        <v>2.4950000000000001</v>
      </c>
      <c r="AB30" s="238">
        <f>IF(ISBLANK('Measured Data'!AC21),"",'Measured Data'!AC21)</f>
        <v>0</v>
      </c>
      <c r="AC30" s="238">
        <f>IF(ISBLANK('Measured Data'!AD21),"",'Measured Data'!AD21)</f>
        <v>0</v>
      </c>
      <c r="AD30" s="238">
        <f>IF(ISBLANK('Measured Data'!AE21),"",'Measured Data'!AE21)</f>
        <v>0</v>
      </c>
      <c r="AE30" s="238">
        <f>IF(ISBLANK('Measured Data'!AF21),"",'Measured Data'!AF21)</f>
        <v>3.6634103019538191</v>
      </c>
      <c r="AF30" s="238">
        <f>IF(ISBLANK('Measured Data'!AG21),"",'Measured Data'!AG21)</f>
        <v>0</v>
      </c>
      <c r="AG30" s="238">
        <f>IF(ISBLANK('Measured Data'!AH21),"",'Measured Data'!AH21)</f>
        <v>0</v>
      </c>
      <c r="AH30" s="238">
        <f>IF(ISBLANK('Measured Data'!AI21),"",'Measured Data'!AI21)</f>
        <v>0</v>
      </c>
      <c r="AI30" s="238">
        <f>IF(ISBLANK('Measured Data'!AJ21),"",'Measured Data'!AJ21)</f>
        <v>0</v>
      </c>
      <c r="AJ30" s="238">
        <f>IF(ISBLANK('Measured Data'!AK21),"",'Measured Data'!AK21)</f>
        <v>0</v>
      </c>
      <c r="AK30" s="238">
        <f>IF(ISBLANK('Measured Data'!AL21),"",'Measured Data'!AL21)</f>
        <v>0</v>
      </c>
      <c r="AL30" s="238">
        <f>IF(ISBLANK('Measured Data'!AM21),"",'Measured Data'!AM21)</f>
        <v>0</v>
      </c>
      <c r="AM30" s="238">
        <f>IF(ISBLANK('Measured Data'!AN21),"",'Measured Data'!AN21)</f>
        <v>0</v>
      </c>
      <c r="AN30" s="238">
        <f>IF(ISBLANK('Measured Data'!AO21),"",'Measured Data'!AO21)</f>
        <v>0</v>
      </c>
      <c r="AO30" s="238">
        <f>IF(ISBLANK('Measured Data'!AP21),"",'Measured Data'!AP21)</f>
        <v>0</v>
      </c>
      <c r="AP30" s="238">
        <f>IF(ISBLANK('Measured Data'!AQ21),"",'Measured Data'!AQ21)</f>
        <v>0</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16.472300393676758</v>
      </c>
      <c r="EL30" s="243">
        <f>IF(ISBLANK('Post Process Calc.'!C30),"",'Post Process Calc.'!C30)</f>
        <v>3.965068573274054E-2</v>
      </c>
      <c r="EM30" s="243">
        <f>IF(ISBLANK('Post Process Calc.'!D30),"",'Post Process Calc.'!D30)</f>
        <v>-9.5554263032342351E-3</v>
      </c>
      <c r="EN30" s="243">
        <f>IF(ISBLANK('Post Process Calc.'!E30),"",'Post Process Calc.'!E30)</f>
        <v>8.4593502171075735E-4</v>
      </c>
      <c r="EO30" s="243">
        <f>IF(ISBLANK('Post Process Calc.'!F30),"",'Post Process Calc.'!F30)</f>
        <v>2.5850165627287693E-3</v>
      </c>
      <c r="EP30" s="243">
        <f>IF(ISBLANK('Post Process Calc.'!G30),"",'Post Process Calc.'!G30)</f>
        <v>9.9397617805387344E-4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16.160600526428222</v>
      </c>
      <c r="EL31" s="243">
        <f>IF(ISBLANK('Post Process Calc.'!C31),"",'Post Process Calc.'!C31)</f>
        <v>4.0834157794084711E-2</v>
      </c>
      <c r="EM31" s="243">
        <f>IF(ISBLANK('Post Process Calc.'!D31),"",'Post Process Calc.'!D31)</f>
        <v>-9.5881488510246547E-3</v>
      </c>
      <c r="EN31" s="243">
        <f>IF(ISBLANK('Post Process Calc.'!E31),"",'Post Process Calc.'!E31)</f>
        <v>1.1907830958138061E-3</v>
      </c>
      <c r="EO31" s="243">
        <f>IF(ISBLANK('Post Process Calc.'!F31),"",'Post Process Calc.'!F31)</f>
        <v>1.3854737489578247E-3</v>
      </c>
      <c r="EP31" s="243">
        <f>IF(ISBLANK('Post Process Calc.'!G31),"",'Post Process Calc.'!G31)</f>
        <v>9.9655499862548371E-4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15.808000428771972</v>
      </c>
      <c r="EL32" s="243">
        <f>IF(ISBLANK('Post Process Calc.'!C32),"",'Post Process Calc.'!C32)</f>
        <v>4.0299860323077877E-2</v>
      </c>
      <c r="EM32" s="243">
        <f>IF(ISBLANK('Post Process Calc.'!D32),"",'Post Process Calc.'!D32)</f>
        <v>-4.8115362171210971E-3</v>
      </c>
      <c r="EN32" s="243">
        <f>IF(ISBLANK('Post Process Calc.'!E32),"",'Post Process Calc.'!E32)</f>
        <v>1.2136623663437176E-3</v>
      </c>
      <c r="EO32" s="243">
        <f>IF(ISBLANK('Post Process Calc.'!F32),"",'Post Process Calc.'!F32)</f>
        <v>-7.6395077537742308E-4</v>
      </c>
      <c r="EP32" s="243">
        <f>IF(ISBLANK('Post Process Calc.'!G32),"",'Post Process Calc.'!G32)</f>
        <v>6.2375254335919551E-4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14.185200078582763</v>
      </c>
      <c r="EL33" s="243">
        <f>IF(ISBLANK('Post Process Calc.'!C33),"",'Post Process Calc.'!C33)</f>
        <v>4.0709785377592005E-2</v>
      </c>
      <c r="EM33" s="243">
        <f>IF(ISBLANK('Post Process Calc.'!D33),"",'Post Process Calc.'!D33)</f>
        <v>8.6841707018281908E-3</v>
      </c>
      <c r="EN33" s="243">
        <f>IF(ISBLANK('Post Process Calc.'!E33),"",'Post Process Calc.'!E33)</f>
        <v>1.0878421764874103E-3</v>
      </c>
      <c r="EO33" s="243">
        <f>IF(ISBLANK('Post Process Calc.'!F33),"",'Post Process Calc.'!F33)</f>
        <v>-4.5541134074237035E-3</v>
      </c>
      <c r="EP33" s="243">
        <f>IF(ISBLANK('Post Process Calc.'!G33),"",'Post Process Calc.'!G33)</f>
        <v>-3.2579216015671725E-4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12.884300096130371</v>
      </c>
      <c r="EL34" s="243">
        <f>IF(ISBLANK('Post Process Calc.'!C34),"",'Post Process Calc.'!C34)</f>
        <v>2.464650022126654E-4</v>
      </c>
      <c r="EM34" s="243">
        <f>IF(ISBLANK('Post Process Calc.'!D34),"",'Post Process Calc.'!D34)</f>
        <v>-4.9434825083795721E-4</v>
      </c>
      <c r="EN34" s="243">
        <f>IF(ISBLANK('Post Process Calc.'!E34),"",'Post Process Calc.'!E34)</f>
        <v>-5.863880389989899E-3</v>
      </c>
      <c r="EO34" s="243">
        <f>IF(ISBLANK('Post Process Calc.'!F34),"",'Post Process Calc.'!F34)</f>
        <v>3.5504462674739584E-3</v>
      </c>
      <c r="EP34" s="243">
        <f>IF(ISBLANK('Post Process Calc.'!G34),"",'Post Process Calc.'!G34)</f>
        <v>7.7439436707646076E-3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2022-07-19T17:09:29Z</dcterms:modified>
</cp:coreProperties>
</file>