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3"/>
  <workbookPr/>
  <mc:AlternateContent xmlns:mc="http://schemas.openxmlformats.org/markup-compatibility/2006">
    <mc:Choice Requires="x15">
      <x15ac:absPath xmlns:x15ac="http://schemas.microsoft.com/office/spreadsheetml/2010/11/ac" url="/Users/galileo/development/Reserch/UMN_Research/CCDA/TL_project_analysis/CL/input_files/"/>
    </mc:Choice>
  </mc:AlternateContent>
  <xr:revisionPtr revIDLastSave="0" documentId="13_ncr:1_{36BFDA23-5DE6-6C4F-9C14-7198BC23B34C}" xr6:coauthVersionLast="47" xr6:coauthVersionMax="47" xr10:uidLastSave="{00000000-0000-0000-0000-000000000000}"/>
  <bookViews>
    <workbookView xWindow="0" yWindow="500" windowWidth="28800" windowHeight="16240" tabRatio="874"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5" i="1506" l="1"/>
  <c r="AG15" i="1506" a="1"/>
  <c r="AG15" i="1506" s="1"/>
  <c r="AH15" i="1506" a="1"/>
  <c r="AH15" i="1506" s="1"/>
  <c r="AI15" i="1506" a="1"/>
  <c r="AI15" i="1506" s="1"/>
  <c r="AJ15" i="1506" a="1"/>
  <c r="AJ15" i="1506" s="1"/>
  <c r="AK15" i="1506" a="1"/>
  <c r="AK15" i="1506" s="1"/>
  <c r="AL15" i="1506" a="1"/>
  <c r="AL15" i="1506" s="1"/>
  <c r="AM15" i="1506" a="1"/>
  <c r="AM15" i="1506" s="1"/>
  <c r="AN15" i="1506" a="1"/>
  <c r="AN15" i="1506" s="1"/>
  <c r="AO15" i="1506" a="1"/>
  <c r="AO15" i="1506" s="1"/>
  <c r="AP15" i="1506" a="1"/>
  <c r="AP15" i="1506" s="1"/>
  <c r="AQ15" i="1506" a="1"/>
  <c r="AQ15" i="1506" s="1"/>
  <c r="AR15" i="1506" a="1"/>
  <c r="AR15" i="1506" s="1"/>
  <c r="AS15" i="1506" a="1"/>
  <c r="AS15" i="1506" s="1"/>
  <c r="AT15" i="1506" a="1"/>
  <c r="AT15" i="1506" s="1"/>
  <c r="AU15" i="1506" a="1"/>
  <c r="AU15" i="1506" s="1"/>
  <c r="AV15" i="1506" a="1"/>
  <c r="AV15" i="1506" s="1"/>
  <c r="AW15" i="1506" a="1"/>
  <c r="AW15" i="1506" s="1"/>
  <c r="AX15" i="1506" a="1"/>
  <c r="AX15" i="1506" s="1"/>
  <c r="AY15" i="1506" a="1"/>
  <c r="AY15" i="1506" s="1"/>
  <c r="AZ15" i="1506" a="1"/>
  <c r="AZ15" i="1506" s="1"/>
  <c r="BA15" i="1506" a="1"/>
  <c r="BA15" i="1506" s="1"/>
  <c r="BB15" i="1506" a="1"/>
  <c r="BB15" i="1506" s="1"/>
  <c r="BC15" i="1506" a="1"/>
  <c r="BC15" i="1506" s="1"/>
  <c r="BD15" i="1506" a="1"/>
  <c r="BD15" i="1506" s="1"/>
  <c r="BE15" i="1506" a="1"/>
  <c r="BE15" i="1506" s="1"/>
  <c r="BF15" i="1506" a="1"/>
  <c r="BF15" i="1506" s="1"/>
  <c r="BG15" i="1506" a="1"/>
  <c r="BG15" i="1506" s="1"/>
  <c r="BH15" i="1506" a="1"/>
  <c r="BH15" i="1506" s="1"/>
  <c r="BI15" i="1506" a="1"/>
  <c r="BI15" i="1506" s="1"/>
  <c r="BJ15" i="1506" a="1"/>
  <c r="BJ15" i="1506" s="1"/>
  <c r="BK15" i="1506" a="1"/>
  <c r="BK15" i="1506" s="1"/>
  <c r="BL15" i="1506" a="1"/>
  <c r="BL15" i="1506" s="1"/>
  <c r="BM15" i="1506" a="1"/>
  <c r="BM15" i="1506" s="1"/>
  <c r="BN15" i="1506" a="1"/>
  <c r="BN15" i="1506" s="1"/>
  <c r="BO15" i="1506" a="1"/>
  <c r="BO15" i="1506" s="1"/>
  <c r="BP15" i="1506" a="1"/>
  <c r="BP15" i="1506" s="1"/>
  <c r="BQ15" i="1506" a="1"/>
  <c r="BQ15" i="1506" s="1"/>
  <c r="BR15" i="1506" a="1"/>
  <c r="BR15" i="1506" s="1"/>
  <c r="BS15" i="1506" a="1"/>
  <c r="BS15" i="1506" s="1"/>
  <c r="BT15" i="1506" a="1"/>
  <c r="BT15" i="1506" s="1"/>
  <c r="BU15" i="1506" a="1"/>
  <c r="BU15" i="1506" s="1"/>
  <c r="BV15" i="1506" a="1"/>
  <c r="BV15" i="1506" s="1"/>
  <c r="BW15" i="1506" a="1"/>
  <c r="BW15" i="1506" s="1"/>
  <c r="BX15" i="1506" a="1"/>
  <c r="BX15" i="1506" s="1"/>
  <c r="BY15" i="1506" a="1"/>
  <c r="BY15" i="1506" s="1"/>
  <c r="BZ15" i="1506" a="1"/>
  <c r="BZ15" i="1506" s="1"/>
  <c r="CA15" i="1506" a="1"/>
  <c r="CA15" i="1506" s="1"/>
  <c r="CB15" i="1506" a="1"/>
  <c r="CB15" i="1506" s="1"/>
  <c r="CC15" i="1506" a="1"/>
  <c r="CC15" i="1506" s="1"/>
  <c r="CD15" i="1506" a="1"/>
  <c r="CD15" i="1506" s="1"/>
  <c r="CE15" i="1506" a="1"/>
  <c r="CE15" i="1506" s="1"/>
  <c r="CF15" i="1506" a="1"/>
  <c r="CF15" i="1506" s="1"/>
  <c r="CG15" i="1506" a="1"/>
  <c r="CG15" i="1506" s="1"/>
  <c r="CH15" i="1506" a="1"/>
  <c r="CH15" i="1506" s="1"/>
  <c r="CI15" i="1506" a="1"/>
  <c r="CI15" i="1506" s="1"/>
  <c r="CJ15" i="1506" a="1"/>
  <c r="CJ15" i="1506" s="1"/>
  <c r="CK15" i="1506" a="1"/>
  <c r="CK15" i="1506" s="1"/>
  <c r="CL15" i="1506" a="1"/>
  <c r="CL15" i="1506" s="1"/>
  <c r="CM15" i="1506" a="1"/>
  <c r="CM15" i="1506" s="1"/>
  <c r="CN15" i="1506" a="1"/>
  <c r="CN15" i="1506" s="1"/>
  <c r="CO15" i="1506" a="1"/>
  <c r="CO15" i="1506" s="1"/>
  <c r="CP15" i="1506" a="1"/>
  <c r="CP15" i="1506" s="1"/>
  <c r="CQ15" i="1506" a="1"/>
  <c r="CQ15" i="1506" s="1"/>
  <c r="CR15" i="1506" a="1"/>
  <c r="CR15" i="1506" s="1"/>
  <c r="CS15" i="1506" a="1"/>
  <c r="CS15" i="1506" s="1"/>
  <c r="CT15" i="1506" a="1"/>
  <c r="CT15" i="1506" s="1"/>
  <c r="CU15" i="1506" a="1"/>
  <c r="CU15" i="1506" s="1"/>
  <c r="AD14" i="1506"/>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s="1"/>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s="1"/>
  <c r="BK14" i="1506" a="1"/>
  <c r="BK14" i="1506" s="1"/>
  <c r="BL14" i="1506" a="1"/>
  <c r="BL14" i="1506" s="1"/>
  <c r="BM14" i="1506" a="1"/>
  <c r="BM14" i="1506" s="1"/>
  <c r="BN14" i="1506" a="1"/>
  <c r="BN14" i="1506" s="1"/>
  <c r="BO14" i="1506" a="1"/>
  <c r="BO14" i="1506" s="1"/>
  <c r="BP14" i="1506" a="1"/>
  <c r="BP14" i="1506" s="1"/>
  <c r="BQ14" i="1506" a="1"/>
  <c r="BQ14" i="1506" s="1"/>
  <c r="BR14" i="1506" a="1"/>
  <c r="BR14" i="1506" s="1"/>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s="1"/>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s="1"/>
  <c r="CQ14" i="1506" a="1"/>
  <c r="CQ14" i="1506" s="1"/>
  <c r="CR14" i="1506" a="1"/>
  <c r="CR14" i="1506" s="1"/>
  <c r="CS14" i="1506" a="1"/>
  <c r="CS14" i="1506" s="1"/>
  <c r="CT14" i="1506" a="1"/>
  <c r="CT14" i="1506" s="1"/>
  <c r="CU14" i="1506" a="1"/>
  <c r="CU14" i="1506" s="1"/>
  <c r="A16" i="1495" l="1"/>
  <c r="A17" i="1495"/>
  <c r="E15" i="1504"/>
  <c r="F15" i="1504"/>
  <c r="H15" i="1504"/>
  <c r="I15" i="1504"/>
  <c r="L15" i="1504"/>
  <c r="M15" i="1504"/>
  <c r="N15" i="1504"/>
  <c r="O15" i="1504"/>
  <c r="P15" i="1504"/>
  <c r="AH15" i="1504"/>
  <c r="AK15" i="1504" a="1"/>
  <c r="AK15" i="1504" s="1"/>
  <c r="AL15" i="1504" a="1"/>
  <c r="AL15" i="1504" s="1"/>
  <c r="AM15" i="1504" a="1"/>
  <c r="AM15" i="1504" s="1"/>
  <c r="AN15" i="1504" a="1"/>
  <c r="AN15" i="1504" s="1"/>
  <c r="AO15" i="1504" a="1"/>
  <c r="AO15" i="1504" s="1"/>
  <c r="AP15" i="1504" a="1"/>
  <c r="AP15" i="1504" s="1"/>
  <c r="AQ15" i="1504" a="1"/>
  <c r="AQ15" i="1504" s="1"/>
  <c r="AR15" i="1504" a="1"/>
  <c r="AR15" i="1504" s="1"/>
  <c r="AS15" i="1504" a="1"/>
  <c r="AS15" i="1504" s="1"/>
  <c r="AT15" i="1504" a="1"/>
  <c r="AT15" i="1504" s="1"/>
  <c r="AU15" i="1504" a="1"/>
  <c r="AU15" i="1504" s="1"/>
  <c r="AV15" i="1504" a="1"/>
  <c r="AV15" i="1504" s="1"/>
  <c r="AW15" i="1504" a="1"/>
  <c r="AW15" i="1504" s="1"/>
  <c r="AX15" i="1504" a="1"/>
  <c r="AX15" i="1504" s="1"/>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s="1"/>
  <c r="BY15" i="1504" a="1"/>
  <c r="BY15" i="1504" s="1"/>
  <c r="BZ15" i="1504" a="1"/>
  <c r="BZ15" i="1504" s="1"/>
  <c r="CA15" i="1504" a="1"/>
  <c r="CA15" i="1504" s="1"/>
  <c r="CB15" i="1504" a="1"/>
  <c r="CB15" i="1504" s="1"/>
  <c r="CC15" i="1504" a="1"/>
  <c r="CC15" i="1504" s="1"/>
  <c r="CD15" i="1504" a="1"/>
  <c r="CD15" i="1504" s="1"/>
  <c r="CE15" i="1504" a="1"/>
  <c r="CE15" i="1504" s="1"/>
  <c r="CF15" i="1504" a="1"/>
  <c r="CF15" i="1504" s="1"/>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E16" i="1504"/>
  <c r="F16" i="1504"/>
  <c r="H16" i="1504"/>
  <c r="I16" i="1504"/>
  <c r="L16" i="1504"/>
  <c r="M16" i="1504"/>
  <c r="N16" i="1504"/>
  <c r="O16" i="1504"/>
  <c r="P16" i="1504"/>
  <c r="AH16" i="1504"/>
  <c r="AK16" i="1504" a="1"/>
  <c r="AK16" i="1504" s="1"/>
  <c r="AL16" i="1504" a="1"/>
  <c r="AL16" i="1504" s="1"/>
  <c r="AM16" i="1504" a="1"/>
  <c r="AM16" i="1504" s="1"/>
  <c r="AN16" i="1504" a="1"/>
  <c r="AN16" i="1504" s="1"/>
  <c r="AO16" i="1504" a="1"/>
  <c r="AO16" i="1504" s="1"/>
  <c r="AP16" i="1504" a="1"/>
  <c r="AP16" i="1504" s="1"/>
  <c r="AQ16" i="1504" a="1"/>
  <c r="AQ16" i="1504" s="1"/>
  <c r="AR16" i="1504" a="1"/>
  <c r="AR16" i="1504" s="1"/>
  <c r="AS16" i="1504" a="1"/>
  <c r="AS16" i="1504" s="1"/>
  <c r="AT16" i="1504" a="1"/>
  <c r="AT16" i="1504" s="1"/>
  <c r="AU16" i="1504" a="1"/>
  <c r="AU16" i="1504" s="1"/>
  <c r="AV16" i="1504" a="1"/>
  <c r="AV16" i="1504" s="1"/>
  <c r="AW16" i="1504" a="1"/>
  <c r="AW16" i="1504" s="1"/>
  <c r="AX16" i="1504" a="1"/>
  <c r="AX16" i="1504" s="1"/>
  <c r="AY16" i="1504" a="1"/>
  <c r="AY16" i="1504" s="1"/>
  <c r="AZ16" i="1504" a="1"/>
  <c r="AZ16" i="1504" s="1"/>
  <c r="BA16" i="1504" a="1"/>
  <c r="BA16" i="1504" s="1"/>
  <c r="BB16" i="1504" a="1"/>
  <c r="BB16" i="1504" s="1"/>
  <c r="BC16" i="1504" a="1"/>
  <c r="BC16" i="1504" s="1"/>
  <c r="BD16" i="1504" a="1"/>
  <c r="BD16" i="1504" s="1"/>
  <c r="BE16" i="1504" a="1"/>
  <c r="BE16" i="1504" s="1"/>
  <c r="BF16" i="1504" a="1"/>
  <c r="BF16" i="1504" s="1"/>
  <c r="BG16" i="1504" a="1"/>
  <c r="BG16" i="1504" s="1"/>
  <c r="BH16" i="1504" a="1"/>
  <c r="BH16" i="1504" s="1"/>
  <c r="BI16" i="1504" a="1"/>
  <c r="BI16" i="1504" s="1"/>
  <c r="BJ16" i="1504" a="1"/>
  <c r="BJ16" i="1504" s="1"/>
  <c r="BK16" i="1504" a="1"/>
  <c r="BK16" i="1504" s="1"/>
  <c r="BL16" i="1504" a="1"/>
  <c r="BL16" i="1504" s="1"/>
  <c r="BM16" i="1504" a="1"/>
  <c r="BM16" i="1504" s="1"/>
  <c r="BN16" i="1504" a="1"/>
  <c r="BN16" i="1504" s="1"/>
  <c r="BO16" i="1504" a="1"/>
  <c r="BO16" i="1504" s="1"/>
  <c r="BP16" i="1504" a="1"/>
  <c r="BP16" i="1504" s="1"/>
  <c r="BQ16" i="1504" a="1"/>
  <c r="BQ16" i="1504" s="1"/>
  <c r="BR16" i="1504" a="1"/>
  <c r="BR16" i="1504" s="1"/>
  <c r="BS16" i="1504" a="1"/>
  <c r="BS16" i="1504" s="1"/>
  <c r="BT16" i="1504" a="1"/>
  <c r="BT16" i="1504" s="1"/>
  <c r="BU16" i="1504" a="1"/>
  <c r="BU16" i="1504" s="1"/>
  <c r="BV16" i="1504" a="1"/>
  <c r="BV16" i="1504" s="1"/>
  <c r="BW16" i="1504" a="1"/>
  <c r="BW16" i="1504" s="1"/>
  <c r="BX16" i="1504" a="1"/>
  <c r="BX16" i="1504" s="1"/>
  <c r="BY16" i="1504" a="1"/>
  <c r="BY16" i="1504" s="1"/>
  <c r="BZ16" i="1504" a="1"/>
  <c r="BZ16" i="1504" s="1"/>
  <c r="CA16" i="1504" a="1"/>
  <c r="CA16" i="1504" s="1"/>
  <c r="CB16" i="1504" a="1"/>
  <c r="CB16" i="1504" s="1"/>
  <c r="CC16" i="1504" a="1"/>
  <c r="CC16" i="1504" s="1"/>
  <c r="CD16" i="1504" a="1"/>
  <c r="CD16" i="1504" s="1"/>
  <c r="CE16" i="1504" a="1"/>
  <c r="CE16" i="1504" s="1"/>
  <c r="CF16" i="1504" a="1"/>
  <c r="CF16" i="1504" s="1"/>
  <c r="CG16" i="1504" a="1"/>
  <c r="CG16" i="1504" s="1"/>
  <c r="CH16" i="1504" a="1"/>
  <c r="CH16" i="1504" s="1"/>
  <c r="CI16" i="1504" a="1"/>
  <c r="CI16" i="1504" s="1"/>
  <c r="CJ16" i="1504" a="1"/>
  <c r="CJ16" i="1504" s="1"/>
  <c r="CK16" i="1504" a="1"/>
  <c r="CK16" i="1504" s="1"/>
  <c r="CL16" i="1504" a="1"/>
  <c r="CL16" i="1504" s="1"/>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s="1"/>
  <c r="K15" i="1506" l="1"/>
  <c r="I15" i="1506"/>
  <c r="H15" i="1506"/>
  <c r="J15" i="1506"/>
  <c r="L15" i="1506"/>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8" i="1495" l="1"/>
  <c r="E4" i="7"/>
  <c r="E5" i="7"/>
  <c r="B5" i="1495" s="1"/>
  <c r="E6" i="7"/>
  <c r="B6" i="1495" s="1"/>
  <c r="E7" i="7"/>
  <c r="B7" i="1495" s="1"/>
  <c r="E8" i="7"/>
  <c r="E9" i="7"/>
  <c r="B9" i="1495" s="1"/>
  <c r="E10" i="7"/>
  <c r="B10" i="1495" s="1"/>
  <c r="E11" i="7"/>
  <c r="B11" i="1495" s="1"/>
  <c r="E12" i="7"/>
  <c r="B12" i="1495" s="1"/>
  <c r="E13" i="7"/>
  <c r="B13" i="1495" s="1"/>
  <c r="E14" i="7"/>
  <c r="B14" i="1495" s="1"/>
  <c r="E15" i="7"/>
  <c r="B15" i="1495" s="1"/>
  <c r="E16" i="7"/>
  <c r="E17" i="7"/>
  <c r="E3" i="7"/>
  <c r="B3" i="1495" s="1"/>
  <c r="J4" i="7"/>
  <c r="B21" i="1495" s="1"/>
  <c r="J5" i="7"/>
  <c r="J6" i="7"/>
  <c r="J7" i="7"/>
  <c r="B24" i="1495" s="1"/>
  <c r="J8" i="7"/>
  <c r="B25" i="1495" s="1"/>
  <c r="J9" i="7"/>
  <c r="B26" i="1495" s="1"/>
  <c r="J10" i="7"/>
  <c r="B27" i="1495" s="1"/>
  <c r="J11" i="7"/>
  <c r="B28" i="1495" s="1"/>
  <c r="J12" i="7"/>
  <c r="B29" i="1495" s="1"/>
  <c r="J13" i="7"/>
  <c r="B30" i="1495" s="1"/>
  <c r="J14" i="7"/>
  <c r="B31" i="1495" s="1"/>
  <c r="J15" i="7"/>
  <c r="B32" i="1495" s="1"/>
  <c r="J16" i="7"/>
  <c r="B33" i="1495" s="1"/>
  <c r="J17" i="7"/>
  <c r="B34" i="1495" s="1"/>
  <c r="J3" i="7"/>
  <c r="B17" i="1495" l="1"/>
  <c r="B4" i="1495"/>
  <c r="B16" i="1495"/>
  <c r="B20" i="1495"/>
  <c r="B23" i="1495"/>
  <c r="B22" i="1495"/>
  <c r="C15" i="1502"/>
  <c r="F15" i="1502"/>
  <c r="C16" i="1502"/>
  <c r="F16" i="1502"/>
  <c r="E16" i="1502" s="1"/>
  <c r="D16" i="1502" s="1"/>
  <c r="E15" i="1502" l="1"/>
  <c r="D15" i="1502" s="1"/>
  <c r="J20" i="2"/>
  <c r="I20" i="2" s="1"/>
  <c r="J21" i="2"/>
  <c r="I21" i="2" s="1"/>
  <c r="G16" i="7"/>
  <c r="G17" i="7"/>
  <c r="H16" i="7"/>
  <c r="H17" i="7"/>
  <c r="F16" i="7"/>
  <c r="F17" i="7"/>
  <c r="C16" i="7"/>
  <c r="C17" i="7"/>
  <c r="B16" i="7"/>
  <c r="B17"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A271" i="1503"/>
  <c r="Y271" i="1503"/>
  <c r="W271" i="1503"/>
  <c r="X271" i="1503" s="1"/>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W269" i="1503"/>
  <c r="X269" i="1503" s="1"/>
  <c r="S269" i="1503"/>
  <c r="R269" i="1503" s="1"/>
  <c r="P269" i="1503"/>
  <c r="AC269" i="1503" s="1"/>
  <c r="N269" i="1503"/>
  <c r="M269" i="1503"/>
  <c r="H269" i="1503"/>
  <c r="E269" i="1503"/>
  <c r="AJ268" i="1503"/>
  <c r="AB268" i="1503"/>
  <c r="AA268" i="1503"/>
  <c r="Y268" i="1503"/>
  <c r="W268" i="1503"/>
  <c r="X268" i="1503" s="1"/>
  <c r="S268" i="1503"/>
  <c r="R268" i="1503" s="1"/>
  <c r="P268" i="1503"/>
  <c r="AC268" i="1503" s="1"/>
  <c r="N268" i="1503"/>
  <c r="M268" i="1503"/>
  <c r="H268" i="1503"/>
  <c r="E268" i="1503"/>
  <c r="AB267" i="1503"/>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A263" i="1503"/>
  <c r="Y263" i="1503"/>
  <c r="W263" i="1503"/>
  <c r="X263" i="1503" s="1"/>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AJ258" i="1503" s="1"/>
  <c r="Y258" i="1503"/>
  <c r="W258" i="1503"/>
  <c r="S258" i="1503"/>
  <c r="N258" i="1503"/>
  <c r="M258" i="1503"/>
  <c r="H258" i="1503"/>
  <c r="E258" i="1503"/>
  <c r="Y257" i="1503"/>
  <c r="S257" i="1503"/>
  <c r="N257" i="1503"/>
  <c r="M257" i="1503"/>
  <c r="E257" i="1503"/>
  <c r="BI256" i="1503"/>
  <c r="BH256" i="1503"/>
  <c r="AB256" i="1503"/>
  <c r="AA256" i="1503"/>
  <c r="Y256" i="1503"/>
  <c r="W256" i="1503"/>
  <c r="X256" i="1503" s="1"/>
  <c r="S256" i="1503"/>
  <c r="R256" i="1503" s="1"/>
  <c r="P256" i="1503"/>
  <c r="AC256" i="1503" s="1"/>
  <c r="N256" i="1503"/>
  <c r="M256" i="1503"/>
  <c r="H256" i="1503"/>
  <c r="E256" i="1503"/>
  <c r="AC255" i="1503"/>
  <c r="AB255" i="1503"/>
  <c r="AA255" i="1503"/>
  <c r="Y255" i="1503"/>
  <c r="W255" i="1503"/>
  <c r="X255" i="1503" s="1"/>
  <c r="S255" i="1503"/>
  <c r="R255" i="1503" s="1"/>
  <c r="P255" i="1503"/>
  <c r="N255" i="1503"/>
  <c r="M255" i="1503"/>
  <c r="H255" i="1503"/>
  <c r="E255" i="1503"/>
  <c r="AC254" i="1503"/>
  <c r="AB254" i="1503"/>
  <c r="AA254" i="1503"/>
  <c r="Y254" i="1503"/>
  <c r="X254" i="1503"/>
  <c r="W254" i="1503"/>
  <c r="S254" i="1503"/>
  <c r="R254" i="1503" s="1"/>
  <c r="P254" i="1503"/>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A250" i="1503"/>
  <c r="Y250" i="1503"/>
  <c r="W250" i="1503"/>
  <c r="X250" i="1503" s="1"/>
  <c r="S250" i="1503"/>
  <c r="R250" i="1503" s="1"/>
  <c r="P250" i="1503"/>
  <c r="AC250" i="1503" s="1"/>
  <c r="N250" i="1503"/>
  <c r="M250" i="1503"/>
  <c r="H250" i="1503"/>
  <c r="E250" i="1503"/>
  <c r="AB249" i="1503"/>
  <c r="AJ249" i="1503" s="1"/>
  <c r="AA249" i="1503"/>
  <c r="Y249" i="1503"/>
  <c r="W249" i="1503"/>
  <c r="X249" i="1503" s="1"/>
  <c r="S249" i="1503"/>
  <c r="R249" i="1503" s="1"/>
  <c r="P249" i="1503"/>
  <c r="N249" i="1503"/>
  <c r="M249" i="1503"/>
  <c r="H249" i="1503"/>
  <c r="E249" i="1503"/>
  <c r="AB248" i="1503"/>
  <c r="AA248" i="1503"/>
  <c r="Y248" i="1503"/>
  <c r="W248" i="1503"/>
  <c r="X248" i="1503" s="1"/>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J240" i="1503" s="1"/>
  <c r="AA240" i="1503"/>
  <c r="Y240" i="1503"/>
  <c r="W240" i="1503"/>
  <c r="X240" i="1503" s="1"/>
  <c r="S240" i="1503"/>
  <c r="R240" i="1503" s="1"/>
  <c r="P240" i="1503"/>
  <c r="T181" i="1503" s="1"/>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s="1"/>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A236" i="1503"/>
  <c r="Y236" i="1503"/>
  <c r="W236" i="1503"/>
  <c r="S236" i="1503"/>
  <c r="R236" i="1503" s="1"/>
  <c r="P236" i="1503"/>
  <c r="AC236" i="1503" s="1"/>
  <c r="N236" i="1503"/>
  <c r="M236" i="1503"/>
  <c r="H236" i="1503"/>
  <c r="E236" i="1503"/>
  <c r="AB235" i="1503"/>
  <c r="AA235" i="1503"/>
  <c r="Y235" i="1503"/>
  <c r="W235" i="1503"/>
  <c r="X235" i="1503" s="1"/>
  <c r="S235" i="1503"/>
  <c r="R235" i="1503" s="1"/>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A230" i="1503"/>
  <c r="Y230" i="1503"/>
  <c r="W230" i="1503"/>
  <c r="S230" i="1503"/>
  <c r="N230" i="1503"/>
  <c r="M230" i="1503"/>
  <c r="H230" i="1503"/>
  <c r="E230" i="1503"/>
  <c r="AB229" i="1503"/>
  <c r="AA229" i="1503"/>
  <c r="Y229" i="1503"/>
  <c r="W229" i="1503"/>
  <c r="S229" i="1503"/>
  <c r="N229" i="1503"/>
  <c r="M229" i="1503"/>
  <c r="H229" i="1503"/>
  <c r="E229" i="1503"/>
  <c r="AB228" i="1503"/>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A225" i="1503"/>
  <c r="Y225" i="1503"/>
  <c r="W225" i="1503"/>
  <c r="S225" i="1503"/>
  <c r="Q225" i="1503"/>
  <c r="N225" i="1503"/>
  <c r="M225" i="1503"/>
  <c r="H225" i="1503"/>
  <c r="E225" i="1503"/>
  <c r="AC224" i="1503"/>
  <c r="AB224" i="1503"/>
  <c r="AJ224" i="1503" s="1"/>
  <c r="AA224" i="1503"/>
  <c r="Y224" i="1503"/>
  <c r="W224" i="1503"/>
  <c r="S224" i="1503"/>
  <c r="R224" i="1503" s="1"/>
  <c r="Q224" i="1503"/>
  <c r="N224" i="1503"/>
  <c r="M224" i="1503"/>
  <c r="H224" i="1503"/>
  <c r="E224" i="1503"/>
  <c r="AC223" i="1503"/>
  <c r="AB223" i="1503"/>
  <c r="AA223" i="1503"/>
  <c r="Y223" i="1503"/>
  <c r="W223" i="1503"/>
  <c r="S223" i="1503"/>
  <c r="Q223" i="1503"/>
  <c r="N223" i="1503"/>
  <c r="M223" i="1503"/>
  <c r="H223" i="1503"/>
  <c r="E223" i="1503"/>
  <c r="AC222" i="1503"/>
  <c r="AB222" i="1503"/>
  <c r="AA222" i="1503"/>
  <c r="AJ222" i="1503" s="1"/>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Y220" i="1503"/>
  <c r="W220" i="1503"/>
  <c r="S220" i="1503"/>
  <c r="Q220" i="1503"/>
  <c r="N220" i="1503"/>
  <c r="M220" i="1503"/>
  <c r="H220" i="1503"/>
  <c r="E220" i="1503"/>
  <c r="AB219" i="1503"/>
  <c r="AA219" i="1503"/>
  <c r="Y219" i="1503"/>
  <c r="W219" i="1503"/>
  <c r="S219" i="1503"/>
  <c r="Q219" i="1503"/>
  <c r="R219" i="1503" s="1"/>
  <c r="N219" i="1503"/>
  <c r="M219" i="1503"/>
  <c r="H219" i="1503"/>
  <c r="E219" i="1503"/>
  <c r="AB218" i="1503"/>
  <c r="AA218" i="1503"/>
  <c r="Y218" i="1503"/>
  <c r="W218" i="1503"/>
  <c r="S218" i="1503"/>
  <c r="Q218" i="1503"/>
  <c r="N218" i="1503"/>
  <c r="M218" i="1503"/>
  <c r="H218" i="1503"/>
  <c r="E218" i="1503"/>
  <c r="AB217" i="1503"/>
  <c r="AA217" i="1503"/>
  <c r="Y217" i="1503"/>
  <c r="W217" i="1503"/>
  <c r="S217" i="1503"/>
  <c r="Q217" i="1503"/>
  <c r="R217" i="1503" s="1"/>
  <c r="N217" i="1503"/>
  <c r="M217" i="1503"/>
  <c r="H217" i="1503"/>
  <c r="E217" i="1503"/>
  <c r="AB216" i="1503"/>
  <c r="AA216" i="1503"/>
  <c r="Y216" i="1503"/>
  <c r="W216" i="1503"/>
  <c r="S216" i="1503"/>
  <c r="Q216" i="1503"/>
  <c r="R216" i="1503" s="1"/>
  <c r="N216" i="1503"/>
  <c r="M216" i="1503"/>
  <c r="H216" i="1503"/>
  <c r="E216" i="1503"/>
  <c r="AB215" i="1503"/>
  <c r="AJ215" i="1503" s="1"/>
  <c r="AA215" i="1503"/>
  <c r="Y215" i="1503"/>
  <c r="W215" i="1503"/>
  <c r="S215" i="1503"/>
  <c r="R215" i="1503" s="1"/>
  <c r="Q215" i="1503"/>
  <c r="N215" i="1503"/>
  <c r="M215" i="1503"/>
  <c r="H215" i="1503"/>
  <c r="E215" i="1503"/>
  <c r="AB214" i="1503"/>
  <c r="AA214" i="1503"/>
  <c r="Y214" i="1503"/>
  <c r="W214" i="1503"/>
  <c r="S214" i="1503"/>
  <c r="Q214" i="1503"/>
  <c r="R214" i="1503" s="1"/>
  <c r="N214" i="1503"/>
  <c r="M214" i="1503"/>
  <c r="H214" i="1503"/>
  <c r="E214" i="1503"/>
  <c r="AB213" i="1503"/>
  <c r="AA213" i="1503"/>
  <c r="AJ213" i="1503" s="1"/>
  <c r="Y213" i="1503"/>
  <c r="W213" i="1503"/>
  <c r="S213" i="1503"/>
  <c r="Q213" i="1503"/>
  <c r="R213" i="1503" s="1"/>
  <c r="N213" i="1503"/>
  <c r="M213" i="1503"/>
  <c r="H213" i="1503"/>
  <c r="E213" i="1503"/>
  <c r="Y212" i="1503"/>
  <c r="S212" i="1503"/>
  <c r="Q212" i="1503"/>
  <c r="R212" i="1503" s="1"/>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J206" i="1503"/>
  <c r="AC206" i="1503"/>
  <c r="AB206" i="1503"/>
  <c r="AA206" i="1503"/>
  <c r="Y206" i="1503"/>
  <c r="W206" i="1503"/>
  <c r="S206" i="1503"/>
  <c r="R206" i="1503"/>
  <c r="Q206" i="1503"/>
  <c r="N206" i="1503"/>
  <c r="M206" i="1503"/>
  <c r="H206" i="1503"/>
  <c r="E206" i="1503"/>
  <c r="AC205" i="1503"/>
  <c r="AB205" i="1503"/>
  <c r="AJ205" i="1503" s="1"/>
  <c r="AA205" i="1503"/>
  <c r="Y205" i="1503"/>
  <c r="W205" i="1503"/>
  <c r="S205" i="1503"/>
  <c r="Q205" i="1503"/>
  <c r="R205" i="1503" s="1"/>
  <c r="N205" i="1503"/>
  <c r="M205" i="1503"/>
  <c r="H205" i="1503"/>
  <c r="E205" i="1503"/>
  <c r="AB204" i="1503"/>
  <c r="AJ204" i="1503" s="1"/>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AJ202" i="1503" s="1"/>
  <c r="Y202" i="1503"/>
  <c r="W202" i="1503"/>
  <c r="S202" i="1503"/>
  <c r="Q202" i="1503"/>
  <c r="N202" i="1503"/>
  <c r="M202" i="1503"/>
  <c r="H202" i="1503"/>
  <c r="E202" i="1503"/>
  <c r="AB201" i="1503"/>
  <c r="AA201" i="1503"/>
  <c r="Y201" i="1503"/>
  <c r="W201" i="1503"/>
  <c r="S201" i="1503"/>
  <c r="Q201" i="1503"/>
  <c r="R201" i="1503" s="1"/>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Y198" i="1503"/>
  <c r="W198" i="1503"/>
  <c r="S198" i="1503"/>
  <c r="Q198" i="1503"/>
  <c r="N198" i="1503"/>
  <c r="M198" i="1503"/>
  <c r="H198" i="1503"/>
  <c r="E198" i="1503"/>
  <c r="Y197" i="1503"/>
  <c r="S197" i="1503"/>
  <c r="Q197" i="1503"/>
  <c r="N197" i="1503"/>
  <c r="M197" i="1503"/>
  <c r="E197" i="1503"/>
  <c r="BI196" i="1503"/>
  <c r="BH196" i="1503"/>
  <c r="AC196" i="1503"/>
  <c r="AB196" i="1503"/>
  <c r="AJ196" i="1503" s="1"/>
  <c r="AA196" i="1503"/>
  <c r="Y196" i="1503"/>
  <c r="W196" i="1503"/>
  <c r="S196" i="1503"/>
  <c r="Q196" i="1503"/>
  <c r="R196" i="1503" s="1"/>
  <c r="N196" i="1503"/>
  <c r="M196" i="1503"/>
  <c r="H196" i="1503"/>
  <c r="E196" i="1503"/>
  <c r="AC195" i="1503"/>
  <c r="AB195" i="1503"/>
  <c r="AA195" i="1503"/>
  <c r="Y195" i="1503"/>
  <c r="W195" i="1503"/>
  <c r="S195" i="1503"/>
  <c r="Q195" i="1503"/>
  <c r="R195" i="1503" s="1"/>
  <c r="N195" i="1503"/>
  <c r="M195" i="1503"/>
  <c r="H195" i="1503"/>
  <c r="E195" i="1503"/>
  <c r="AC194" i="1503"/>
  <c r="AB194" i="1503"/>
  <c r="AJ194" i="1503" s="1"/>
  <c r="AA194" i="1503"/>
  <c r="Y194" i="1503"/>
  <c r="W194" i="1503"/>
  <c r="S194" i="1503"/>
  <c r="Q194" i="1503"/>
  <c r="N194" i="1503"/>
  <c r="M194" i="1503"/>
  <c r="H194" i="1503"/>
  <c r="E194" i="1503"/>
  <c r="AC193" i="1503"/>
  <c r="AB193" i="1503"/>
  <c r="AJ193" i="1503" s="1"/>
  <c r="AA193" i="1503"/>
  <c r="Y193" i="1503"/>
  <c r="W193" i="1503"/>
  <c r="S193" i="1503"/>
  <c r="Q193" i="1503"/>
  <c r="R193" i="1503" s="1"/>
  <c r="N193" i="1503"/>
  <c r="M193" i="1503"/>
  <c r="H193" i="1503"/>
  <c r="E193" i="1503"/>
  <c r="AC192" i="1503"/>
  <c r="AB192" i="1503"/>
  <c r="AA192" i="1503"/>
  <c r="Y192" i="1503"/>
  <c r="W192" i="1503"/>
  <c r="S192" i="1503"/>
  <c r="Q192" i="1503"/>
  <c r="N192" i="1503"/>
  <c r="M192" i="1503"/>
  <c r="H192" i="1503"/>
  <c r="E192" i="1503"/>
  <c r="AC191" i="1503"/>
  <c r="AB191" i="1503"/>
  <c r="AA191" i="1503"/>
  <c r="Y191" i="1503"/>
  <c r="W191" i="1503"/>
  <c r="S191" i="1503"/>
  <c r="Q191" i="1503"/>
  <c r="N191" i="1503"/>
  <c r="M191" i="1503"/>
  <c r="H191" i="1503"/>
  <c r="E191" i="1503"/>
  <c r="AC190" i="1503"/>
  <c r="AB190" i="1503"/>
  <c r="AA190" i="1503"/>
  <c r="Y190" i="1503"/>
  <c r="W190" i="1503"/>
  <c r="S190" i="1503"/>
  <c r="Q190" i="1503"/>
  <c r="N190" i="1503"/>
  <c r="M190" i="1503"/>
  <c r="H190" i="1503"/>
  <c r="E190" i="1503"/>
  <c r="AB189" i="1503"/>
  <c r="AA189" i="1503"/>
  <c r="Y189" i="1503"/>
  <c r="W189" i="1503"/>
  <c r="S189" i="1503"/>
  <c r="Q189" i="1503"/>
  <c r="R189" i="1503" s="1"/>
  <c r="N189" i="1503"/>
  <c r="M189" i="1503"/>
  <c r="H189" i="1503"/>
  <c r="E189" i="1503"/>
  <c r="AB188" i="1503"/>
  <c r="AJ188" i="1503" s="1"/>
  <c r="AA188" i="1503"/>
  <c r="Y188" i="1503"/>
  <c r="W188" i="1503"/>
  <c r="S188" i="1503"/>
  <c r="R188" i="1503" s="1"/>
  <c r="Q188" i="1503"/>
  <c r="N188" i="1503"/>
  <c r="M188" i="1503"/>
  <c r="H188" i="1503"/>
  <c r="E188" i="1503"/>
  <c r="AB187" i="1503"/>
  <c r="AA187" i="1503"/>
  <c r="Y187" i="1503"/>
  <c r="W187" i="1503"/>
  <c r="S187" i="1503"/>
  <c r="Q187" i="1503"/>
  <c r="R187" i="1503" s="1"/>
  <c r="N187" i="1503"/>
  <c r="M187" i="1503"/>
  <c r="H187" i="1503"/>
  <c r="E187" i="1503"/>
  <c r="AB186" i="1503"/>
  <c r="AA186" i="1503"/>
  <c r="Y186" i="1503"/>
  <c r="W186" i="1503"/>
  <c r="S186" i="1503"/>
  <c r="Q186" i="1503"/>
  <c r="N186" i="1503"/>
  <c r="M186" i="1503"/>
  <c r="H186" i="1503"/>
  <c r="E186" i="1503"/>
  <c r="AB185" i="1503"/>
  <c r="AA185" i="1503"/>
  <c r="Y185" i="1503"/>
  <c r="W185" i="1503"/>
  <c r="S185" i="1503"/>
  <c r="Q185" i="1503"/>
  <c r="R185" i="1503" s="1"/>
  <c r="N185" i="1503"/>
  <c r="M185" i="1503"/>
  <c r="H185" i="1503"/>
  <c r="E185" i="1503"/>
  <c r="AB184" i="1503"/>
  <c r="AJ184" i="1503" s="1"/>
  <c r="AA184" i="1503"/>
  <c r="Y184" i="1503"/>
  <c r="W184" i="1503"/>
  <c r="S184" i="1503"/>
  <c r="Q184" i="1503"/>
  <c r="N184" i="1503"/>
  <c r="M184" i="1503"/>
  <c r="H184" i="1503"/>
  <c r="E184" i="1503"/>
  <c r="AB183" i="1503"/>
  <c r="AA183" i="1503"/>
  <c r="Y183" i="1503"/>
  <c r="W183" i="1503"/>
  <c r="S183" i="1503"/>
  <c r="Q183" i="1503"/>
  <c r="N183" i="1503"/>
  <c r="M183" i="1503"/>
  <c r="H183" i="1503"/>
  <c r="E183" i="1503"/>
  <c r="Y182" i="1503"/>
  <c r="S182" i="1503"/>
  <c r="Q182" i="1503"/>
  <c r="N182" i="1503"/>
  <c r="M182" i="1503"/>
  <c r="E182" i="1503"/>
  <c r="BI181" i="1503"/>
  <c r="BH181" i="1503"/>
  <c r="AC181" i="1503"/>
  <c r="AB181" i="1503"/>
  <c r="AA181" i="1503"/>
  <c r="Y181" i="1503"/>
  <c r="W181" i="1503"/>
  <c r="S181" i="1503"/>
  <c r="Q181" i="1503"/>
  <c r="N181" i="1503"/>
  <c r="M181" i="1503"/>
  <c r="H181" i="1503"/>
  <c r="E181" i="1503"/>
  <c r="AC180" i="1503"/>
  <c r="AB180" i="1503"/>
  <c r="AA180" i="1503"/>
  <c r="Y180" i="1503"/>
  <c r="W180" i="1503"/>
  <c r="S180" i="1503"/>
  <c r="Q180" i="1503"/>
  <c r="N180" i="1503"/>
  <c r="M180" i="1503"/>
  <c r="H180" i="1503"/>
  <c r="E180" i="1503"/>
  <c r="AC179" i="1503"/>
  <c r="AB179" i="1503"/>
  <c r="AA179" i="1503"/>
  <c r="Y179" i="1503"/>
  <c r="W179" i="1503"/>
  <c r="S179" i="1503"/>
  <c r="Q179" i="1503"/>
  <c r="R179" i="1503" s="1"/>
  <c r="N179" i="1503"/>
  <c r="M179" i="1503"/>
  <c r="H179" i="1503"/>
  <c r="E179" i="1503"/>
  <c r="AC178" i="1503"/>
  <c r="AB178" i="1503"/>
  <c r="AA178" i="1503"/>
  <c r="Y178" i="1503"/>
  <c r="W178" i="1503"/>
  <c r="S178" i="1503"/>
  <c r="Q178" i="1503"/>
  <c r="R178" i="1503" s="1"/>
  <c r="N178" i="1503"/>
  <c r="M178" i="1503"/>
  <c r="H178" i="1503"/>
  <c r="E178" i="1503"/>
  <c r="AC177" i="1503"/>
  <c r="AB177" i="1503"/>
  <c r="AA177" i="1503"/>
  <c r="Y177" i="1503"/>
  <c r="W177" i="1503"/>
  <c r="S177" i="1503"/>
  <c r="Q177" i="1503"/>
  <c r="N177" i="1503"/>
  <c r="M177" i="1503"/>
  <c r="H177" i="1503"/>
  <c r="E177" i="1503"/>
  <c r="AC176" i="1503"/>
  <c r="AB176" i="1503"/>
  <c r="AJ176" i="1503" s="1"/>
  <c r="AA176" i="1503"/>
  <c r="Y176" i="1503"/>
  <c r="W176" i="1503"/>
  <c r="S176" i="1503"/>
  <c r="Q176" i="1503"/>
  <c r="R176" i="1503" s="1"/>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N174" i="1503"/>
  <c r="M174" i="1503"/>
  <c r="H174" i="1503"/>
  <c r="E174" i="1503"/>
  <c r="AB173" i="1503"/>
  <c r="AA173" i="1503"/>
  <c r="AJ173" i="1503" s="1"/>
  <c r="Y173" i="1503"/>
  <c r="W173" i="1503"/>
  <c r="S173" i="1503"/>
  <c r="R173" i="1503"/>
  <c r="Q173" i="1503"/>
  <c r="N173" i="1503"/>
  <c r="M173" i="1503"/>
  <c r="H173" i="1503"/>
  <c r="E173" i="1503"/>
  <c r="AB172" i="1503"/>
  <c r="AA172" i="1503"/>
  <c r="Y172" i="1503"/>
  <c r="W172" i="1503"/>
  <c r="S172" i="1503"/>
  <c r="Q172" i="1503"/>
  <c r="N172" i="1503"/>
  <c r="M172" i="1503"/>
  <c r="H172" i="1503"/>
  <c r="E172" i="1503"/>
  <c r="AB171" i="1503"/>
  <c r="AA171" i="1503"/>
  <c r="Y171" i="1503"/>
  <c r="W171" i="1503"/>
  <c r="S171" i="1503"/>
  <c r="R171" i="1503" s="1"/>
  <c r="Q171" i="1503"/>
  <c r="N171" i="1503"/>
  <c r="M171" i="1503"/>
  <c r="H171" i="1503"/>
  <c r="E171" i="1503"/>
  <c r="AB170" i="1503"/>
  <c r="AA170" i="1503"/>
  <c r="Y170" i="1503"/>
  <c r="W170" i="1503"/>
  <c r="S170" i="1503"/>
  <c r="Q170" i="1503"/>
  <c r="N170" i="1503"/>
  <c r="M170" i="1503"/>
  <c r="H170" i="1503"/>
  <c r="E170" i="1503"/>
  <c r="AB169" i="1503"/>
  <c r="AA169" i="1503"/>
  <c r="Y169" i="1503"/>
  <c r="W169" i="1503"/>
  <c r="S169" i="1503"/>
  <c r="Q169" i="1503"/>
  <c r="R169" i="1503" s="1"/>
  <c r="N169" i="1503"/>
  <c r="M169" i="1503"/>
  <c r="H169" i="1503"/>
  <c r="E169" i="1503"/>
  <c r="AB168" i="1503"/>
  <c r="AA168" i="1503"/>
  <c r="Y168" i="1503"/>
  <c r="W168" i="1503"/>
  <c r="S168" i="1503"/>
  <c r="Q168" i="1503"/>
  <c r="R168" i="1503" s="1"/>
  <c r="M168" i="1503"/>
  <c r="H168" i="1503"/>
  <c r="E168" i="1503"/>
  <c r="Y167" i="1503"/>
  <c r="S167" i="1503"/>
  <c r="Q167" i="1503"/>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N162" i="1503"/>
  <c r="M162" i="1503"/>
  <c r="H162" i="1503"/>
  <c r="E162" i="1503"/>
  <c r="AC161" i="1503"/>
  <c r="AB161" i="1503"/>
  <c r="AA161" i="1503"/>
  <c r="Y161" i="1503"/>
  <c r="W161" i="1503"/>
  <c r="S161" i="1503"/>
  <c r="Q161" i="1503"/>
  <c r="R161" i="1503" s="1"/>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R156" i="1503" s="1"/>
  <c r="N156" i="1503"/>
  <c r="M156" i="1503"/>
  <c r="H156" i="1503"/>
  <c r="E156" i="1503"/>
  <c r="AB155" i="1503"/>
  <c r="AA155" i="1503"/>
  <c r="Y155" i="1503"/>
  <c r="W155" i="1503"/>
  <c r="S155" i="1503"/>
  <c r="Q155" i="1503"/>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N152" i="1503"/>
  <c r="M152" i="1503"/>
  <c r="E152" i="1503"/>
  <c r="BI151" i="1503"/>
  <c r="BH151" i="1503"/>
  <c r="AC151" i="1503"/>
  <c r="AB151" i="1503"/>
  <c r="AA151" i="1503"/>
  <c r="Y151" i="1503"/>
  <c r="W151" i="1503"/>
  <c r="S151" i="1503"/>
  <c r="Q151" i="1503"/>
  <c r="N151" i="1503"/>
  <c r="M151" i="1503"/>
  <c r="H151" i="1503"/>
  <c r="E151" i="1503"/>
  <c r="AC150" i="1503"/>
  <c r="AB150" i="1503"/>
  <c r="AA150" i="1503"/>
  <c r="Y150" i="1503"/>
  <c r="W150" i="1503"/>
  <c r="S150" i="1503"/>
  <c r="Q150" i="1503"/>
  <c r="R150" i="1503" s="1"/>
  <c r="N150" i="1503"/>
  <c r="M150" i="1503"/>
  <c r="H150" i="1503"/>
  <c r="E150" i="1503"/>
  <c r="AC149" i="1503"/>
  <c r="AB149" i="1503"/>
  <c r="AJ149" i="1503" s="1"/>
  <c r="AA149" i="1503"/>
  <c r="Y149" i="1503"/>
  <c r="W149" i="1503"/>
  <c r="S149" i="1503"/>
  <c r="Q149" i="1503"/>
  <c r="N149" i="1503"/>
  <c r="M149" i="1503"/>
  <c r="H149" i="1503"/>
  <c r="E149" i="1503"/>
  <c r="AC148" i="1503"/>
  <c r="AB148" i="1503"/>
  <c r="AA148" i="1503"/>
  <c r="Y148" i="1503"/>
  <c r="W148" i="1503"/>
  <c r="S148" i="1503"/>
  <c r="Q148" i="1503"/>
  <c r="N148" i="1503"/>
  <c r="M148" i="1503"/>
  <c r="H148" i="1503"/>
  <c r="E148" i="1503"/>
  <c r="AC147" i="1503"/>
  <c r="AB147" i="1503"/>
  <c r="AJ147" i="1503" s="1"/>
  <c r="AA147" i="1503"/>
  <c r="Y147" i="1503"/>
  <c r="W147" i="1503"/>
  <c r="S147" i="1503"/>
  <c r="Q147" i="1503"/>
  <c r="R147" i="1503" s="1"/>
  <c r="N147" i="1503"/>
  <c r="M147" i="1503"/>
  <c r="H147" i="1503"/>
  <c r="E147" i="1503"/>
  <c r="AC146" i="1503"/>
  <c r="AB146" i="1503"/>
  <c r="AJ146" i="1503" s="1"/>
  <c r="AA146" i="1503"/>
  <c r="Y146" i="1503"/>
  <c r="W146" i="1503"/>
  <c r="S146" i="1503"/>
  <c r="Q146" i="1503"/>
  <c r="R146" i="1503" s="1"/>
  <c r="N146" i="1503"/>
  <c r="M146" i="1503"/>
  <c r="H146" i="1503"/>
  <c r="E146" i="1503"/>
  <c r="AC145" i="1503"/>
  <c r="AB145" i="1503"/>
  <c r="AA145" i="1503"/>
  <c r="Y145" i="1503"/>
  <c r="W145" i="1503"/>
  <c r="S145" i="1503"/>
  <c r="Q145" i="1503"/>
  <c r="R145" i="1503" s="1"/>
  <c r="N145" i="1503"/>
  <c r="M145" i="1503"/>
  <c r="H145" i="1503"/>
  <c r="E145" i="1503"/>
  <c r="AB144" i="1503"/>
  <c r="AA144" i="1503"/>
  <c r="Y144" i="1503"/>
  <c r="W144" i="1503"/>
  <c r="S144" i="1503"/>
  <c r="R144" i="1503" s="1"/>
  <c r="Q144" i="1503"/>
  <c r="N144" i="1503"/>
  <c r="M144" i="1503"/>
  <c r="H144" i="1503"/>
  <c r="E144" i="1503"/>
  <c r="AB143" i="1503"/>
  <c r="AJ143" i="1503" s="1"/>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N141" i="1503"/>
  <c r="M141" i="1503"/>
  <c r="H141" i="1503"/>
  <c r="E141" i="1503"/>
  <c r="AB140" i="1503"/>
  <c r="AA140" i="1503"/>
  <c r="Y140" i="1503"/>
  <c r="W140" i="1503"/>
  <c r="S140" i="1503"/>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s="1"/>
  <c r="Q138" i="1503"/>
  <c r="N138" i="1503"/>
  <c r="M138" i="1503"/>
  <c r="H138" i="1503"/>
  <c r="E138" i="1503"/>
  <c r="Y137" i="1503"/>
  <c r="S137" i="1503"/>
  <c r="Q137" i="1503"/>
  <c r="R137" i="1503" s="1"/>
  <c r="N137" i="1503"/>
  <c r="M137" i="1503"/>
  <c r="E137" i="1503"/>
  <c r="BI136" i="1503"/>
  <c r="BH136" i="1503"/>
  <c r="AC136" i="1503"/>
  <c r="AB136" i="1503"/>
  <c r="AA136" i="1503"/>
  <c r="Y136" i="1503"/>
  <c r="W136" i="1503"/>
  <c r="T136" i="1503"/>
  <c r="S136" i="1503"/>
  <c r="Q136" i="1503"/>
  <c r="N136" i="1503"/>
  <c r="M136" i="1503"/>
  <c r="H136" i="1503"/>
  <c r="E136" i="1503"/>
  <c r="AC135" i="1503"/>
  <c r="AB135" i="1503"/>
  <c r="AA135" i="1503"/>
  <c r="AJ135" i="1503" s="1"/>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J133" i="1503" s="1"/>
  <c r="AA133" i="1503"/>
  <c r="Y133" i="1503"/>
  <c r="W133" i="1503"/>
  <c r="S133" i="1503"/>
  <c r="Q133" i="1503"/>
  <c r="N133" i="1503"/>
  <c r="M133" i="1503"/>
  <c r="H133" i="1503"/>
  <c r="E133" i="1503"/>
  <c r="AC132" i="1503"/>
  <c r="AB132" i="1503"/>
  <c r="AJ132" i="1503" s="1"/>
  <c r="AA132" i="1503"/>
  <c r="Y132" i="1503"/>
  <c r="W132" i="1503"/>
  <c r="S132" i="1503"/>
  <c r="R132" i="1503"/>
  <c r="Q132" i="1503"/>
  <c r="N132" i="1503"/>
  <c r="M132" i="1503"/>
  <c r="H132" i="1503"/>
  <c r="E132" i="1503"/>
  <c r="AC131" i="1503"/>
  <c r="AB131" i="1503"/>
  <c r="AA131" i="1503"/>
  <c r="Y131" i="1503"/>
  <c r="W131" i="1503"/>
  <c r="S131" i="1503"/>
  <c r="Q131" i="1503"/>
  <c r="N131" i="1503"/>
  <c r="M131" i="1503"/>
  <c r="H131" i="1503"/>
  <c r="E131" i="1503"/>
  <c r="AC130" i="1503"/>
  <c r="AB130" i="1503"/>
  <c r="AA130" i="1503"/>
  <c r="Y130" i="1503"/>
  <c r="W130" i="1503"/>
  <c r="S130" i="1503"/>
  <c r="Q130" i="1503"/>
  <c r="R130" i="1503" s="1"/>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A126" i="1503"/>
  <c r="Y126" i="1503"/>
  <c r="W126" i="1503"/>
  <c r="S126" i="1503"/>
  <c r="Q126" i="1503"/>
  <c r="N126" i="1503"/>
  <c r="M126" i="1503"/>
  <c r="H126" i="1503"/>
  <c r="E126" i="1503"/>
  <c r="AB125" i="1503"/>
  <c r="AA125" i="1503"/>
  <c r="Y125" i="1503"/>
  <c r="W125" i="1503"/>
  <c r="S125" i="1503"/>
  <c r="Q125" i="1503"/>
  <c r="N125" i="1503"/>
  <c r="M125" i="1503"/>
  <c r="H125" i="1503"/>
  <c r="E125" i="1503"/>
  <c r="AB124" i="1503"/>
  <c r="AA124" i="1503"/>
  <c r="Y124" i="1503"/>
  <c r="W124" i="1503"/>
  <c r="S124" i="1503"/>
  <c r="Q124" i="1503"/>
  <c r="R124" i="1503" s="1"/>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R118" i="1503" s="1"/>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J112" i="1503" s="1"/>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R108" i="1503" s="1"/>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A99" i="1503"/>
  <c r="Y99" i="1503"/>
  <c r="W99" i="1503"/>
  <c r="S99" i="1503"/>
  <c r="Q99" i="1503"/>
  <c r="R99" i="1503" s="1"/>
  <c r="N99" i="1503"/>
  <c r="M99" i="1503"/>
  <c r="H99" i="1503"/>
  <c r="E99" i="1503"/>
  <c r="AC98" i="1503"/>
  <c r="AB98" i="1503"/>
  <c r="AJ98" i="1503" s="1"/>
  <c r="AA98" i="1503"/>
  <c r="Y98" i="1503"/>
  <c r="W98" i="1503"/>
  <c r="S98" i="1503"/>
  <c r="Q98" i="1503"/>
  <c r="N98" i="1503"/>
  <c r="M98" i="1503"/>
  <c r="H98" i="1503"/>
  <c r="E98" i="1503"/>
  <c r="AB97" i="1503"/>
  <c r="AA97" i="1503"/>
  <c r="AJ97" i="1503" s="1"/>
  <c r="Y97" i="1503"/>
  <c r="W97" i="1503"/>
  <c r="S97" i="1503"/>
  <c r="Q97" i="1503"/>
  <c r="R97" i="1503" s="1"/>
  <c r="N97" i="1503"/>
  <c r="M97" i="1503"/>
  <c r="H97" i="1503"/>
  <c r="E97" i="1503"/>
  <c r="AB96" i="1503"/>
  <c r="AA96" i="1503"/>
  <c r="Y96" i="1503"/>
  <c r="W96" i="1503"/>
  <c r="S96" i="1503"/>
  <c r="Q96" i="1503"/>
  <c r="R96" i="1503" s="1"/>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H91" i="1503"/>
  <c r="E91" i="1503"/>
  <c r="BI90" i="1503"/>
  <c r="BH90" i="1503"/>
  <c r="AC90" i="1503"/>
  <c r="AB90" i="1503"/>
  <c r="AJ90" i="1503" s="1"/>
  <c r="AA90" i="1503"/>
  <c r="Y90" i="1503"/>
  <c r="W90" i="1503"/>
  <c r="T90" i="1503"/>
  <c r="S90" i="1503"/>
  <c r="Q90" i="1503"/>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R88" i="1503" s="1"/>
  <c r="N88" i="1503"/>
  <c r="M88" i="1503"/>
  <c r="H88" i="1503"/>
  <c r="E88" i="1503"/>
  <c r="AJ87" i="1503"/>
  <c r="AC87" i="1503"/>
  <c r="AB87" i="1503"/>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N83" i="1503"/>
  <c r="M83" i="1503"/>
  <c r="H83" i="1503"/>
  <c r="E83" i="1503"/>
  <c r="AB82" i="1503"/>
  <c r="AA82" i="1503"/>
  <c r="Y82" i="1503"/>
  <c r="W82" i="1503"/>
  <c r="S82" i="1503"/>
  <c r="R82" i="1503" s="1"/>
  <c r="Q82" i="1503"/>
  <c r="N82" i="1503"/>
  <c r="M82" i="1503"/>
  <c r="H82" i="1503"/>
  <c r="E82" i="1503"/>
  <c r="AB81" i="1503"/>
  <c r="AA81" i="1503"/>
  <c r="AJ81" i="1503" s="1"/>
  <c r="Y81" i="1503"/>
  <c r="W81" i="1503"/>
  <c r="S81" i="1503"/>
  <c r="Q81" i="1503"/>
  <c r="R81" i="1503" s="1"/>
  <c r="N81" i="1503"/>
  <c r="M81" i="1503"/>
  <c r="H81" i="1503"/>
  <c r="E81" i="1503"/>
  <c r="AB80" i="1503"/>
  <c r="AA80" i="1503"/>
  <c r="Y80" i="1503"/>
  <c r="W80" i="1503"/>
  <c r="S80" i="1503"/>
  <c r="Q80" i="1503"/>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J75" i="1503" s="1"/>
  <c r="AA75" i="1503"/>
  <c r="Y75" i="1503"/>
  <c r="W75" i="1503"/>
  <c r="T75" i="1503"/>
  <c r="S75" i="1503"/>
  <c r="Q75" i="1503"/>
  <c r="N75" i="1503"/>
  <c r="M75" i="1503"/>
  <c r="H75" i="1503"/>
  <c r="E75" i="1503"/>
  <c r="AC74" i="1503"/>
  <c r="AB74" i="1503"/>
  <c r="AA74" i="1503"/>
  <c r="Y74" i="1503"/>
  <c r="W74" i="1503"/>
  <c r="S74" i="1503"/>
  <c r="Q74" i="1503"/>
  <c r="R74" i="1503" s="1"/>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s="1"/>
  <c r="Q69" i="1503"/>
  <c r="N69" i="1503"/>
  <c r="M69" i="1503"/>
  <c r="H69" i="1503"/>
  <c r="E69" i="1503"/>
  <c r="AC68" i="1503"/>
  <c r="AB68" i="1503"/>
  <c r="AA68" i="1503"/>
  <c r="Y68" i="1503"/>
  <c r="W68" i="1503"/>
  <c r="S68" i="1503"/>
  <c r="Q68" i="1503"/>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T61" i="1503"/>
  <c r="S61" i="1503"/>
  <c r="Q61" i="1503"/>
  <c r="N61" i="1503"/>
  <c r="M61" i="1503"/>
  <c r="H61" i="1503"/>
  <c r="E61" i="1503"/>
  <c r="AC60" i="1503"/>
  <c r="AB60" i="1503"/>
  <c r="AA60" i="1503"/>
  <c r="Y60" i="1503"/>
  <c r="W60" i="1503"/>
  <c r="S60" i="1503"/>
  <c r="Q60" i="1503"/>
  <c r="R60" i="1503" s="1"/>
  <c r="N60" i="1503"/>
  <c r="M60" i="1503"/>
  <c r="H60" i="1503"/>
  <c r="E60" i="1503"/>
  <c r="AC59" i="1503"/>
  <c r="AB59" i="1503"/>
  <c r="AJ59" i="1503" s="1"/>
  <c r="AA59" i="1503"/>
  <c r="Y59" i="1503"/>
  <c r="W59" i="1503"/>
  <c r="S59" i="1503"/>
  <c r="R59" i="1503"/>
  <c r="Q59" i="1503"/>
  <c r="M59" i="1503"/>
  <c r="H59" i="1503"/>
  <c r="E59" i="1503"/>
  <c r="AC58" i="1503"/>
  <c r="AB58" i="1503"/>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R56" i="1503" s="1"/>
  <c r="N56" i="1503"/>
  <c r="M56" i="1503"/>
  <c r="H56" i="1503"/>
  <c r="E56" i="1503"/>
  <c r="AC55" i="1503"/>
  <c r="AB55" i="1503"/>
  <c r="AJ55" i="1503" s="1"/>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J52" i="1503" s="1"/>
  <c r="AA52" i="1503"/>
  <c r="Y52" i="1503"/>
  <c r="W52" i="1503"/>
  <c r="S52" i="1503"/>
  <c r="Q52" i="1503"/>
  <c r="N52" i="1503"/>
  <c r="M52" i="1503"/>
  <c r="H52" i="1503"/>
  <c r="E52" i="1503"/>
  <c r="AB51" i="1503"/>
  <c r="AA51" i="1503"/>
  <c r="Y51" i="1503"/>
  <c r="W51" i="1503"/>
  <c r="S51" i="1503"/>
  <c r="Q51" i="1503"/>
  <c r="N51" i="1503"/>
  <c r="M51" i="1503"/>
  <c r="H51" i="1503"/>
  <c r="E51" i="1503"/>
  <c r="AB50" i="1503"/>
  <c r="AA50" i="1503"/>
  <c r="Y50" i="1503"/>
  <c r="W50" i="1503"/>
  <c r="S50" i="1503"/>
  <c r="Q50" i="1503"/>
  <c r="N50" i="1503"/>
  <c r="M50" i="1503"/>
  <c r="H50" i="1503"/>
  <c r="E50" i="1503"/>
  <c r="AB49" i="1503"/>
  <c r="AA49" i="1503"/>
  <c r="Y49" i="1503"/>
  <c r="W49" i="1503"/>
  <c r="S49" i="1503"/>
  <c r="Q49" i="1503"/>
  <c r="N49" i="1503"/>
  <c r="M49" i="1503"/>
  <c r="H49" i="1503"/>
  <c r="E49" i="1503"/>
  <c r="AB48" i="1503"/>
  <c r="AA48" i="1503"/>
  <c r="Y48" i="1503"/>
  <c r="W48" i="1503"/>
  <c r="S48" i="1503"/>
  <c r="Q48" i="1503"/>
  <c r="M48" i="1503"/>
  <c r="H48" i="1503"/>
  <c r="E48" i="1503"/>
  <c r="Y47" i="1503"/>
  <c r="S47" i="1503"/>
  <c r="Q47" i="1503"/>
  <c r="N47" i="1503"/>
  <c r="M47" i="1503"/>
  <c r="E47" i="1503"/>
  <c r="BI46" i="1503"/>
  <c r="BH46" i="1503"/>
  <c r="AC46" i="1503"/>
  <c r="AB46" i="1503"/>
  <c r="AJ46" i="1503" s="1"/>
  <c r="AA46" i="1503"/>
  <c r="Y46" i="1503"/>
  <c r="W46" i="1503"/>
  <c r="T46" i="1503"/>
  <c r="S46" i="1503"/>
  <c r="Q46" i="1503"/>
  <c r="R46" i="1503" s="1"/>
  <c r="N46" i="1503"/>
  <c r="M46" i="1503"/>
  <c r="H46" i="1503"/>
  <c r="E46" i="1503"/>
  <c r="AC45" i="1503"/>
  <c r="AB45" i="1503"/>
  <c r="AA45" i="1503"/>
  <c r="Y45" i="1503"/>
  <c r="W45" i="1503"/>
  <c r="S45" i="1503"/>
  <c r="Q45" i="1503"/>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N43" i="1503"/>
  <c r="M43" i="1503"/>
  <c r="H43" i="1503"/>
  <c r="E43" i="1503"/>
  <c r="AC42" i="1503"/>
  <c r="AB42" i="1503"/>
  <c r="AJ42" i="1503" s="1"/>
  <c r="AA42" i="1503"/>
  <c r="Y42" i="1503"/>
  <c r="W42" i="1503"/>
  <c r="S42" i="1503"/>
  <c r="Q42" i="1503"/>
  <c r="R42" i="1503" s="1"/>
  <c r="N42" i="1503"/>
  <c r="M42" i="1503"/>
  <c r="H42" i="1503"/>
  <c r="E42" i="1503"/>
  <c r="AC41" i="1503"/>
  <c r="AB41" i="1503"/>
  <c r="AA41" i="1503"/>
  <c r="Y41" i="1503"/>
  <c r="W41" i="1503"/>
  <c r="S41" i="1503"/>
  <c r="Q41" i="1503"/>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R34" i="1503"/>
  <c r="Q34" i="1503"/>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R31" i="1503" s="1"/>
  <c r="N31" i="1503"/>
  <c r="M31" i="1503"/>
  <c r="H31" i="1503"/>
  <c r="E31" i="1503"/>
  <c r="AC30" i="1503"/>
  <c r="AB30" i="1503"/>
  <c r="AA30" i="1503"/>
  <c r="Y30" i="1503"/>
  <c r="W30" i="1503"/>
  <c r="S30" i="1503"/>
  <c r="Q30" i="1503"/>
  <c r="R30" i="1503" s="1"/>
  <c r="N30" i="1503"/>
  <c r="M30" i="1503"/>
  <c r="H30" i="1503"/>
  <c r="E30" i="1503"/>
  <c r="AC29" i="1503"/>
  <c r="AB29" i="1503"/>
  <c r="AJ29" i="1503" s="1"/>
  <c r="AA29" i="1503"/>
  <c r="Y29" i="1503"/>
  <c r="W29" i="1503"/>
  <c r="S29" i="1503"/>
  <c r="Q29" i="1503"/>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N27" i="1503"/>
  <c r="M27" i="1503"/>
  <c r="H27" i="1503"/>
  <c r="E27" i="1503"/>
  <c r="AC26" i="1503"/>
  <c r="AB26" i="1503"/>
  <c r="AA26" i="1503"/>
  <c r="Y26" i="1503"/>
  <c r="W26" i="1503"/>
  <c r="S26" i="1503"/>
  <c r="Q26" i="1503"/>
  <c r="N26" i="1503"/>
  <c r="M26" i="1503"/>
  <c r="H26" i="1503"/>
  <c r="E26" i="1503"/>
  <c r="AC25" i="1503"/>
  <c r="AB25" i="1503"/>
  <c r="AA25" i="1503"/>
  <c r="Y25" i="1503"/>
  <c r="W25" i="1503"/>
  <c r="S25" i="1503"/>
  <c r="Q25" i="1503"/>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R22" i="1503" s="1"/>
  <c r="N22" i="1503"/>
  <c r="M22" i="1503"/>
  <c r="H22" i="1503"/>
  <c r="E22" i="1503"/>
  <c r="AC21" i="1503"/>
  <c r="AB21" i="1503"/>
  <c r="AA21" i="1503"/>
  <c r="Y21" i="1503"/>
  <c r="W21" i="1503"/>
  <c r="S21" i="1503"/>
  <c r="Q21" i="1503"/>
  <c r="N21" i="1503"/>
  <c r="M21" i="1503"/>
  <c r="H21" i="1503"/>
  <c r="E21" i="1503"/>
  <c r="AB20" i="1503"/>
  <c r="AA20" i="1503"/>
  <c r="Y20" i="1503"/>
  <c r="W20" i="1503"/>
  <c r="S20" i="1503"/>
  <c r="Q20" i="1503"/>
  <c r="R20" i="1503" s="1"/>
  <c r="N20" i="1503"/>
  <c r="M20" i="1503"/>
  <c r="H20" i="1503"/>
  <c r="E20" i="1503"/>
  <c r="AB19" i="1503"/>
  <c r="AA19" i="1503"/>
  <c r="W19" i="1503"/>
  <c r="S19" i="1503"/>
  <c r="Q19" i="1503"/>
  <c r="M19" i="1503"/>
  <c r="H19" i="1503"/>
  <c r="E19" i="1503"/>
  <c r="AB18" i="1503"/>
  <c r="AA18" i="1503"/>
  <c r="Y18" i="1503"/>
  <c r="W18" i="1503"/>
  <c r="S18" i="1503"/>
  <c r="Q18" i="1503"/>
  <c r="M18" i="1503"/>
  <c r="H18" i="1503"/>
  <c r="E18" i="1503"/>
  <c r="Y17" i="1503"/>
  <c r="S17" i="1503"/>
  <c r="Q17" i="1503"/>
  <c r="N17" i="1503"/>
  <c r="M17" i="1503"/>
  <c r="E17" i="1503"/>
  <c r="BI16" i="1503"/>
  <c r="BH16" i="1503"/>
  <c r="AC16" i="1503"/>
  <c r="AB16" i="1503"/>
  <c r="AA16" i="1503"/>
  <c r="Y16" i="1503"/>
  <c r="W16" i="1503"/>
  <c r="T16" i="1503"/>
  <c r="S16" i="1503"/>
  <c r="R16" i="1503"/>
  <c r="Q16" i="1503"/>
  <c r="N16" i="1503"/>
  <c r="M16" i="1503"/>
  <c r="H16" i="1503"/>
  <c r="E16" i="1503"/>
  <c r="AC15" i="1503"/>
  <c r="AB15" i="1503"/>
  <c r="AA15" i="1503"/>
  <c r="Y15" i="1503"/>
  <c r="W15" i="1503"/>
  <c r="S15" i="1503"/>
  <c r="Q15" i="1503"/>
  <c r="N15" i="1503"/>
  <c r="M15" i="1503"/>
  <c r="H15" i="1503"/>
  <c r="E15" i="1503"/>
  <c r="AC14" i="1503"/>
  <c r="AB14" i="1503"/>
  <c r="AJ14" i="1503" s="1"/>
  <c r="AA14" i="1503"/>
  <c r="Y14" i="1503"/>
  <c r="W14" i="1503"/>
  <c r="S14" i="1503"/>
  <c r="Q14" i="1503"/>
  <c r="R14" i="1503" s="1"/>
  <c r="M14" i="1503"/>
  <c r="H14" i="1503"/>
  <c r="E14" i="1503"/>
  <c r="AC13" i="1503"/>
  <c r="AB13" i="1503"/>
  <c r="AA13" i="1503"/>
  <c r="Y13" i="1503"/>
  <c r="W13" i="1503"/>
  <c r="S13" i="1503"/>
  <c r="Q13" i="1503"/>
  <c r="M13" i="1503"/>
  <c r="H13" i="1503"/>
  <c r="E13" i="1503"/>
  <c r="AC12" i="1503"/>
  <c r="AB12" i="1503"/>
  <c r="AJ12" i="1503" s="1"/>
  <c r="AA12" i="1503"/>
  <c r="Y12" i="1503"/>
  <c r="W12" i="1503"/>
  <c r="S12" i="1503"/>
  <c r="Q12" i="1503"/>
  <c r="N12" i="1503"/>
  <c r="M12" i="1503"/>
  <c r="H12" i="1503"/>
  <c r="E12" i="1503"/>
  <c r="AC11" i="1503"/>
  <c r="AB11" i="1503"/>
  <c r="AA11" i="1503"/>
  <c r="Y11" i="1503"/>
  <c r="W11" i="1503"/>
  <c r="S11" i="1503"/>
  <c r="Q11" i="1503"/>
  <c r="N11" i="1503"/>
  <c r="M11" i="1503"/>
  <c r="H11" i="1503"/>
  <c r="E11" i="1503"/>
  <c r="AC10" i="1503"/>
  <c r="AB10" i="1503"/>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J8" i="1503" s="1"/>
  <c r="AA8" i="1503"/>
  <c r="Y8" i="1503"/>
  <c r="W8" i="1503"/>
  <c r="S8" i="1503"/>
  <c r="Q8" i="1503"/>
  <c r="N8" i="1503"/>
  <c r="M8" i="1503"/>
  <c r="H8" i="1503"/>
  <c r="E8" i="1503"/>
  <c r="AC7" i="1503"/>
  <c r="AB7" i="1503"/>
  <c r="AA7" i="1503"/>
  <c r="Y7" i="1503"/>
  <c r="W7" i="1503"/>
  <c r="S7" i="1503"/>
  <c r="R7" i="1503"/>
  <c r="Q7" i="1503"/>
  <c r="N7" i="1503"/>
  <c r="M7" i="1503"/>
  <c r="H7" i="1503"/>
  <c r="E7" i="1503"/>
  <c r="AB6" i="1503"/>
  <c r="AA6" i="1503"/>
  <c r="Y6" i="1503"/>
  <c r="W6" i="1503"/>
  <c r="S6" i="1503"/>
  <c r="Q6" i="1503"/>
  <c r="N6" i="1503"/>
  <c r="M6" i="1503"/>
  <c r="H6" i="1503"/>
  <c r="E6" i="1503"/>
  <c r="AB5" i="1503"/>
  <c r="AJ5" i="1503" s="1"/>
  <c r="AA5" i="1503"/>
  <c r="Y5" i="1503"/>
  <c r="W5" i="1503"/>
  <c r="S5" i="1503"/>
  <c r="R5" i="1503"/>
  <c r="Q5" i="1503"/>
  <c r="N5" i="1503"/>
  <c r="M5" i="1503"/>
  <c r="H5" i="1503"/>
  <c r="E5" i="1503"/>
  <c r="AB4" i="1503"/>
  <c r="AA4" i="1503"/>
  <c r="AJ4" i="1503" s="1"/>
  <c r="Y4" i="1503"/>
  <c r="W4" i="1503"/>
  <c r="S4" i="1503"/>
  <c r="Q4" i="1503"/>
  <c r="N4" i="1503"/>
  <c r="M4" i="1503"/>
  <c r="H4" i="1503"/>
  <c r="E4" i="1503"/>
  <c r="AB3" i="1503"/>
  <c r="AA3" i="1503"/>
  <c r="Y3" i="1503"/>
  <c r="W3" i="1503"/>
  <c r="S3" i="1503"/>
  <c r="Q3" i="1503"/>
  <c r="R3" i="1503" s="1"/>
  <c r="M3" i="1503"/>
  <c r="H3" i="1503"/>
  <c r="E3" i="1503"/>
  <c r="Y2" i="1503"/>
  <c r="S2" i="1503"/>
  <c r="Q2" i="1503"/>
  <c r="N2" i="1503"/>
  <c r="M2" i="1503"/>
  <c r="E2" i="1503"/>
  <c r="AT17" i="7" l="1"/>
  <c r="AJ10" i="1503"/>
  <c r="R21" i="1503"/>
  <c r="AJ25" i="1503"/>
  <c r="AJ41" i="1503"/>
  <c r="AJ49" i="1503"/>
  <c r="R65" i="1503"/>
  <c r="R80" i="1503"/>
  <c r="R90" i="1503"/>
  <c r="R91" i="1503"/>
  <c r="AJ99" i="1503"/>
  <c r="R120" i="1503"/>
  <c r="R125" i="1503"/>
  <c r="R141" i="1503"/>
  <c r="R151" i="1503"/>
  <c r="R152" i="1503"/>
  <c r="R165" i="1503"/>
  <c r="R167" i="1503"/>
  <c r="R181" i="1503"/>
  <c r="R182" i="1503"/>
  <c r="AJ198" i="1503"/>
  <c r="B15" i="1502"/>
  <c r="K15" i="1504"/>
  <c r="A16" i="1499"/>
  <c r="AH16" i="1499"/>
  <c r="CG16" i="1499"/>
  <c r="AQ16" i="7"/>
  <c r="BY16" i="7" s="1"/>
  <c r="R131" i="1503"/>
  <c r="R180" i="1503"/>
  <c r="AJ189" i="1503"/>
  <c r="R197" i="1503"/>
  <c r="AJ236" i="1503"/>
  <c r="AJ256" i="1503"/>
  <c r="AJ267" i="1503"/>
  <c r="R17" i="1503"/>
  <c r="AJ58" i="1503"/>
  <c r="AJ126" i="1503"/>
  <c r="AJ136" i="1503"/>
  <c r="R140" i="1503"/>
  <c r="R148" i="1503"/>
  <c r="R155" i="1503"/>
  <c r="R162" i="1503"/>
  <c r="AJ172" i="1503"/>
  <c r="R177" i="1503"/>
  <c r="R186" i="1503"/>
  <c r="R194" i="1503"/>
  <c r="R218" i="1503"/>
  <c r="AJ220" i="1503"/>
  <c r="AJ228" i="1503"/>
  <c r="AJ235" i="1503"/>
  <c r="AJ245" i="1503"/>
  <c r="AJ21" i="1503"/>
  <c r="AJ22" i="1503"/>
  <c r="R29" i="1503"/>
  <c r="R45" i="1503"/>
  <c r="R47" i="1503"/>
  <c r="R51" i="1503"/>
  <c r="AJ56" i="1503"/>
  <c r="AJ125" i="1503"/>
  <c r="R129" i="1503"/>
  <c r="AJ234" i="1503"/>
  <c r="AJ253" i="1503"/>
  <c r="R19" i="1503"/>
  <c r="R28" i="1503"/>
  <c r="R35" i="1503"/>
  <c r="AJ80" i="1503"/>
  <c r="R84" i="1503"/>
  <c r="R101" i="1503"/>
  <c r="AJ110" i="1503"/>
  <c r="R154" i="1503"/>
  <c r="R160" i="1503"/>
  <c r="AJ164" i="1503"/>
  <c r="AJ171" i="1503"/>
  <c r="R175" i="1503"/>
  <c r="AJ180" i="1503"/>
  <c r="AJ181" i="1503"/>
  <c r="R192" i="1503"/>
  <c r="R208" i="1503"/>
  <c r="R226" i="1503"/>
  <c r="AJ252" i="1503"/>
  <c r="R11" i="1503"/>
  <c r="AJ16" i="1503"/>
  <c r="R27" i="1503"/>
  <c r="R43" i="1503"/>
  <c r="R50" i="1503"/>
  <c r="R68" i="1503"/>
  <c r="R83" i="1503"/>
  <c r="AJ170" i="1503"/>
  <c r="R225" i="1503"/>
  <c r="AJ124" i="1503"/>
  <c r="AJ130" i="1503"/>
  <c r="R174" i="1503"/>
  <c r="R183" i="1503"/>
  <c r="R190" i="1503"/>
  <c r="R191" i="1503"/>
  <c r="AJ201" i="1503"/>
  <c r="AJ211" i="1503"/>
  <c r="R2" i="1503"/>
  <c r="R8" i="1503"/>
  <c r="R18" i="1503"/>
  <c r="R25" i="1503"/>
  <c r="R41" i="1503"/>
  <c r="AJ51" i="1503"/>
  <c r="R61" i="1503"/>
  <c r="R67" i="1503"/>
  <c r="AJ72" i="1503"/>
  <c r="AJ86" i="1503"/>
  <c r="R92" i="1503"/>
  <c r="R98" i="1503"/>
  <c r="AJ103" i="1503"/>
  <c r="AJ117" i="1503"/>
  <c r="R122" i="1503"/>
  <c r="AJ129" i="1503"/>
  <c r="R143" i="1503"/>
  <c r="R198" i="1503"/>
  <c r="AJ231" i="1503"/>
  <c r="AJ264" i="1503"/>
  <c r="R223" i="1503"/>
  <c r="AJ230" i="1503"/>
  <c r="AJ250" i="1503"/>
  <c r="AJ263" i="1503"/>
  <c r="AJ271" i="1503"/>
  <c r="A16" i="1502"/>
  <c r="J16" i="1504"/>
  <c r="R6" i="1503"/>
  <c r="AJ35" i="1503"/>
  <c r="AJ44" i="1503"/>
  <c r="AJ70" i="1503"/>
  <c r="AJ84" i="1503"/>
  <c r="AJ115" i="1503"/>
  <c r="AJ160" i="1503"/>
  <c r="R172" i="1503"/>
  <c r="AJ192" i="1503"/>
  <c r="AJ217" i="1503"/>
  <c r="AJ226" i="1503"/>
  <c r="AJ261" i="1503"/>
  <c r="AJ270" i="1503"/>
  <c r="A15" i="1502"/>
  <c r="R15" i="1502" s="1"/>
  <c r="F15" i="1506" s="1"/>
  <c r="J15" i="1504"/>
  <c r="R38" i="1503"/>
  <c r="R57" i="1503"/>
  <c r="AJ68" i="1503"/>
  <c r="AJ83" i="1503"/>
  <c r="AJ159" i="1503"/>
  <c r="R166" i="1503"/>
  <c r="AJ183" i="1503"/>
  <c r="AJ191" i="1503"/>
  <c r="R220" i="1503"/>
  <c r="AJ225" i="1503"/>
  <c r="AJ237" i="1503"/>
  <c r="B16" i="1502"/>
  <c r="K16" i="1504"/>
  <c r="AH17" i="1499"/>
  <c r="A17" i="1499"/>
  <c r="CG17" i="1499"/>
  <c r="AQ17" i="7"/>
  <c r="BY17" i="7" s="1"/>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G16" i="1502"/>
  <c r="H16" i="1502" s="1"/>
  <c r="I16" i="1502" s="1"/>
  <c r="K16" i="1502"/>
  <c r="K15" i="1502"/>
  <c r="G15" i="1502"/>
  <c r="H15" i="1502" s="1"/>
  <c r="I15" i="1502" s="1"/>
  <c r="AC240" i="1503"/>
  <c r="J19" i="2"/>
  <c r="I19" i="2" s="1"/>
  <c r="AT16" i="7" s="1"/>
  <c r="J18" i="2"/>
  <c r="I18" i="2" s="1"/>
  <c r="J17" i="2"/>
  <c r="I17" i="2" s="1"/>
  <c r="J16" i="2"/>
  <c r="I16" i="2" s="1"/>
  <c r="J15" i="2"/>
  <c r="I15" i="2" s="1"/>
  <c r="J14" i="2"/>
  <c r="I14" i="2" s="1"/>
  <c r="J13" i="2"/>
  <c r="I13" i="2" s="1"/>
  <c r="J12" i="2"/>
  <c r="I12" i="2" s="1"/>
  <c r="J11" i="2"/>
  <c r="I11" i="2" s="1"/>
  <c r="J10" i="2"/>
  <c r="I10" i="2" s="1"/>
  <c r="J9" i="2"/>
  <c r="I9" i="2" s="1"/>
  <c r="J8" i="2"/>
  <c r="I8" i="2"/>
  <c r="A8" i="2"/>
  <c r="J7" i="2"/>
  <c r="I7" i="2" s="1"/>
  <c r="S15" i="1502" l="1"/>
  <c r="G15" i="1506" s="1"/>
  <c r="A9" i="2"/>
  <c r="A3" i="1506"/>
  <c r="P3" i="1504"/>
  <c r="P4" i="1504"/>
  <c r="L4" i="1506" s="1"/>
  <c r="P5" i="1504"/>
  <c r="P6" i="1504"/>
  <c r="P7" i="1504"/>
  <c r="L7" i="1506" s="1"/>
  <c r="P8" i="1504"/>
  <c r="P9" i="1504"/>
  <c r="P10" i="1504"/>
  <c r="P11" i="1504"/>
  <c r="P12" i="1504"/>
  <c r="P13" i="1504"/>
  <c r="P14" i="1504"/>
  <c r="L14" i="1506" s="1"/>
  <c r="O3" i="1504"/>
  <c r="O4" i="1504"/>
  <c r="O5" i="1504"/>
  <c r="K5" i="1506" s="1"/>
  <c r="O6" i="1504"/>
  <c r="O7" i="1504"/>
  <c r="O8" i="1504"/>
  <c r="O9" i="1504"/>
  <c r="K9" i="1506" s="1"/>
  <c r="O10" i="1504"/>
  <c r="O11" i="1504"/>
  <c r="O12" i="1504"/>
  <c r="O13" i="1504"/>
  <c r="O14" i="1504"/>
  <c r="K14" i="1506" s="1"/>
  <c r="P2" i="1504"/>
  <c r="L2" i="1506" s="1"/>
  <c r="O2" i="1504"/>
  <c r="K6" i="1506" l="1"/>
  <c r="L3" i="1506"/>
  <c r="K7" i="1506"/>
  <c r="A10" i="2"/>
  <c r="A4" i="1506"/>
  <c r="L8" i="1506"/>
  <c r="K4" i="1506"/>
  <c r="K13" i="1506"/>
  <c r="L11"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11" i="2" l="1"/>
  <c r="A5" i="1506"/>
  <c r="AH12" i="1499"/>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A12" i="2" l="1"/>
  <c r="A6" i="1506"/>
  <c r="G14" i="1502"/>
  <c r="H14" i="1502" s="1"/>
  <c r="I14" i="1502" s="1"/>
  <c r="S14" i="1502"/>
  <c r="G14" i="1506" s="1"/>
  <c r="K14" i="1502"/>
  <c r="A13" i="2" l="1"/>
  <c r="A7" i="1506"/>
  <c r="F12" i="1502"/>
  <c r="F13" i="1502"/>
  <c r="C12" i="1502"/>
  <c r="E12" i="1502" s="1"/>
  <c r="D12" i="1502" s="1"/>
  <c r="C13" i="1502"/>
  <c r="E13" i="1502" s="1"/>
  <c r="D13" i="1502" s="1"/>
  <c r="A14" i="2" l="1"/>
  <c r="A8" i="1506"/>
  <c r="AL2" i="1504"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15" i="2" l="1"/>
  <c r="A9" i="1506"/>
  <c r="AH3" i="1504"/>
  <c r="AH4" i="1504"/>
  <c r="AH5" i="1504"/>
  <c r="AH6" i="1504"/>
  <c r="AH7" i="1504"/>
  <c r="AH8" i="1504"/>
  <c r="AH9" i="1504"/>
  <c r="AH10" i="1504"/>
  <c r="AH11" i="1504"/>
  <c r="AH12" i="1504"/>
  <c r="AH13" i="1504"/>
  <c r="AH14" i="1504"/>
  <c r="AH2" i="1504"/>
  <c r="AA2" i="1504"/>
  <c r="X2" i="1504"/>
  <c r="W2" i="1504"/>
  <c r="AC2" i="1504" s="1"/>
  <c r="V2" i="1504"/>
  <c r="AB2" i="1504" s="1"/>
  <c r="X1" i="1504"/>
  <c r="T1" i="1504"/>
  <c r="W1" i="1504"/>
  <c r="V1" i="1504"/>
  <c r="Y2" i="1504"/>
  <c r="U2" i="1504"/>
  <c r="U1" i="1504"/>
  <c r="S1" i="1504"/>
  <c r="L2" i="1504"/>
  <c r="N2" i="1504"/>
  <c r="M2" i="1504"/>
  <c r="L3" i="1504"/>
  <c r="N3" i="1504"/>
  <c r="M3" i="1504"/>
  <c r="L4" i="1504"/>
  <c r="H4" i="1506" s="1"/>
  <c r="N4" i="1504"/>
  <c r="M4" i="1504"/>
  <c r="L5" i="1504"/>
  <c r="N5" i="1504"/>
  <c r="M5" i="1504"/>
  <c r="L6" i="1504"/>
  <c r="N6" i="1504"/>
  <c r="M6" i="1504"/>
  <c r="L7" i="1504"/>
  <c r="N7" i="1504"/>
  <c r="M7" i="1504"/>
  <c r="L8" i="1504"/>
  <c r="N8" i="1504"/>
  <c r="M8" i="1504"/>
  <c r="I8" i="1506" s="1"/>
  <c r="L9" i="1504"/>
  <c r="N9" i="1504"/>
  <c r="M9" i="1504"/>
  <c r="L10" i="1504"/>
  <c r="N10" i="1504"/>
  <c r="M10" i="1504"/>
  <c r="L11" i="1504"/>
  <c r="N11" i="1504"/>
  <c r="M11" i="1504"/>
  <c r="L12" i="1504"/>
  <c r="N12" i="1504"/>
  <c r="M12" i="1504"/>
  <c r="L13" i="1504"/>
  <c r="N13" i="1504"/>
  <c r="M13" i="1504"/>
  <c r="L14" i="1504"/>
  <c r="H14" i="1506" s="1"/>
  <c r="N14" i="1504"/>
  <c r="J14" i="1506" s="1"/>
  <c r="M14" i="1504"/>
  <c r="I14" i="1506" s="1"/>
  <c r="J9" i="1506" l="1"/>
  <c r="J3" i="1506"/>
  <c r="I3" i="1506"/>
  <c r="H9" i="1506"/>
  <c r="A16" i="2"/>
  <c r="A10"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H12" i="1504"/>
  <c r="I12" i="1504"/>
  <c r="H13" i="1504"/>
  <c r="I13" i="1504"/>
  <c r="H14" i="1504"/>
  <c r="I14" i="1504"/>
  <c r="H1" i="1504"/>
  <c r="I1" i="1504"/>
  <c r="A1" i="1504"/>
  <c r="A17" i="2" l="1"/>
  <c r="A11" i="1506"/>
  <c r="AN3" i="1499"/>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A18" i="2" l="1"/>
  <c r="A12" i="1506"/>
  <c r="A12" i="1504"/>
  <c r="E10" i="1502"/>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B13" i="1502"/>
  <c r="S13" i="1502" s="1"/>
  <c r="G13" i="1506" s="1"/>
  <c r="S12" i="1502" l="1"/>
  <c r="G12" i="1506" s="1"/>
  <c r="A19" i="2"/>
  <c r="A13" i="1506"/>
  <c r="A13" i="1504"/>
  <c r="G12" i="1502"/>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S10" i="1502" s="1"/>
  <c r="G10" i="1506" s="1"/>
  <c r="A14" i="1499"/>
  <c r="A7" i="1499"/>
  <c r="A10" i="1499"/>
  <c r="B5" i="1502"/>
  <c r="S5" i="1502" s="1"/>
  <c r="G5" i="1506" s="1"/>
  <c r="A13" i="1499"/>
  <c r="B4" i="1502"/>
  <c r="B8" i="1502"/>
  <c r="S8" i="1502" s="1"/>
  <c r="G8" i="1506" s="1"/>
  <c r="AK38" i="1495"/>
  <c r="B11" i="1502"/>
  <c r="S11" i="1502" s="1"/>
  <c r="G11" i="1506" s="1"/>
  <c r="G6" i="1502" l="1"/>
  <c r="H6" i="1502" s="1"/>
  <c r="I6" i="1502" s="1"/>
  <c r="S6" i="1502"/>
  <c r="G6" i="1506" s="1"/>
  <c r="G3" i="1502"/>
  <c r="H3" i="1502" s="1"/>
  <c r="I3" i="1502" s="1"/>
  <c r="S3" i="1502"/>
  <c r="G3" i="1506" s="1"/>
  <c r="A14" i="1506"/>
  <c r="A20" i="2"/>
  <c r="A14" i="1504"/>
  <c r="G7" i="1502"/>
  <c r="H7" i="1502" s="1"/>
  <c r="I7" i="1502" s="1"/>
  <c r="S7" i="1502"/>
  <c r="G7" i="1506" s="1"/>
  <c r="S4" i="1502"/>
  <c r="G4" i="1506" s="1"/>
  <c r="G9" i="1502"/>
  <c r="H9" i="1502" s="1"/>
  <c r="I9" i="1502" s="1"/>
  <c r="S9" i="1502"/>
  <c r="G9"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A15" i="1506" l="1"/>
  <c r="A15" i="1504"/>
  <c r="A16" i="7"/>
  <c r="A21" i="2"/>
  <c r="G24" i="1502"/>
  <c r="J14" i="1504"/>
  <c r="J13" i="1504"/>
  <c r="A13" i="1502"/>
  <c r="R13" i="1502" s="1"/>
  <c r="F13" i="1506" s="1"/>
  <c r="J12" i="1504"/>
  <c r="A12" i="1502"/>
  <c r="R12" i="1502" s="1"/>
  <c r="F12" i="1506" s="1"/>
  <c r="A4" i="1502"/>
  <c r="R4" i="1502" s="1"/>
  <c r="F4" i="1506" s="1"/>
  <c r="J4" i="1504"/>
  <c r="A6" i="1502"/>
  <c r="J6" i="1504"/>
  <c r="A5" i="1502"/>
  <c r="R5" i="1502" s="1"/>
  <c r="F5" i="1506" s="1"/>
  <c r="J5" i="1504"/>
  <c r="A11" i="1502"/>
  <c r="J11" i="1504"/>
  <c r="A10" i="1502"/>
  <c r="R10" i="1502" s="1"/>
  <c r="F10" i="1506" s="1"/>
  <c r="J10" i="1504"/>
  <c r="A3" i="1502"/>
  <c r="J3" i="1504"/>
  <c r="A9" i="1502"/>
  <c r="R9" i="1502" s="1"/>
  <c r="F9" i="1506" s="1"/>
  <c r="J9" i="1504"/>
  <c r="A8" i="1502"/>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A16" i="1504" l="1"/>
  <c r="A17" i="7"/>
  <c r="R3" i="1502"/>
  <c r="F3" i="1506" s="1"/>
  <c r="R11" i="1502"/>
  <c r="F11" i="1506" s="1"/>
  <c r="R8" i="1502"/>
  <c r="F8" i="1506" s="1"/>
  <c r="R6" i="1502"/>
  <c r="F6" i="1506" s="1"/>
  <c r="L2" i="1502"/>
  <c r="AK26" i="1495" l="1"/>
  <c r="AK3" i="1495"/>
  <c r="CC9" i="1499"/>
  <c r="CG47" i="1499"/>
  <c r="CG48" i="1499"/>
  <c r="CG49" i="1499"/>
  <c r="CG37" i="1499"/>
  <c r="CG3" i="1499"/>
  <c r="F2" i="1502" l="1"/>
  <c r="C2" i="1502"/>
  <c r="M24" i="1502" s="1"/>
  <c r="B2" i="1502"/>
  <c r="K2" i="1502" l="1"/>
  <c r="S2" i="1502"/>
  <c r="G2" i="1506" s="1"/>
  <c r="T5" i="1502"/>
  <c r="T2" i="1502"/>
  <c r="T8" i="1502"/>
  <c r="T4" i="1502"/>
  <c r="T6" i="1502"/>
  <c r="P2" i="1502"/>
  <c r="M2" i="1506" s="1"/>
  <c r="N2" i="1506" s="1"/>
  <c r="T7" i="1502"/>
  <c r="T10" i="1502"/>
  <c r="T11" i="1502"/>
  <c r="T13" i="1502"/>
  <c r="T3" i="1502"/>
  <c r="T9" i="1502"/>
  <c r="T16" i="1502"/>
  <c r="T12" i="1502"/>
  <c r="T14" i="1502"/>
  <c r="T15" i="1502"/>
  <c r="M15" i="1502"/>
  <c r="N15" i="1502" s="1"/>
  <c r="O15" i="1502" s="1"/>
  <c r="P15" i="1502"/>
  <c r="P16" i="1502"/>
  <c r="M16" i="1502"/>
  <c r="N16" i="1502" s="1"/>
  <c r="O16" i="1502" s="1"/>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M15" i="1506"/>
  <c r="N15" i="1506" s="1"/>
  <c r="Q15" i="1504"/>
  <c r="R15" i="1504" s="1"/>
  <c r="C16" i="1495"/>
  <c r="Q16" i="1502"/>
  <c r="Q16" i="1504"/>
  <c r="R16" i="1504" s="1"/>
  <c r="C17" i="1495"/>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Y4" i="7" l="1"/>
  <c r="Z4" i="7"/>
  <c r="Z5" i="7" s="1"/>
  <c r="Z6" i="7" s="1"/>
  <c r="Z7" i="7" s="1"/>
  <c r="Z8" i="7" s="1"/>
  <c r="Z9" i="7" s="1"/>
  <c r="Z10" i="7" s="1"/>
  <c r="Z11" i="7" s="1"/>
  <c r="Z12" i="7" s="1"/>
  <c r="Z13" i="7" s="1"/>
  <c r="Z14" i="7" s="1"/>
  <c r="Z15" i="7" s="1"/>
  <c r="Z16" i="7" s="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O2" i="1500"/>
  <c r="FJ2" i="1500"/>
  <c r="FG2" i="1500"/>
  <c r="EW2" i="1500"/>
  <c r="EO2" i="1500"/>
  <c r="FP2" i="1500"/>
  <c r="ER2" i="1500"/>
  <c r="FQ2" i="1500"/>
  <c r="FR2" i="1500"/>
  <c r="FE2" i="1500"/>
  <c r="FB2" i="1500"/>
  <c r="EX2" i="1500"/>
  <c r="ES2" i="1500"/>
  <c r="FL2" i="1500"/>
  <c r="FD2" i="1500"/>
  <c r="FF2" i="1500"/>
  <c r="FS2" i="1500"/>
  <c r="EQ2" i="1500"/>
  <c r="EM2" i="1500"/>
  <c r="FN2" i="1500"/>
  <c r="EV2" i="1500"/>
  <c r="EN2" i="1500"/>
  <c r="EU2" i="1500"/>
  <c r="FI2" i="1500"/>
  <c r="ET2" i="1500"/>
  <c r="EP2" i="1500"/>
  <c r="FA2" i="1500"/>
  <c r="FC2" i="1500"/>
  <c r="FM2" i="1500"/>
  <c r="EY2" i="1500"/>
  <c r="FH2" i="1500"/>
  <c r="EZ2" i="1500"/>
  <c r="FK2" i="1500"/>
  <c r="EK2" i="1500"/>
  <c r="L17" i="1499" l="1"/>
  <c r="AS17" i="1499"/>
  <c r="BB17" i="7"/>
  <c r="BZ17" i="7" s="1"/>
  <c r="Z17" i="7"/>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Q17" i="1499" l="1"/>
  <c r="AX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BI4" i="7" s="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S4" i="7"/>
  <c r="AY4" i="7"/>
  <c r="AP4" i="1499"/>
  <c r="BJ4" i="7"/>
  <c r="BA4" i="1499"/>
  <c r="AX4" i="7"/>
  <c r="AO4" i="1499"/>
  <c r="AW4" i="7"/>
  <c r="AN4" i="1499"/>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BE4" i="1499" l="1"/>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AH9" i="7"/>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Y9" i="1499"/>
  <c r="N9" i="7"/>
  <c r="AL9" i="1499" s="1"/>
  <c r="BT8" i="7"/>
  <c r="BU8" i="7" s="1"/>
  <c r="BV8" i="7"/>
  <c r="BW8" i="7" s="1"/>
  <c r="BE9" i="1499"/>
  <c r="BN9" i="7"/>
  <c r="S9" i="7"/>
  <c r="BK8" i="1499"/>
  <c r="AN8" i="7"/>
  <c r="BL8" i="1499" s="1"/>
  <c r="BF9" i="1499"/>
  <c r="BO9" i="7"/>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BQ9" i="7" l="1"/>
  <c r="Q8" i="1502"/>
  <c r="AO9" i="1499"/>
  <c r="AW9" i="7"/>
  <c r="BD9" i="7"/>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F9" i="1500"/>
  <c r="DE9" i="1500"/>
  <c r="B17" i="1500"/>
  <c r="BP9" i="1500"/>
  <c r="CV8" i="1500"/>
  <c r="CX8" i="1500"/>
  <c r="BT15" i="1500"/>
  <c r="CZ9" i="1500"/>
  <c r="ED8" i="1500"/>
  <c r="EF8" i="1500"/>
  <c r="DX9" i="1500"/>
  <c r="DW9" i="1500"/>
  <c r="DM9" i="1500"/>
  <c r="DZ9" i="1500"/>
  <c r="DU9" i="1500"/>
  <c r="DS9" i="1500"/>
  <c r="DC9" i="1500"/>
  <c r="G10" i="1499" l="1"/>
  <c r="BJ10" i="1499"/>
  <c r="Q10" i="1502"/>
  <c r="V10" i="7"/>
  <c r="AM10" i="7" s="1"/>
  <c r="AD10" i="1499" s="1"/>
  <c r="V10" i="1499"/>
  <c r="AA10" i="7"/>
  <c r="R10" i="1499" s="1"/>
  <c r="AX10" i="7"/>
  <c r="BS10" i="7"/>
  <c r="AO10" i="1499"/>
  <c r="BJ10" i="7"/>
  <c r="AA10" i="1499"/>
  <c r="AY10" i="1499"/>
  <c r="AZ10" i="1499"/>
  <c r="BD10" i="7"/>
  <c r="BQ10" i="7"/>
  <c r="N10" i="1499"/>
  <c r="W10" i="1499"/>
  <c r="AN10" i="1499"/>
  <c r="D10" i="1499"/>
  <c r="X11" i="7"/>
  <c r="O11" i="1499" s="1"/>
  <c r="AH11" i="7"/>
  <c r="BO11" i="7" s="1"/>
  <c r="BM10" i="7"/>
  <c r="AA11" i="7"/>
  <c r="AA12" i="7" s="1"/>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BT9" i="7"/>
  <c r="BU9" i="7" s="1"/>
  <c r="K11" i="1499"/>
  <c r="AR10" i="1499"/>
  <c r="BY10" i="7"/>
  <c r="AO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BH10" i="7" l="1"/>
  <c r="AK11" i="7"/>
  <c r="AK12" i="7" s="1"/>
  <c r="AE11" i="7"/>
  <c r="AE12" i="7"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W12" i="1499" s="1"/>
  <c r="Q9" i="1502"/>
  <c r="AE13" i="7"/>
  <c r="V13" i="1499" s="1"/>
  <c r="L11" i="7"/>
  <c r="AJ11" i="1499" s="1"/>
  <c r="M11" i="7"/>
  <c r="AK13" i="7"/>
  <c r="V11" i="1499"/>
  <c r="AB11" i="1499"/>
  <c r="BF11" i="1499"/>
  <c r="AB13" i="7"/>
  <c r="X12" i="7"/>
  <c r="O12" i="1499" s="1"/>
  <c r="BM11" i="7"/>
  <c r="BE11" i="7"/>
  <c r="AA13" i="7"/>
  <c r="R13" i="1499" s="1"/>
  <c r="AV11" i="1499"/>
  <c r="BC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F13" i="7"/>
  <c r="AV11" i="7"/>
  <c r="AE9" i="1499"/>
  <c r="E11" i="1499"/>
  <c r="BL11" i="7"/>
  <c r="CA10" i="7"/>
  <c r="BB11" i="7"/>
  <c r="AS11" i="1499"/>
  <c r="EC9" i="1500"/>
  <c r="EE9" i="1500"/>
  <c r="J11" i="1499"/>
  <c r="BX10" i="7"/>
  <c r="BC12" i="1499"/>
  <c r="BL12" i="7"/>
  <c r="AY12" i="1499"/>
  <c r="BH12" i="7"/>
  <c r="W13" i="7"/>
  <c r="AU12" i="1499"/>
  <c r="BD12" i="7"/>
  <c r="AZ12" i="1499"/>
  <c r="BI12" i="7"/>
  <c r="BM12" i="7"/>
  <c r="BM10" i="1499"/>
  <c r="AF10" i="1499"/>
  <c r="R12" i="1499"/>
  <c r="N12" i="1499"/>
  <c r="O13" i="7"/>
  <c r="AM12" i="1499"/>
  <c r="AV12" i="7"/>
  <c r="K12" i="1499"/>
  <c r="BY11" i="7"/>
  <c r="AR11" i="1499"/>
  <c r="BK10" i="1499"/>
  <c r="AN10" i="7"/>
  <c r="BZ10" i="7"/>
  <c r="S12" i="7"/>
  <c r="AZ11" i="7"/>
  <c r="AQ11" i="1499"/>
  <c r="BI11" i="1499"/>
  <c r="BR11" i="7"/>
  <c r="V12" i="1499"/>
  <c r="U12" i="1499"/>
  <c r="S12" i="1499"/>
  <c r="F12" i="1499"/>
  <c r="AT13" i="7"/>
  <c r="AQ13" i="7"/>
  <c r="BP20" i="1500"/>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BD11" i="1499" l="1"/>
  <c r="BD12" i="1499"/>
  <c r="R12" i="7"/>
  <c r="R13" i="7" s="1"/>
  <c r="I13" i="1499" s="1"/>
  <c r="AP11" i="1499"/>
  <c r="W11" i="1499"/>
  <c r="AN11" i="1499"/>
  <c r="BQ11" i="7"/>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I12"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AY12" i="7"/>
  <c r="AP12" i="1499"/>
  <c r="BJ12" i="7"/>
  <c r="BF12" i="1499"/>
  <c r="BO12" i="7"/>
  <c r="X13" i="1499"/>
  <c r="C12" i="1499"/>
  <c r="Z12" i="1499"/>
  <c r="BB12" i="7"/>
  <c r="BP12" i="7"/>
  <c r="AS12" i="1499"/>
  <c r="L12" i="1499"/>
  <c r="BZ11" i="7"/>
  <c r="BK13" i="7"/>
  <c r="BB13" i="1499"/>
  <c r="AZ13" i="1499"/>
  <c r="BI13" i="7"/>
  <c r="DR20" i="1500" s="1"/>
  <c r="BO13" i="7"/>
  <c r="DX20" i="1500" s="1"/>
  <c r="BF13" i="1499"/>
  <c r="AS13" i="1499"/>
  <c r="BB13" i="7"/>
  <c r="DK20" i="1500" s="1"/>
  <c r="S13" i="1499"/>
  <c r="AU13" i="1499"/>
  <c r="BD13" i="7"/>
  <c r="DM20" i="1500" s="1"/>
  <c r="S13" i="7"/>
  <c r="J13" i="1499" s="1"/>
  <c r="AQ12" i="1499"/>
  <c r="AZ12" i="7"/>
  <c r="J12" i="1499"/>
  <c r="BP13" i="7"/>
  <c r="DY20" i="1500" s="1"/>
  <c r="BG13" i="1499"/>
  <c r="Q13" i="1499"/>
  <c r="AX12" i="1499"/>
  <c r="BL10" i="1499"/>
  <c r="AE10"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L13" i="7"/>
  <c r="DU20" i="1500" s="1"/>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A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AP13" i="1499" l="1"/>
  <c r="L13" i="7"/>
  <c r="AR13" i="7" s="1"/>
  <c r="DA20" i="1500" s="1"/>
  <c r="AY13" i="7"/>
  <c r="DH20" i="1500" s="1"/>
  <c r="AR12" i="7"/>
  <c r="AS12" i="7" s="1"/>
  <c r="L11" i="1502" s="1"/>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BF13" i="7"/>
  <c r="DO20" i="1500" s="1"/>
  <c r="AK12" i="1499"/>
  <c r="M13" i="7"/>
  <c r="D12" i="1499"/>
  <c r="CH20" i="1500"/>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Y14" i="7"/>
  <c r="CB20" i="1500"/>
  <c r="CC20" i="1500"/>
  <c r="P14" i="7"/>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B3" i="1492"/>
  <c r="C3" i="1492"/>
  <c r="G13" i="1499" l="1"/>
  <c r="AW13" i="1499"/>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AO14" i="7" s="1"/>
  <c r="CX21" i="1500" s="1"/>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W15" i="7"/>
  <c r="W16" i="7" s="1"/>
  <c r="Y15" i="7"/>
  <c r="Y16" i="7" s="1"/>
  <c r="AW14" i="1499"/>
  <c r="BF14" i="7"/>
  <c r="DO21" i="1500"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BB16" i="1499" l="1"/>
  <c r="U16" i="1499"/>
  <c r="BK16" i="7"/>
  <c r="CA16" i="7" s="1"/>
  <c r="AD17" i="7"/>
  <c r="W17" i="7"/>
  <c r="N16" i="1499"/>
  <c r="AU16" i="1499"/>
  <c r="BD16" i="7"/>
  <c r="AA17" i="7"/>
  <c r="AY16" i="1499"/>
  <c r="R16" i="1499"/>
  <c r="BH16" i="7"/>
  <c r="AI17" i="7"/>
  <c r="Z16" i="1499"/>
  <c r="BG16" i="1499"/>
  <c r="BP16" i="7"/>
  <c r="BE16" i="1499"/>
  <c r="X16" i="1499"/>
  <c r="AG17" i="7"/>
  <c r="BN16" i="7"/>
  <c r="AL14" i="1499"/>
  <c r="AN16" i="1499"/>
  <c r="G16" i="1499"/>
  <c r="AW16" i="7"/>
  <c r="P17" i="7"/>
  <c r="E14" i="1499"/>
  <c r="AW16" i="1499"/>
  <c r="P16" i="1499"/>
  <c r="AU14" i="7"/>
  <c r="DD21" i="1500" s="1"/>
  <c r="AZ16" i="1499"/>
  <c r="S16" i="1499"/>
  <c r="BI16" i="7"/>
  <c r="AB17"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DE21" i="1500"/>
  <c r="BK15" i="7"/>
  <c r="BB15" i="1499"/>
  <c r="CJ22" i="1500"/>
  <c r="BM14" i="1499"/>
  <c r="AF14" i="1499"/>
  <c r="BX14" i="7"/>
  <c r="EG21" i="1500" s="1"/>
  <c r="AW15" i="1499"/>
  <c r="BF15" i="7"/>
  <c r="DO22" i="1500" s="1"/>
  <c r="S15" i="7"/>
  <c r="S16" i="7" s="1"/>
  <c r="AN14" i="7"/>
  <c r="CW21" i="1500" s="1"/>
  <c r="AD14" i="1499"/>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BK14" i="1499" l="1"/>
  <c r="G17" i="1499"/>
  <c r="AN17" i="1499"/>
  <c r="AW17" i="7"/>
  <c r="M17" i="7"/>
  <c r="AK16" i="1499"/>
  <c r="D16" i="1499"/>
  <c r="BF15" i="1499"/>
  <c r="AH16" i="7"/>
  <c r="BG17" i="1499"/>
  <c r="Z17" i="1499"/>
  <c r="BP17" i="7"/>
  <c r="N17" i="1499"/>
  <c r="AU17" i="1499"/>
  <c r="BD17" i="7"/>
  <c r="O15" i="1499"/>
  <c r="X16" i="7"/>
  <c r="S17" i="1499"/>
  <c r="AZ17" i="1499"/>
  <c r="BI17" i="7"/>
  <c r="H16" i="1499"/>
  <c r="AO16" i="1499"/>
  <c r="AX16" i="7"/>
  <c r="Q17" i="7"/>
  <c r="I15" i="1499"/>
  <c r="R16" i="7"/>
  <c r="BL13" i="1499"/>
  <c r="T16" i="1499"/>
  <c r="BA16" i="1499"/>
  <c r="AC17" i="7"/>
  <c r="BJ16" i="7"/>
  <c r="AJ17" i="7"/>
  <c r="AA16" i="1499"/>
  <c r="BH16" i="1499"/>
  <c r="BQ16" i="7"/>
  <c r="AM15" i="1499"/>
  <c r="O16" i="7"/>
  <c r="X17" i="1499"/>
  <c r="BE17" i="1499"/>
  <c r="BN17" i="7"/>
  <c r="BM15" i="7"/>
  <c r="DV22" i="1500" s="1"/>
  <c r="AF16" i="7"/>
  <c r="AW17" i="1499"/>
  <c r="P17" i="1499"/>
  <c r="R17" i="1499"/>
  <c r="AY17" i="1499"/>
  <c r="BH17" i="7"/>
  <c r="AE13" i="1499"/>
  <c r="BC15" i="7"/>
  <c r="DL22" i="1500" s="1"/>
  <c r="V16" i="7"/>
  <c r="AQ16" i="1499"/>
  <c r="J16" i="1499"/>
  <c r="AZ16" i="7"/>
  <c r="S17" i="7"/>
  <c r="N17" i="7"/>
  <c r="E16" i="1499"/>
  <c r="AL16" i="1499"/>
  <c r="AU16" i="7"/>
  <c r="BI16" i="1499"/>
  <c r="AB16" i="1499"/>
  <c r="AK17" i="7"/>
  <c r="BR16" i="7"/>
  <c r="U17" i="1499"/>
  <c r="BB17" i="1499"/>
  <c r="BK17" i="7"/>
  <c r="CA17" i="7" s="1"/>
  <c r="AC16" i="1499"/>
  <c r="BJ16" i="1499"/>
  <c r="AL17" i="7"/>
  <c r="BS16" i="7"/>
  <c r="BC16" i="1499"/>
  <c r="V16" i="1499"/>
  <c r="BL16" i="7"/>
  <c r="AE17" i="7"/>
  <c r="AR15" i="7"/>
  <c r="L16" i="7"/>
  <c r="BF17" i="7"/>
  <c r="Q15" i="1499"/>
  <c r="BV14" i="7"/>
  <c r="BW14" i="7" s="1"/>
  <c r="EF21" i="1500" s="1"/>
  <c r="EE20" i="1500"/>
  <c r="AS15" i="7"/>
  <c r="L14" i="1502" s="1"/>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BL14" i="1499"/>
  <c r="AE14"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BX23" i="1500"/>
  <c r="DA22" i="1500"/>
  <c r="CN22" i="1500"/>
  <c r="U15" i="1499"/>
  <c r="CE23" i="1500"/>
  <c r="BS22" i="1500"/>
  <c r="BV22" i="1500"/>
  <c r="Y15" i="1499"/>
  <c r="CO22" i="1500"/>
  <c r="W15" i="1499"/>
  <c r="K15" i="1499"/>
  <c r="BY23" i="1500"/>
  <c r="CM23" i="1500"/>
  <c r="CI23" i="1500"/>
  <c r="DB22" i="1500"/>
  <c r="DO23" i="1500"/>
  <c r="DF23" i="1500"/>
  <c r="DC23" i="1500"/>
  <c r="CA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BC17" i="1499" l="1"/>
  <c r="V17" i="1499"/>
  <c r="BL17" i="7"/>
  <c r="BI17" i="1499"/>
  <c r="AB17" i="1499"/>
  <c r="BR17" i="7"/>
  <c r="O17" i="7"/>
  <c r="AM16" i="1499"/>
  <c r="F16" i="1499"/>
  <c r="AV16" i="7"/>
  <c r="AM16" i="7"/>
  <c r="AO16" i="7"/>
  <c r="CX23" i="1500" s="1"/>
  <c r="BP36" i="1499" a="1"/>
  <c r="BT19" i="1499" a="1"/>
  <c r="BV36" i="1499" a="1"/>
  <c r="BP19" i="1499" a="1"/>
  <c r="AH17" i="7"/>
  <c r="Y16" i="1499"/>
  <c r="BF16" i="1499"/>
  <c r="BO16" i="7"/>
  <c r="AO17" i="1499"/>
  <c r="H17" i="1499"/>
  <c r="AX17" i="7"/>
  <c r="AC17" i="1499"/>
  <c r="BJ17" i="1499"/>
  <c r="BS17" i="7"/>
  <c r="BH17" i="1499"/>
  <c r="AA17" i="1499"/>
  <c r="BQ17" i="7"/>
  <c r="BP37" i="1499" a="1"/>
  <c r="BP14" i="1499" a="1"/>
  <c r="BT14" i="1499" a="1"/>
  <c r="BV37" i="1499" a="1"/>
  <c r="E17" i="1499"/>
  <c r="AL17" i="1499"/>
  <c r="AU17" i="7"/>
  <c r="AQ17" i="1499"/>
  <c r="J17" i="1499"/>
  <c r="AZ17" i="7"/>
  <c r="BD16" i="1499"/>
  <c r="W16" i="1499"/>
  <c r="BM16" i="7"/>
  <c r="AF17" i="7"/>
  <c r="BA17" i="1499"/>
  <c r="T17" i="1499"/>
  <c r="BJ17" i="7"/>
  <c r="X17" i="7"/>
  <c r="O16" i="1499"/>
  <c r="AV16" i="1499"/>
  <c r="BE16" i="7"/>
  <c r="DN23" i="1500" s="1"/>
  <c r="AK17" i="1499"/>
  <c r="D17" i="1499"/>
  <c r="L17" i="7"/>
  <c r="C16" i="1499"/>
  <c r="AJ16" i="1499"/>
  <c r="AR16" i="7"/>
  <c r="AS16" i="7" s="1"/>
  <c r="L15" i="1502" s="1"/>
  <c r="V17" i="7"/>
  <c r="M16" i="1499"/>
  <c r="AT16" i="1499"/>
  <c r="BC16" i="7"/>
  <c r="AP16" i="1499"/>
  <c r="I16" i="1499"/>
  <c r="R17" i="7"/>
  <c r="AY16" i="7"/>
  <c r="DH23" i="1500" s="1"/>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L23" i="1500"/>
  <c r="DJ23" i="1500"/>
  <c r="EB23" i="1500"/>
  <c r="DP23" i="1500"/>
  <c r="DX23" i="1500"/>
  <c r="CQ23" i="1500"/>
  <c r="CU23" i="1500"/>
  <c r="BU23" i="1500"/>
  <c r="DZ23" i="1500"/>
  <c r="CS23" i="1500"/>
  <c r="CZ23" i="1500"/>
  <c r="DS23" i="1500"/>
  <c r="CL23" i="1500"/>
  <c r="CD23" i="1500"/>
  <c r="DU23" i="1500"/>
  <c r="C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I17" i="1499" l="1"/>
  <c r="AP17" i="1499"/>
  <c r="AY17" i="7"/>
  <c r="AF16" i="1499"/>
  <c r="BM16" i="1499"/>
  <c r="BV37" i="1499"/>
  <c r="CE14" i="1499" s="1"/>
  <c r="CA37" i="1499"/>
  <c r="BZ14" i="1499" s="1" a="1"/>
  <c r="BZ14" i="1499" s="1"/>
  <c r="BZ37" i="1499"/>
  <c r="CA14" i="1499" s="1"/>
  <c r="BY37" i="1499"/>
  <c r="CB14" i="1499" s="1"/>
  <c r="BX37" i="1499"/>
  <c r="CC14" i="1499" s="1"/>
  <c r="BW37" i="1499"/>
  <c r="CD14" i="1499" s="1"/>
  <c r="CB37" i="1499"/>
  <c r="BY14" i="1499" s="1" a="1"/>
  <c r="BY14" i="1499" s="1"/>
  <c r="BK16" i="1499"/>
  <c r="AD16" i="1499"/>
  <c r="AN16" i="7"/>
  <c r="BU14" i="1499"/>
  <c r="BT14" i="1499"/>
  <c r="BX14" i="1499"/>
  <c r="BW14" i="1499"/>
  <c r="BV14" i="1499"/>
  <c r="BV16" i="7"/>
  <c r="BW16" i="7" s="1"/>
  <c r="BT16" i="7"/>
  <c r="BU16" i="7" s="1"/>
  <c r="BQ14" i="1499"/>
  <c r="BS14" i="1499"/>
  <c r="BP14" i="1499"/>
  <c r="BR14" i="1499"/>
  <c r="F17" i="1499"/>
  <c r="AM17" i="1499"/>
  <c r="AV17" i="7"/>
  <c r="AO17" i="7"/>
  <c r="AM17" i="7"/>
  <c r="BP37" i="1499"/>
  <c r="BT37" i="1499"/>
  <c r="BS37" i="1499"/>
  <c r="BU37" i="1499"/>
  <c r="BQ37" i="1499"/>
  <c r="BR37" i="1499"/>
  <c r="AT17" i="1499"/>
  <c r="M17" i="1499"/>
  <c r="BC17" i="7"/>
  <c r="W17" i="1499"/>
  <c r="BD17" i="1499"/>
  <c r="BM17" i="7"/>
  <c r="DE23" i="1500"/>
  <c r="AJ17" i="1499"/>
  <c r="C17" i="1499"/>
  <c r="AR17" i="7"/>
  <c r="AS17" i="7" s="1"/>
  <c r="L16" i="1502" s="1"/>
  <c r="BF17" i="1499"/>
  <c r="Y17" i="1499"/>
  <c r="BO17" i="7"/>
  <c r="O17" i="1499"/>
  <c r="AV17" i="1499"/>
  <c r="BE17" i="7"/>
  <c r="BS19" i="1499"/>
  <c r="BP19" i="1499"/>
  <c r="BQ19" i="1499"/>
  <c r="BR19" i="1499"/>
  <c r="BY36" i="1499"/>
  <c r="BW36" i="1499"/>
  <c r="BX36" i="1499"/>
  <c r="BZ36" i="1499"/>
  <c r="CA36" i="1499"/>
  <c r="CB36" i="1499"/>
  <c r="BV36" i="1499"/>
  <c r="BW19" i="1499"/>
  <c r="BV19" i="1499"/>
  <c r="BT19" i="1499"/>
  <c r="BX19" i="1499"/>
  <c r="BU19" i="1499"/>
  <c r="BP36" i="1499"/>
  <c r="CD19" i="1499" s="1"/>
  <c r="BR36" i="1499"/>
  <c r="CB19" i="1499" s="1"/>
  <c r="BS36" i="1499"/>
  <c r="CA19" i="1499" s="1"/>
  <c r="BT36" i="1499"/>
  <c r="BZ19" i="1499" s="1"/>
  <c r="BU36" i="1499"/>
  <c r="BY19" i="1499" s="1"/>
  <c r="BQ36" i="1499"/>
  <c r="CC19" i="1499" s="1"/>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AD17" i="1499" l="1"/>
  <c r="BK17" i="1499"/>
  <c r="AN17" i="7"/>
  <c r="BM17" i="1499"/>
  <c r="AF17" i="1499"/>
  <c r="BT17" i="7"/>
  <c r="BU17" i="7" s="1"/>
  <c r="BV17" i="7"/>
  <c r="BW17" i="7" s="1"/>
  <c r="L16" i="1495"/>
  <c r="U15" i="1504" s="1"/>
  <c r="AA15" i="1504" s="1"/>
  <c r="E33" i="1495"/>
  <c r="L13" i="1495"/>
  <c r="L17" i="1495"/>
  <c r="U16" i="1504" s="1"/>
  <c r="AA16" i="1504" s="1"/>
  <c r="E29" i="1495"/>
  <c r="L5" i="1495"/>
  <c r="E32" i="1495"/>
  <c r="E21" i="1495"/>
  <c r="L8" i="1495"/>
  <c r="E31" i="1495"/>
  <c r="E30" i="1495"/>
  <c r="L6" i="1495"/>
  <c r="E20" i="1495"/>
  <c r="E34" i="1495"/>
  <c r="EN34" i="1500" s="1"/>
  <c r="L11" i="1495"/>
  <c r="L7" i="1495"/>
  <c r="E26" i="1495"/>
  <c r="L4" i="1495"/>
  <c r="E28" i="1495"/>
  <c r="E22" i="1495"/>
  <c r="L12" i="1495"/>
  <c r="E27" i="1495"/>
  <c r="L14" i="1495"/>
  <c r="E25" i="1495"/>
  <c r="L9" i="1495"/>
  <c r="E23" i="1495"/>
  <c r="L15" i="1495"/>
  <c r="E24" i="1495"/>
  <c r="L10" i="1495"/>
  <c r="BL16" i="1499"/>
  <c r="AE16" i="1499"/>
  <c r="Q16" i="1495"/>
  <c r="T15" i="1504" s="1"/>
  <c r="Z15" i="1504" s="1"/>
  <c r="Q17" i="1495"/>
  <c r="D29" i="1495"/>
  <c r="D24" i="1495"/>
  <c r="P6" i="1506" s="1"/>
  <c r="D20" i="1495"/>
  <c r="EM20" i="1500" s="1"/>
  <c r="Q4" i="1495"/>
  <c r="D25" i="1495"/>
  <c r="P7" i="1506" s="1"/>
  <c r="D22" i="1495"/>
  <c r="P4" i="1506" s="1"/>
  <c r="D27" i="1495"/>
  <c r="EM27" i="1500" s="1"/>
  <c r="D26" i="1495"/>
  <c r="P8" i="1506" s="1"/>
  <c r="D21" i="1495"/>
  <c r="EM21" i="1500" s="1"/>
  <c r="D23" i="1495"/>
  <c r="P5" i="1506" s="1"/>
  <c r="D28" i="1495"/>
  <c r="EM28" i="1500" s="1"/>
  <c r="D30" i="1495"/>
  <c r="EM30" i="1500" s="1"/>
  <c r="D34" i="1495"/>
  <c r="EM34" i="1500" s="1"/>
  <c r="D32" i="1495"/>
  <c r="P11" i="1506"/>
  <c r="EM29" i="1500"/>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M25" i="1500" l="1"/>
  <c r="P2" i="1506"/>
  <c r="Q8" i="1506"/>
  <c r="W8" i="1506" s="1"/>
  <c r="EN26" i="1500"/>
  <c r="Q11" i="1506"/>
  <c r="W11" i="1506" s="1"/>
  <c r="EN29" i="1500"/>
  <c r="Q6" i="1506"/>
  <c r="W6" i="1506" s="1"/>
  <c r="EN24" i="1500"/>
  <c r="Q4" i="1506"/>
  <c r="W4" i="1506" s="1"/>
  <c r="EN22" i="1500"/>
  <c r="Q5" i="1506"/>
  <c r="W5" i="1506" s="1"/>
  <c r="EN23" i="1500"/>
  <c r="Q15" i="1506"/>
  <c r="W15" i="1506" s="1"/>
  <c r="EN33" i="1500"/>
  <c r="Q2" i="1506"/>
  <c r="W2" i="1506" s="1"/>
  <c r="EN20" i="1500"/>
  <c r="Q7" i="1506"/>
  <c r="W7" i="1506" s="1"/>
  <c r="EN25" i="1500"/>
  <c r="Q12" i="1506"/>
  <c r="W12" i="1506" s="1"/>
  <c r="EN30" i="1500"/>
  <c r="Q9" i="1506"/>
  <c r="W9" i="1506" s="1"/>
  <c r="EN27" i="1500"/>
  <c r="Q13" i="1506"/>
  <c r="W13" i="1506" s="1"/>
  <c r="EN31" i="1500"/>
  <c r="Q3" i="1506"/>
  <c r="W3" i="1506" s="1"/>
  <c r="EN21" i="1500"/>
  <c r="AE17" i="1499"/>
  <c r="BL17" i="1499"/>
  <c r="Q10" i="1506"/>
  <c r="W10" i="1506" s="1"/>
  <c r="EN28" i="1500"/>
  <c r="Q14" i="1506"/>
  <c r="W14" i="1506" s="1"/>
  <c r="EN32" i="1500"/>
  <c r="P9" i="1506"/>
  <c r="V9" i="1506" s="1"/>
  <c r="EM26" i="1500"/>
  <c r="EM24" i="1500"/>
  <c r="EM33" i="1500"/>
  <c r="P15" i="1506"/>
  <c r="EM32" i="1500"/>
  <c r="P14" i="1506"/>
  <c r="T16" i="1504"/>
  <c r="Z16" i="1504" s="1"/>
  <c r="P10" i="1506"/>
  <c r="V10" i="1506" s="1"/>
  <c r="P12" i="1506"/>
  <c r="V12" i="1506" s="1"/>
  <c r="EM22" i="1500"/>
  <c r="P3" i="1506"/>
  <c r="V3" i="1506" s="1"/>
  <c r="EM23" i="1500"/>
  <c r="V7" i="1506"/>
  <c r="V11" i="1506"/>
  <c r="P13" i="1506"/>
  <c r="EM31" i="1500"/>
  <c r="V6" i="1506"/>
  <c r="V2" i="1506"/>
  <c r="V4" i="1506"/>
  <c r="V5" i="1506"/>
  <c r="V8"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4" i="1506" l="1"/>
  <c r="V15" i="1506"/>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A15"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R16" i="1495" l="1"/>
  <c r="J16" i="1495"/>
  <c r="M16" i="1495"/>
  <c r="EV16" i="1500" s="1"/>
  <c r="I17" i="1495"/>
  <c r="W16" i="1504" s="1"/>
  <c r="AC16" i="1504" s="1"/>
  <c r="I16" i="1495"/>
  <c r="W15" i="1504" s="1"/>
  <c r="AC15" i="1504" s="1"/>
  <c r="AB17" i="1495"/>
  <c r="AB16" i="1495"/>
  <c r="FK16" i="1500" s="1"/>
  <c r="P16" i="1495"/>
  <c r="EY16" i="1500" s="1"/>
  <c r="P17" i="1495"/>
  <c r="M17" i="1495"/>
  <c r="N16" i="1495"/>
  <c r="EW16" i="1500" s="1"/>
  <c r="N17" i="1495"/>
  <c r="S17" i="1495"/>
  <c r="S16" i="1495"/>
  <c r="R17" i="1495"/>
  <c r="U17" i="1495"/>
  <c r="AJ17" i="1495" s="1"/>
  <c r="U16" i="1495"/>
  <c r="AJ16" i="1495" s="1"/>
  <c r="X17" i="1495"/>
  <c r="FG17" i="1500" s="1"/>
  <c r="X16" i="1495"/>
  <c r="FG16" i="1500" s="1"/>
  <c r="Y16" i="1495"/>
  <c r="Y17" i="1495"/>
  <c r="J17" i="1495"/>
  <c r="G34" i="1495"/>
  <c r="EP34" i="1500" s="1"/>
  <c r="G31" i="1495"/>
  <c r="G30" i="1495"/>
  <c r="G33" i="1495"/>
  <c r="G32" i="1495"/>
  <c r="I4" i="1495"/>
  <c r="G28" i="1495"/>
  <c r="G29" i="1495"/>
  <c r="G21" i="1495"/>
  <c r="G27" i="1495"/>
  <c r="G25" i="1495"/>
  <c r="G22" i="1495"/>
  <c r="G26" i="1495"/>
  <c r="G24" i="1495"/>
  <c r="G23"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FA15" i="1500" s="1"/>
  <c r="J6" i="1495"/>
  <c r="ES6" i="1500" s="1"/>
  <c r="CW49" i="1499"/>
  <c r="CT46" i="1499"/>
  <c r="CT74" i="1499" s="1"/>
  <c r="CT45" i="1499"/>
  <c r="CT73" i="1499" s="1"/>
  <c r="CT44" i="1499"/>
  <c r="CT72" i="1499" s="1"/>
  <c r="CT43" i="1499"/>
  <c r="CT71" i="1499" s="1"/>
  <c r="CT3" i="1499"/>
  <c r="CT47" i="1499"/>
  <c r="CT39" i="1499"/>
  <c r="CT38" i="1499"/>
  <c r="CT40" i="1499"/>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FK15" i="1500" s="1"/>
  <c r="AB6" i="1495"/>
  <c r="FK6" i="1500" s="1"/>
  <c r="AB13" i="1495"/>
  <c r="FK13" i="1500" s="1"/>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FB17" i="1500"/>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X7" i="1495"/>
  <c r="FG7" i="1500" s="1"/>
  <c r="X5" i="1495"/>
  <c r="FG5" i="1500" s="1"/>
  <c r="X6" i="1495"/>
  <c r="FG6" i="1500" s="1"/>
  <c r="FG18" i="1500"/>
  <c r="FG19" i="1500"/>
  <c r="X9" i="1495"/>
  <c r="FG9" i="1500" s="1"/>
  <c r="X12" i="1495"/>
  <c r="FG12" i="1500" s="1"/>
  <c r="X11" i="1495"/>
  <c r="FG11" i="1500" s="1"/>
  <c r="X10" i="1495"/>
  <c r="FG10" i="1500" s="1"/>
  <c r="X14" i="1495"/>
  <c r="FG14" i="1500" s="1"/>
  <c r="ES16" i="1500"/>
  <c r="M8" i="1495"/>
  <c r="R14" i="1495"/>
  <c r="FA14" i="1500" s="1"/>
  <c r="ES19" i="1500"/>
  <c r="EV17" i="1500"/>
  <c r="R13" i="1495"/>
  <c r="U5" i="1495"/>
  <c r="FD5" i="1500" s="1"/>
  <c r="FD18" i="1500"/>
  <c r="U10" i="1495"/>
  <c r="FD10" i="1500" s="1"/>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CB13" i="1499" s="1"/>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CT6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CT68" i="1499"/>
  <c r="DE46" i="1499"/>
  <c r="CS44" i="1499"/>
  <c r="CS72" i="1499" s="1"/>
  <c r="CO40" i="1499"/>
  <c r="EZ19" i="1500"/>
  <c r="BZ10" i="1499"/>
  <c r="BY10" i="1499"/>
  <c r="EZ18" i="1500"/>
  <c r="DH3" i="1499"/>
  <c r="FK17" i="1500"/>
  <c r="FA17" i="1500"/>
  <c r="FA19" i="1500"/>
  <c r="F18" i="1492"/>
  <c r="FA18" i="1500"/>
  <c r="R4" i="1495"/>
  <c r="FA4" i="1500" s="1"/>
  <c r="AB4" i="1495"/>
  <c r="FK19" i="1500"/>
  <c r="CO3" i="1499"/>
  <c r="CX3" i="1499"/>
  <c r="J18" i="1492"/>
  <c r="CC24" i="1499"/>
  <c r="FH7" i="1500"/>
  <c r="DE3" i="1499"/>
  <c r="CS3" i="1499"/>
  <c r="CP3" i="1499"/>
  <c r="CC25" i="1499"/>
  <c r="M4" i="1495"/>
  <c r="EV4" i="1500" s="1"/>
  <c r="BZ25" i="1499"/>
  <c r="CA25" i="1499"/>
  <c r="CC7" i="1499"/>
  <c r="Y4" i="1495"/>
  <c r="FH4" i="1500" s="1"/>
  <c r="J4" i="1495"/>
  <c r="ES4" i="1500" s="1"/>
  <c r="FB16" i="1500"/>
  <c r="S4" i="1495"/>
  <c r="FB4" i="1500" s="1"/>
  <c r="CC5" i="1499"/>
  <c r="DD3" i="1499"/>
  <c r="CB10" i="1499"/>
  <c r="CY3" i="1499"/>
  <c r="X4" i="1495"/>
  <c r="FG4" i="1500" s="1"/>
  <c r="CA22" i="1499"/>
  <c r="BY22" i="1499"/>
  <c r="BZ22" i="1499"/>
  <c r="CA17" i="1499"/>
  <c r="CB17" i="1499"/>
  <c r="BY17" i="1499"/>
  <c r="BZ9" i="1499"/>
  <c r="BY9" i="1499"/>
  <c r="CC28" i="1499"/>
  <c r="O18" i="1492" l="1"/>
  <c r="F34" i="1495"/>
  <c r="EO34" i="1500" s="1"/>
  <c r="AT4" i="1495"/>
  <c r="FD17" i="1500"/>
  <c r="V17" i="1495"/>
  <c r="V16" i="1495"/>
  <c r="G16" i="1495"/>
  <c r="G17" i="1495"/>
  <c r="EP17" i="1500" s="1"/>
  <c r="EP32" i="1500"/>
  <c r="S14" i="1506"/>
  <c r="Y14" i="1506" s="1"/>
  <c r="EP33" i="1500"/>
  <c r="S15" i="1506"/>
  <c r="Y15" i="1506" s="1"/>
  <c r="E17" i="1495"/>
  <c r="E16" i="1495"/>
  <c r="O17" i="1495"/>
  <c r="O16" i="1495"/>
  <c r="EX16" i="1500" s="1"/>
  <c r="T16" i="1495"/>
  <c r="FC16" i="1500" s="1"/>
  <c r="T17" i="1495"/>
  <c r="H16" i="1495"/>
  <c r="V15" i="1504" s="1"/>
  <c r="AB15" i="1504" s="1"/>
  <c r="D17" i="1495"/>
  <c r="EM17" i="1500" s="1"/>
  <c r="D16" i="1495"/>
  <c r="H17" i="1495"/>
  <c r="V16" i="1504" s="1"/>
  <c r="AB16" i="1504" s="1"/>
  <c r="W16" i="1495"/>
  <c r="W17" i="1495"/>
  <c r="FF17" i="1500" s="1"/>
  <c r="AC16" i="1495"/>
  <c r="AC17" i="1495"/>
  <c r="AA17" i="1495"/>
  <c r="AA16" i="1495"/>
  <c r="F17" i="1495"/>
  <c r="F16" i="1495"/>
  <c r="H7" i="1495"/>
  <c r="H6" i="1495"/>
  <c r="S12" i="1506"/>
  <c r="Y12" i="1506" s="1"/>
  <c r="EP30" i="1500"/>
  <c r="H10" i="1495"/>
  <c r="V9" i="1504" s="1"/>
  <c r="AB9" i="1504" s="1"/>
  <c r="S13" i="1506"/>
  <c r="Y13" i="1506" s="1"/>
  <c r="EP31" i="1500"/>
  <c r="H5" i="1495"/>
  <c r="F20" i="1495"/>
  <c r="S2" i="1506"/>
  <c r="Y2" i="1506" s="1"/>
  <c r="EP20" i="1500"/>
  <c r="F25" i="1495"/>
  <c r="F27" i="1495"/>
  <c r="S5" i="1506"/>
  <c r="Y5" i="1506" s="1"/>
  <c r="EP23" i="1500"/>
  <c r="F26" i="1495"/>
  <c r="F21" i="1495"/>
  <c r="S6" i="1506"/>
  <c r="Y6" i="1506" s="1"/>
  <c r="EP24" i="1500"/>
  <c r="F23" i="1495"/>
  <c r="H13" i="1495"/>
  <c r="S8" i="1506"/>
  <c r="Y8" i="1506" s="1"/>
  <c r="EP26" i="1500"/>
  <c r="F24" i="1495"/>
  <c r="H4" i="1495"/>
  <c r="S4" i="1506"/>
  <c r="Y4" i="1506" s="1"/>
  <c r="EP22" i="1500"/>
  <c r="F22" i="1495"/>
  <c r="F29" i="1495"/>
  <c r="S7" i="1506"/>
  <c r="Y7" i="1506" s="1"/>
  <c r="EP25" i="1500"/>
  <c r="H14" i="1495"/>
  <c r="H15" i="1495"/>
  <c r="S9" i="1506"/>
  <c r="Y9" i="1506" s="1"/>
  <c r="EP27" i="1500"/>
  <c r="H12" i="1495"/>
  <c r="F32" i="1495"/>
  <c r="S3" i="1506"/>
  <c r="Y3" i="1506" s="1"/>
  <c r="EP21" i="1500"/>
  <c r="H9" i="1495"/>
  <c r="F30" i="1495"/>
  <c r="S11" i="1506"/>
  <c r="Y11" i="1506" s="1"/>
  <c r="EP29" i="1500"/>
  <c r="F28" i="1495"/>
  <c r="F31" i="1495"/>
  <c r="S10" i="1506"/>
  <c r="Y10" i="1506" s="1"/>
  <c r="EP28" i="1500"/>
  <c r="H11" i="1495"/>
  <c r="F33" i="1495"/>
  <c r="G14" i="1495"/>
  <c r="EP14" i="1500" s="1"/>
  <c r="G15" i="1495"/>
  <c r="G6" i="1495"/>
  <c r="G8" i="1495"/>
  <c r="EP8" i="1500" s="1"/>
  <c r="G12" i="1495"/>
  <c r="EP12" i="1500" s="1"/>
  <c r="G4" i="1495"/>
  <c r="G5" i="1495"/>
  <c r="G11" i="1495"/>
  <c r="G9" i="1495"/>
  <c r="EP9" i="1500" s="1"/>
  <c r="G10" i="1495"/>
  <c r="G13" i="1495"/>
  <c r="G7" i="1495"/>
  <c r="EP7" i="1500" s="1"/>
  <c r="H8"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6" i="1500"/>
  <c r="EP10" i="1500"/>
  <c r="EP19" i="1500"/>
  <c r="EP11" i="1500"/>
  <c r="EP13" i="1500"/>
  <c r="EP5" i="1500"/>
  <c r="EP16" i="1500"/>
  <c r="EP15"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5" i="1500" s="1"/>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AC6" i="1495"/>
  <c r="FL6" i="1500" s="1"/>
  <c r="AC8" i="1495"/>
  <c r="FL8" i="1500" s="1"/>
  <c r="AC11" i="1495"/>
  <c r="FL11" i="1500" s="1"/>
  <c r="FL17" i="1500"/>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O5" i="1495"/>
  <c r="EX5" i="1500" s="1"/>
  <c r="EX17" i="1500"/>
  <c r="O11" i="1495"/>
  <c r="EX11" i="1500" s="1"/>
  <c r="EX18" i="1500"/>
  <c r="O15" i="1495"/>
  <c r="EX15" i="1500" s="1"/>
  <c r="O9" i="1495"/>
  <c r="EX9" i="1500" s="1"/>
  <c r="O8" i="1495"/>
  <c r="EX8" i="1500" s="1"/>
  <c r="O7" i="1495"/>
  <c r="EX7" i="1500" s="1"/>
  <c r="O10" i="1495"/>
  <c r="EX10" i="1500" s="1"/>
  <c r="O6" i="1495"/>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W10" i="1495"/>
  <c r="FF10" i="1500" s="1"/>
  <c r="W14" i="1495"/>
  <c r="FF14" i="1500" s="1"/>
  <c r="W9" i="1495"/>
  <c r="FF9" i="1500" s="1"/>
  <c r="W12" i="1495"/>
  <c r="FF12" i="1500" s="1"/>
  <c r="FF16" i="1500"/>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N16" i="1500"/>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FL5" i="1500"/>
  <c r="DI3" i="1499"/>
  <c r="EX6" i="1500"/>
  <c r="O4" i="1495"/>
  <c r="EX4" i="1500" s="1"/>
  <c r="F31" i="1492"/>
  <c r="L31" i="1492"/>
  <c r="P23" i="1492"/>
  <c r="O23" i="1492"/>
  <c r="CI3" i="1499"/>
  <c r="CM3" i="1499"/>
  <c r="T4" i="1495"/>
  <c r="FC4" i="1500" s="1"/>
  <c r="Q31" i="1492"/>
  <c r="G31" i="1492"/>
  <c r="EM18" i="1500"/>
  <c r="EL5" i="1500"/>
  <c r="EL14" i="1500"/>
  <c r="K23" i="1492"/>
  <c r="Q23" i="1492"/>
  <c r="CN3" i="1499"/>
  <c r="J31" i="1492"/>
  <c r="CZ3" i="1499"/>
  <c r="P31" i="1492"/>
  <c r="I23" i="1492"/>
  <c r="F23" i="1492"/>
  <c r="I31" i="1492"/>
  <c r="J23" i="1492"/>
  <c r="L23" i="1492"/>
  <c r="DF17" i="1499" l="1"/>
  <c r="K17" i="1495"/>
  <c r="AH17" i="1495" s="1"/>
  <c r="Z17" i="1495"/>
  <c r="AD17" i="1495"/>
  <c r="AD16" i="1495"/>
  <c r="K16" i="1495"/>
  <c r="AH16" i="1495" s="1"/>
  <c r="EO33" i="1500"/>
  <c r="R15" i="1506"/>
  <c r="X15" i="1506" s="1"/>
  <c r="Z16" i="1495"/>
  <c r="AF16" i="1495"/>
  <c r="AF17" i="1495"/>
  <c r="EO32" i="1500"/>
  <c r="R14" i="1506"/>
  <c r="X14" i="1506" s="1"/>
  <c r="AE16" i="1495"/>
  <c r="AE17" i="1495"/>
  <c r="K4" i="1495"/>
  <c r="S3" i="1504" s="1"/>
  <c r="Y3" i="1504" s="1"/>
  <c r="C27" i="1495"/>
  <c r="O9" i="1506" s="1"/>
  <c r="C23" i="1495"/>
  <c r="R8" i="1506"/>
  <c r="X8" i="1506" s="1"/>
  <c r="EO26" i="1500"/>
  <c r="C32" i="1495"/>
  <c r="R13" i="1506"/>
  <c r="X13" i="1506" s="1"/>
  <c r="EO31" i="1500"/>
  <c r="R11" i="1506"/>
  <c r="X11" i="1506" s="1"/>
  <c r="EO29" i="1500"/>
  <c r="C33" i="1495"/>
  <c r="R9" i="1506"/>
  <c r="X9" i="1506" s="1"/>
  <c r="EO27" i="1500"/>
  <c r="R10" i="1506"/>
  <c r="X10" i="1506" s="1"/>
  <c r="EO28" i="1500"/>
  <c r="R4" i="1506"/>
  <c r="X4" i="1506" s="1"/>
  <c r="EO22" i="1500"/>
  <c r="C34" i="1495"/>
  <c r="EL34" i="1500" s="1"/>
  <c r="R7" i="1506"/>
  <c r="X7" i="1506" s="1"/>
  <c r="EO25" i="1500"/>
  <c r="C31" i="1495"/>
  <c r="C30" i="1495"/>
  <c r="R12" i="1506"/>
  <c r="X12" i="1506" s="1"/>
  <c r="EO30" i="1500"/>
  <c r="C20" i="1495"/>
  <c r="R2" i="1506"/>
  <c r="X2" i="1506" s="1"/>
  <c r="EO20" i="1500"/>
  <c r="C26" i="1495"/>
  <c r="R6" i="1506"/>
  <c r="X6" i="1506" s="1"/>
  <c r="EO24" i="1500"/>
  <c r="C25" i="1495"/>
  <c r="C29" i="1495"/>
  <c r="C22" i="1495"/>
  <c r="R5" i="1506"/>
  <c r="X5" i="1506" s="1"/>
  <c r="EO23" i="1500"/>
  <c r="K34" i="1492"/>
  <c r="K10" i="1495"/>
  <c r="C24" i="1495"/>
  <c r="C21" i="1495"/>
  <c r="C28" i="1495"/>
  <c r="R3" i="1506"/>
  <c r="X3" i="1506" s="1"/>
  <c r="EO21" i="1500"/>
  <c r="K15" i="1495"/>
  <c r="Q15" i="1492" s="1"/>
  <c r="DK17" i="1499"/>
  <c r="DK16" i="1499"/>
  <c r="K9" i="1495"/>
  <c r="K8" i="1495"/>
  <c r="K7" i="1495"/>
  <c r="K6" i="1495"/>
  <c r="K5" i="1495"/>
  <c r="DJ17" i="1499"/>
  <c r="DJ16" i="1499"/>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FS11" i="1500" s="1"/>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FO17" i="1500"/>
  <c r="AF13" i="1495"/>
  <c r="FO13" i="1500" s="1"/>
  <c r="AF8" i="1495"/>
  <c r="FO8" i="1500" s="1"/>
  <c r="AF12" i="1495"/>
  <c r="FO12" i="1500" s="1"/>
  <c r="AF14" i="1495"/>
  <c r="FO14" i="1500" s="1"/>
  <c r="AF11" i="1495"/>
  <c r="FO11" i="1500" s="1"/>
  <c r="Z7" i="1495"/>
  <c r="FI7" i="1500" s="1"/>
  <c r="CM71" i="1499"/>
  <c r="AE10" i="1495"/>
  <c r="FN10" i="1500" s="1"/>
  <c r="FN17" i="1500"/>
  <c r="AE12" i="1495"/>
  <c r="FN12" i="1500" s="1"/>
  <c r="FN19" i="1500"/>
  <c r="AE8" i="1495"/>
  <c r="FN8" i="1500" s="1"/>
  <c r="FN16" i="1500"/>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AG17" i="1495" l="1"/>
  <c r="X16" i="1504" s="1"/>
  <c r="AI17" i="1495"/>
  <c r="S16" i="1504"/>
  <c r="Y16" i="1504" s="1"/>
  <c r="EL27" i="1500"/>
  <c r="EL32" i="1500"/>
  <c r="O14" i="1506"/>
  <c r="AG16" i="1495"/>
  <c r="X15" i="1504" s="1"/>
  <c r="S15" i="1504"/>
  <c r="Y15" i="1504" s="1"/>
  <c r="AI16" i="1495"/>
  <c r="EL33" i="1500"/>
  <c r="O15" i="1506"/>
  <c r="O11" i="1506"/>
  <c r="EL29" i="1500"/>
  <c r="O7" i="1506"/>
  <c r="EL25" i="1500"/>
  <c r="O8" i="1506"/>
  <c r="EL26" i="1500"/>
  <c r="O2" i="1506"/>
  <c r="EL20" i="1500"/>
  <c r="O10" i="1506"/>
  <c r="EL28" i="1500"/>
  <c r="O3" i="1506"/>
  <c r="EL21" i="1500"/>
  <c r="O6" i="1506"/>
  <c r="EL24" i="1500"/>
  <c r="O12" i="1506"/>
  <c r="EL30" i="1500"/>
  <c r="O13" i="1506"/>
  <c r="EL31" i="1500"/>
  <c r="O5" i="1506"/>
  <c r="EL23" i="1500"/>
  <c r="O4" i="1506"/>
  <c r="EL22" i="1500"/>
  <c r="U9" i="1506"/>
  <c r="T9"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5" i="1506" l="1"/>
  <c r="T15" i="1506"/>
  <c r="U14" i="1506"/>
  <c r="T14" i="1506"/>
  <c r="U12" i="1506"/>
  <c r="T12" i="1506"/>
  <c r="U6" i="1506"/>
  <c r="T6" i="1506"/>
  <c r="U2" i="1506"/>
  <c r="T2" i="1506"/>
  <c r="U3" i="1506"/>
  <c r="T3" i="1506"/>
  <c r="U10" i="1506"/>
  <c r="T10" i="1506"/>
  <c r="U4" i="1506"/>
  <c r="T4" i="1506"/>
  <c r="U8" i="1506"/>
  <c r="T8" i="1506"/>
  <c r="U5" i="1506"/>
  <c r="T5" i="1506"/>
  <c r="U7" i="1506"/>
  <c r="T7" i="1506"/>
  <c r="U13" i="1506"/>
  <c r="T13" i="1506"/>
  <c r="U11" i="1506"/>
  <c r="T11"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<sst xmlns="http://schemas.openxmlformats.org/spreadsheetml/2006/main" count="1962" uniqueCount="723">
  <si>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</si>
  <si>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</si>
  <si>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</si>
  <si>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</si>
  <si>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</si>
  <si>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</si>
  <si>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</si>
  <si>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</si>
  <si>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</si>
  <si>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</si>
  <si>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</si>
  <si>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</si>
  <si>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</si>
  <si>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</si>
  <si>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</si>
  <si>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</si>
  <si>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</si>
  <si>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</si>
  <si>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</si>
  <si>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</si>
  <si>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</si>
  <si>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</si>
  <si>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</si>
  <si>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</si>
  <si>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</si>
  <si>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</si>
  <si>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</si>
  <si>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</si>
  <si>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</si>
  <si>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</si>
  <si>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</si>
  <si>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</si>
  <si>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</si>
  <si>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</si>
  <si>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</si>
  <si>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</si>
  <si>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</si>
  <si>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</si>
  <si>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</si>
  <si>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</si>
  <si>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</si>
  <si>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</si>
  <si>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</si>
  <si>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</si>
  <si>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</si>
  <si>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</si>
  <si>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</si>
  <si>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</si>
  <si>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</si>
  <si>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</si>
  <si>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</si>
  <si>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</si>
  <si>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</si>
  <si>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</si>
  <si>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</si>
  <si>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</si>
  <si>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</si>
  <si>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</si>
  <si>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</si>
  <si>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</si>
  <si>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</si>
  <si>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</si>
  <si>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</si>
  <si>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</si>
  <si>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</si>
  <si>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</si>
  <si>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</si>
  <si>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</si>
  <si>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</si>
  <si>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</si>
  <si>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</si>
  <si>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</si>
  <si>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</si>
  <si>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</si>
  <si>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</si>
  <si>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</si>
  <si>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</si>
  <si>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</si>
  <si>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</si>
  <si>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</si>
  <si>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</si>
  <si>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</si>
  <si>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</si>
  <si>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</si>
  <si>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</si>
  <si>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</si>
  <si>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</si>
  <si>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</si>
  <si>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</si>
  <si>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</si>
  <si>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</si>
  <si>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</si>
  <si>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</si>
  <si>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</si>
  <si>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</si>
  <si>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</si>
  <si>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</si>
  <si>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</si>
  <si>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</si>
  <si>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</si>
  <si>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</si>
  <si>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</si>
  <si>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</si>
  <si>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</si>
  <si>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</si>
  <si>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</si>
  <si>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</si>
  <si>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</si>
  <si>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</si>
  <si>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</si>
  <si>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</si>
  <si>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</si>
  <si>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</si>
  <si>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</si>
  <si>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</si>
  <si>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</si>
  <si>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</si>
  <si>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</si>
  <si>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</si>
  <si>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</si>
  <si>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</si>
  <si>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</si>
  <si>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</si>
  <si>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</si>
  <si>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</si>
  <si>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</si>
  <si>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</si>
  <si>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</si>
  <si>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</si>
  <si>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</si>
  <si>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</si>
  <si>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</si>
  <si>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</si>
  <si>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</si>
  <si>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</si>
  <si>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</si>
  <si>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</si>
  <si>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</si>
  <si>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</si>
  <si>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</si>
  <si>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</si>
  <si>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</si>
  <si>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</si>
  <si>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</si>
  <si>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</si>
  <si>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</si>
  <si>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</si>
  <si>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</si>
  <si>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</si>
  <si>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</si>
  <si>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</si>
  <si>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</si>
  <si>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</si>
  <si>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</si>
  <si>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</si>
  <si>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</si>
  <si>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</si>
  <si>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</si>
  <si>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</si>
  <si>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</si>
  <si>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</si>
  <si>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</si>
  <si>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</si>
  <si>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</si>
  <si>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</si>
  <si>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</si>
  <si>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</si>
  <si>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</si>
  <si>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</si>
  <si>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</si>
  <si>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</si>
  <si>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</si>
  <si>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</si>
  <si>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</si>
  <si>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</si>
  <si>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</si>
  <si>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</si>
  <si>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</si>
  <si>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</si>
  <si>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</si>
  <si>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</si>
  <si>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</si>
  <si>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</si>
  <si>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</si>
  <si>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</si>
  <si>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</si>
  <si>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</si>
  <si>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</si>
  <si>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</si>
  <si>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</si>
  <si>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</si>
  <si>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</si>
  <si>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</si>
  <si>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</si>
  <si>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</si>
  <si>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</si>
  <si>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</si>
  <si>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</si>
  <si>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</si>
  <si>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</si>
  <si>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</si>
  <si>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</si>
  <si>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</si>
  <si>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</si>
  <si>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</si>
  <si>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</si>
  <si>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</si>
  <si>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</si>
  <si>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</si>
  <si>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</si>
  <si>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</si>
  <si>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</si>
  <si>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</si>
  <si>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</si>
  <si>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</si>
  <si>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</si>
  <si>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</si>
  <si>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</si>
  <si>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</si>
  <si>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</si>
  <si>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</si>
  <si>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</si>
  <si>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</si>
  <si>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</si>
  <si>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</si>
  <si>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</si>
  <si>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</si>
  <si>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</si>
  <si>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</si>
  <si>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</si>
  <si>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</si>
  <si>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</si>
  <si>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</si>
  <si>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</si>
  <si>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</si>
  <si>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</si>
  <si>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</si>
  <si>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</si>
  <si>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</si>
  <si>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</si>
  <si>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</si>
  <si>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</si>
  <si>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</si>
  <si>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</si>
  <si>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</si>
  <si>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</si>
  <si>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</si>
  <si>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</si>
  <si>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</si>
  <si>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</si>
  <si>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</si>
  <si>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</si>
  <si>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</si>
  <si>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</si>
  <si>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</si>
  <si>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</si>
  <si>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</si>
  <si>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</si>
  <si>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</si>
  <si>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</si>
  <si>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</si>
  <si>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</si>
  <si>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</si>
  <si>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</si>
  <si>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</si>
  <si>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</si>
  <si>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</si>
  <si>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</si>
  <si>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</si>
  <si>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</si>
  <si>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</si>
  <si>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</si>
  <si>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</si>
  <si>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</si>
  <si>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</si>
  <si>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</si>
  <si>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</si>
  <si>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</si>
  <si>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</si>
  <si>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</si>
  <si>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</si>
  <si>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</si>
  <si>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</si>
  <si>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</si>
  <si>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</si>
  <si>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</si>
  <si>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</si>
  <si>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</si>
  <si>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</si>
  <si>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</si>
  <si>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</si>
  <si>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</si>
  <si>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</si>
  <si>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</si>
  <si>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</si>
  <si>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</si>
  <si>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</si>
  <si>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</si>
  <si>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</si>
  <si>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</si>
  <si>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</si>
  <si>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</si>
  <si>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</si>
  <si>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</si>
  <si>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</si>
  <si>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</si>
  <si>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</si>
  <si>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</si>
  <si>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</si>
  <si>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</si>
  <si>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</si>
  <si>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</si>
  <si>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</si>
  <si>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</si>
  <si>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</si>
  <si>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</si>
  <si>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</si>
  <si>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</si>
  <si>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</si>
  <si>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</si>
  <si>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</si>
  <si>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</si>
  <si>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</si>
  <si>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</si>
  <si>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</si>
  <si>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</si>
  <si>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</si>
  <si>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</si>
  <si>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</si>
  <si>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</si>
  <si>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</si>
  <si>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</si>
  <si>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</si>
  <si>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</si>
  <si>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</si>
  <si>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</si>
  <si>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</si>
  <si>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</si>
  <si>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</si>
  <si>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</si>
  <si>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</si>
  <si>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</si>
  <si>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</si>
  <si>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</si>
  <si>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</si>
  <si>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</si>
  <si>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</si>
  <si>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</si>
  <si>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</si>
  <si>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</si>
  <si>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</si>
  <si>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</si>
  <si>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</si>
  <si>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</si>
  <si>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</si>
  <si>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</si>
  <si>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</si>
  <si>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</si>
  <si>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</si>
  <si>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</si>
  <si>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</si>
  <si>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</si>
  <si>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</si>
  <si>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</si>
  <si>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</si>
  <si>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</si>
  <si>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</si>
  <si>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</si>
  <si>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</si>
  <si>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</si>
  <si>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</si>
  <si>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</si>
  <si>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</si>
  <si>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</si>
  <si>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</si>
  <si>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</si>
  <si>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</si>
  <si>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</si>
  <si>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</si>
  <si>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</si>
  <si>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</si>
  <si>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</si>
  <si>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</si>
  <si>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</si>
  <si>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</si>
  <si>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</si>
  <si>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</si>
  <si>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</si>
  <si>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</si>
  <si>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</si>
  <si>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</si>
  <si>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</si>
  <si>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</si>
  <si>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</si>
  <si>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</si>
  <si>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</si>
  <si>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</si>
  <si>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</si>
  <si>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</si>
  <si>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</si>
  <si>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</si>
  <si>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</si>
  <si>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</si>
  <si>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</si>
  <si>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</si>
  <si>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</si>
  <si>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</si>
  <si>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</si>
  <si>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</si>
  <si>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</si>
  <si>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</si>
  <si>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</si>
  <si>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</si>
  <si>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</si>
  <si>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</si>
  <si>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</si>
  <si>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</si>
  <si>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</si>
  <si>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</si>
  <si>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</si>
  <si>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</si>
  <si>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</si>
  <si>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</si>
  <si>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</si>
  <si>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</si>
  <si>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</si>
  <si>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</si>
  <si>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</si>
  <si>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</si>
  <si>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</si>
  <si>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</si>
  <si>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</si>
  <si>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</si>
  <si>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</si>
  <si>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</si>
  <si>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</si>
  <si>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</si>
  <si>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</si>
  <si>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</si>
  <si>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</si>
  <si>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</si>
  <si>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</si>
  <si>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</si>
  <si>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</si>
  <si>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</si>
  <si>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</si>
  <si>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</si>
  <si>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</si>
  <si>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</si>
  <si>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</si>
  <si>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</si>
  <si>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</si>
  <si>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</si>
  <si>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</si>
  <si>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</si>
  <si>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</si>
  <si>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</si>
  <si>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</si>
  <si>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</si>
  <si>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</si>
  <si>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</si>
  <si>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</si>
  <si>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</si>
  <si>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</si>
  <si>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</si>
  <si>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</si>
  <si>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</si>
  <si>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</si>
  <si>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</si>
  <si>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</si>
  <si>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</si>
  <si>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</si>
  <si>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</si>
  <si>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</si>
  <si>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</si>
  <si>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</si>
  <si>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</si>
  <si>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</si>
  <si>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</si>
  <si>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</si>
  <si>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</si>
  <si>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</si>
  <si>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</si>
  <si>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</si>
  <si>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</si>
  <si>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</si>
  <si>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</si>
  <si>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</si>
  <si>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</si>
  <si>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</si>
  <si>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</si>
  <si>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</si>
  <si>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</si>
  <si>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</si>
  <si>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</si>
  <si>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</si>
  <si>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</si>
  <si>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</si>
  <si>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</si>
  <si>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</si>
  <si>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</si>
  <si>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</si>
  <si>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</si>
  <si>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</si>
  <si>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</si>
  <si>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</si>
  <si>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</si>
  <si>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</si>
  <si>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</si>
  <si>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</si>
  <si>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</si>
  <si>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</si>
  <si>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</si>
  <si>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</si>
  <si>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</si>
  <si>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</si>
  <si>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</si>
  <si>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</si>
  <si>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</si>
  <si>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</si>
  <si>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</si>
  <si>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</si>
  <si>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</si>
  <si>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</si>
  <si>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</si>
  <si>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</si>
  <si>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</si>
  <si>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</si>
  <si>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</si>
  <si>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</si>
  <si>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</si>
  <si>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</si>
  <si>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</si>
  <si>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</si>
  <si>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</si>
  <si>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</si>
  <si>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</si>
  <si>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</si>
  <si>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</si>
  <si>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</si>
  <si>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</si>
  <si>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</si>
  <si>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</si>
  <si>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</si>
  <si>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</si>
  <si>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</si>
  <si>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</si>
  <si>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</si>
  <si>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</si>
  <si>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</si>
  <si>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</si>
  <si>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</si>
  <si>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</si>
  <si>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</si>
  <si>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</si>
  <si>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</si>
  <si>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</si>
  <si>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</si>
  <si>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</si>
  <si>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</si>
  <si>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</si>
  <si>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</si>
  <si>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</si>
  <si>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</si>
  <si>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</si>
  <si>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</si>
  <si>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</si>
  <si>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</si>
  <si>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</si>
  <si>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</si>
  <si>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</si>
  <si>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</si>
  <si>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</si>
  <si>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</si>
  <si>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</si>
  <si>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</si>
  <si>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</si>
  <si>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</si>
  <si>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</si>
  <si>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</si>
  <si>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</si>
  <si>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</si>
  <si>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</si>
  <si>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</si>
  <si>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</si>
  <si>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</si>
  <si>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</si>
  <si>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</si>
  <si>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</si>
  <si>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</si>
  <si>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</si>
  <si>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</si>
  <si>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</si>
  <si>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</si>
  <si>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</si>
  <si>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</si>
  <si>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</si>
  <si>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</si>
  <si>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</si>
  <si>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</si>
  <si>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</si>
  <si>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</si>
  <si>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</si>
  <si>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</si>
  <si>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</si>
  <si>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</si>
  <si>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</si>
  <si>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</si>
  <si>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</si>
  <si>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</si>
  <si>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</si>
  <si>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</si>
  <si>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</si>
  <si>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</si>
  <si>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</si>
  <si>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</si>
  <si>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</si>
  <si>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</si>
  <si>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</si>
  <si>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</si>
  <si>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</si>
  <si>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</si>
  <si>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</si>
  <si>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</si>
  <si>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</si>
  <si>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</si>
  <si>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</si>
  <si>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</si>
  <si>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</si>
  <si>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</si>
  <si>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</si>
  <si>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</si>
  <si>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</si>
  <si>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</si>
  <si>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</si>
  <si>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</si>
  <si>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</si>
  <si>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</si>
  <si>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</si>
  <si>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</si>
  <si>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</si>
  <si>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</si>
  <si>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</si>
  <si>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</si>
  <si>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</si>
  <si>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</si>
  <si>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</si>
  <si>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</si>
  <si>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</si>
  <si>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</si>
  <si>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</si>
  <si>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</si>
  <si>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</si>
  <si>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</si>
  <si>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</si>
  <si>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</si>
  <si>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</si>
  <si>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</si>
  <si>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</si>
  <si>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</si>
  <si>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</si>
  <si>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</si>
  <si>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</si>
  <si>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</si>
  <si>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</si>
  <si>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</si>
  <si>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</si>
  <si>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</si>
  <si>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</si>
  <si>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</si>
  <si>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</si>
  <si>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</si>
  <si>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</si>
  <si>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</si>
  <si>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</si>
  <si>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</si>
  <si>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</si>
  <si>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</si>
  <si>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</si>
  <si>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</si>
  <si>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</si>
  <si>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</si>
  <si>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</si>
  <si>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</si>
  <si>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</si>
  <si>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</si>
  <si>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</si>
  <si>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</si>
  <si>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</si>
  <si>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</si>
  <si>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</si>
  <si>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</si>
  <si>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</si>
  <si>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</si>
  <si>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</si>
  <si>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</si>
  <si>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</si>
  <si>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</si>
  <si>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</si>
  <si>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</si>
  <si>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</si>
  <si>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</si>
  <si>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</si>
  <si>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</si>
  <si>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</si>
  <si>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</si>
  <si>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</si>
  <si>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</si>
  <si>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</si>
  <si>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</si>
  <si>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</si>
  <si>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</si>
  <si>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</si>
  <si>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</si>
  <si>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</si>
  <si>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LYSINE CONC. (mM)</t>
  </si>
  <si>
    <t>LEUCINE CONC. (mM)</t>
  </si>
  <si>
    <t>THREONINE CONC. (mM)</t>
  </si>
  <si>
    <t>TYROSINE CONC. (mM)</t>
  </si>
  <si>
    <t>VALINE CONC. (mM)</t>
  </si>
  <si>
    <t>GLUTAMINE CONC. (mM)</t>
  </si>
  <si>
    <t>FEED TYROSINE CONC. (mM)</t>
  </si>
  <si>
    <t>TOTAL CELL CONC. Xt (x106 cells/mL)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</si>
</sst>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1">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Regression'!$E$2:$E$18</c:f>
              <c:numCache>
                <c:formatCode>0.0000</c:formatCode>
                <c:ptCount val="17"/>
                <c:pt idx="0">
                  <c:v>0.26104417670682734</c:v>
                </c:pt>
                <c:pt idx="1">
                  <c:v>0.43505902025486665</c:v>
                </c:pt>
                <c:pt idx="2">
                  <c:v>0.85106382978723405</c:v>
                </c:pt>
                <c:pt idx="3">
                  <c:v>1.5047019261532548</c:v>
                </c:pt>
                <c:pt idx="4">
                  <c:v>2.7328881417403261</c:v>
                </c:pt>
                <c:pt idx="5">
                  <c:v>4.0589126169162606</c:v>
                </c:pt>
                <c:pt idx="6">
                  <c:v>6.609544739315254</c:v>
                </c:pt>
                <c:pt idx="7">
                  <c:v>9.5056267307126756</c:v>
                </c:pt>
                <c:pt idx="8">
                  <c:v>12.116649998311081</c:v>
                </c:pt>
                <c:pt idx="9">
                  <c:v>14.579293036280768</c:v>
                </c:pt>
                <c:pt idx="10">
                  <c:v>15.410350047290439</c:v>
                </c:pt>
                <c:pt idx="11">
                  <c:v>15.9886385188913</c:v>
                </c:pt>
                <c:pt idx="12">
                  <c:v>15.195468032176995</c:v>
                </c:pt>
                <c:pt idx="13">
                  <c:v>15.075641381589655</c:v>
                </c:pt>
                <c:pt idx="14">
                  <c:v>15.080813548263706</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Regression'!$M$2:$M$22</c:f>
              <c:numCache>
                <c:formatCode>General</c:formatCode>
                <c:ptCount val="21"/>
                <c:pt idx="0">
                  <c:v>0.26422524334438419</c:v>
                </c:pt>
                <c:pt idx="1">
                  <c:v>0.4522619673430347</c:v>
                </c:pt>
                <c:pt idx="2">
                  <c:v>0.90742946672569902</c:v>
                </c:pt>
                <c:pt idx="3">
                  <c:v>1.5810908239377788</c:v>
                </c:pt>
                <c:pt idx="4">
                  <c:v>2.7944610104844041</c:v>
                </c:pt>
                <c:pt idx="5">
                  <c:v>4.3058084994111043</c:v>
                </c:pt>
                <c:pt idx="6">
                  <c:v>6.794947168399406</c:v>
                </c:pt>
                <c:pt idx="7">
                  <c:v>9.477938649514325</c:v>
                </c:pt>
                <c:pt idx="8">
                  <c:v>12.08028062729122</c:v>
                </c:pt>
                <c:pt idx="9">
                  <c:v>14.078113579028139</c:v>
                </c:pt>
                <c:pt idx="10">
                  <c:v>15.480396498997285</c:v>
                </c:pt>
                <c:pt idx="11">
                  <c:v>16.277977040035108</c:v>
                </c:pt>
                <c:pt idx="12">
                  <c:v>16.728888725163696</c:v>
                </c:pt>
                <c:pt idx="13">
                  <c:v>16.991146129644221</c:v>
                </c:pt>
                <c:pt idx="14">
                  <c:v>17.136050804904436</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Regression'!$L$2:$L$16</c:f>
              <c:numCache>
                <c:formatCode>General</c:formatCode>
                <c:ptCount val="15"/>
                <c:pt idx="0">
                  <c:v>0</c:v>
                </c:pt>
                <c:pt idx="1">
                  <c:v>2.3962614215634895E-2</c:v>
                </c:pt>
                <c:pt idx="2">
                  <c:v>2.3718472247711016E-2</c:v>
                </c:pt>
                <c:pt idx="3">
                  <c:v>2.4326836394827106E-2</c:v>
                </c:pt>
                <c:pt idx="4">
                  <c:v>2.3614773155183351E-2</c:v>
                </c:pt>
                <c:pt idx="5">
                  <c:v>1.9574716018965304E-2</c:v>
                </c:pt>
                <c:pt idx="6">
                  <c:v>1.9362127916059874E-2</c:v>
                </c:pt>
                <c:pt idx="7">
                  <c:v>1.5578763516628199E-2</c:v>
                </c:pt>
                <c:pt idx="8">
                  <c:v>1.0521149162244073E-2</c:v>
                </c:pt>
                <c:pt idx="9">
                  <c:v>7.7228739597883572E-3</c:v>
                </c:pt>
                <c:pt idx="10">
                  <c:v>1.0426544828749363E-3</c:v>
                </c:pt>
                <c:pt idx="11">
                  <c:v>1.3620446749401851E-3</c:v>
                </c:pt>
                <c:pt idx="12">
                  <c:v>-3.3883610261743673E-3</c:v>
                </c:pt>
                <c:pt idx="13">
                  <c:v>-4.9869797095263946E-4</c:v>
                </c:pt>
                <c:pt idx="14">
                  <c:v>-3.92964300819287E-5</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'Growth Regression'!$P$2:$P$22</c:f>
              <c:numCache>
                <c:formatCode>General</c:formatCode>
                <c:ptCount val="21"/>
                <c:pt idx="0">
                  <c:v>2.61377814069895E-2</c:v>
                </c:pt>
                <c:pt idx="1">
                  <c:v>2.5849252378696761E-2</c:v>
                </c:pt>
                <c:pt idx="2">
                  <c:v>2.5150830105033578E-2</c:v>
                </c:pt>
                <c:pt idx="3">
                  <c:v>2.4117144489471783E-2</c:v>
                </c:pt>
                <c:pt idx="4">
                  <c:v>2.2255313920214542E-2</c:v>
                </c:pt>
                <c:pt idx="5">
                  <c:v>1.9936258295762066E-2</c:v>
                </c:pt>
                <c:pt idx="6">
                  <c:v>1.6116851393872915E-2</c:v>
                </c:pt>
                <c:pt idx="7">
                  <c:v>1.1999991088599072E-2</c:v>
                </c:pt>
                <c:pt idx="8">
                  <c:v>8.0068817312016569E-3</c:v>
                </c:pt>
                <c:pt idx="9">
                  <c:v>4.9413486374640745E-3</c:v>
                </c:pt>
                <c:pt idx="10">
                  <c:v>2.7896448655290607E-3</c:v>
                </c:pt>
                <c:pt idx="11">
                  <c:v>1.5658140435642546E-3</c:v>
                </c:pt>
                <c:pt idx="12">
                  <c:v>8.7392201529787349E-4</c:v>
                </c:pt>
                <c:pt idx="13">
                  <c:v>4.7150661224136737E-4</c:v>
                </c:pt>
                <c:pt idx="14">
                  <c:v>2.4916065630882679E-4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Calc.'!$AQ$26:$AQ$42</c:f>
              <c:numCache>
                <c:formatCode>General</c:formatCode>
                <c:ptCount val="17"/>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Calc.'!$AQ$3:$AQ$20</c:f>
              <c:numCache>
                <c:formatCode>General</c:formatCode>
                <c:ptCount val="18"/>
                <c:pt idx="0">
                  <c:v>34.08157374719687</c:v>
                </c:pt>
                <c:pt idx="1">
                  <c:v>33.935343268772868</c:v>
                </c:pt>
                <c:pt idx="2">
                  <c:v>32.888908685864941</c:v>
                </c:pt>
                <c:pt idx="3">
                  <c:v>30.949325077881216</c:v>
                </c:pt>
                <c:pt idx="4">
                  <c:v>28.311821730290777</c:v>
                </c:pt>
                <c:pt idx="5">
                  <c:v>25.84908100086605</c:v>
                </c:pt>
                <c:pt idx="6">
                  <c:v>22.01378972534863</c:v>
                </c:pt>
                <c:pt idx="7">
                  <c:v>17.695254412073087</c:v>
                </c:pt>
                <c:pt idx="8">
                  <c:v>12.643329051407292</c:v>
                </c:pt>
                <c:pt idx="9">
                  <c:v>6.8256846633028303</c:v>
                </c:pt>
                <c:pt idx="10">
                  <c:v>-0.16598484811730929</c:v>
                </c:pt>
                <c:pt idx="11">
                  <c:v>-7.404661405479998</c:v>
                </c:pt>
                <c:pt idx="12">
                  <c:v>-14.891291339150083</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Calc.'!$AR$26:$AR$42</c:f>
              <c:numCache>
                <c:formatCode>General</c:formatCode>
                <c:ptCount val="17"/>
                <c:pt idx="0">
                  <c:v>0</c:v>
                </c:pt>
                <c:pt idx="1">
                  <c:v>0</c:v>
                </c:pt>
                <c:pt idx="2">
                  <c:v>0.33200000000000002</c:v>
                </c:pt>
                <c:pt idx="3">
                  <c:v>0.35599999999999998</c:v>
                </c:pt>
                <c:pt idx="4">
                  <c:v>0.63500000000000001</c:v>
                </c:pt>
                <c:pt idx="5">
                  <c:v>1.071</c:v>
                </c:pt>
                <c:pt idx="6">
                  <c:v>1.6120000000000001</c:v>
                </c:pt>
                <c:pt idx="7">
                  <c:v>2.5329999999999999</c:v>
                </c:pt>
                <c:pt idx="8">
                  <c:v>3.907</c:v>
                </c:pt>
                <c:pt idx="9">
                  <c:v>5.0679999999999996</c:v>
                </c:pt>
                <c:pt idx="10">
                  <c:v>5.8840000000000003</c:v>
                </c:pt>
                <c:pt idx="11">
                  <c:v>4.4249999999999998</c:v>
                </c:pt>
                <c:pt idx="12">
                  <c:v>2.4260000000000002</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Calc.'!$AR$3:$AR$20</c:f>
              <c:numCache>
                <c:formatCode>General</c:formatCode>
                <c:ptCount val="18"/>
                <c:pt idx="0">
                  <c:v>0</c:v>
                </c:pt>
                <c:pt idx="1">
                  <c:v>9.544450624903944E-2</c:v>
                </c:pt>
                <c:pt idx="2">
                  <c:v>0.32900433590055045</c:v>
                </c:pt>
                <c:pt idx="3">
                  <c:v>0.42830687218956998</c:v>
                </c:pt>
                <c:pt idx="4">
                  <c:v>0.58125398873210932</c:v>
                </c:pt>
                <c:pt idx="5">
                  <c:v>0.91745160160131978</c:v>
                </c:pt>
                <c:pt idx="6">
                  <c:v>1.7217769977854562</c:v>
                </c:pt>
                <c:pt idx="7">
                  <c:v>2.8391158527789706</c:v>
                </c:pt>
                <c:pt idx="8">
                  <c:v>4.1364469577922094</c:v>
                </c:pt>
                <c:pt idx="9">
                  <c:v>5.0877301774507533</c:v>
                </c:pt>
                <c:pt idx="10">
                  <c:v>5.1951900162474045</c:v>
                </c:pt>
                <c:pt idx="11">
                  <c:v>4.4133080522667205</c:v>
                </c:pt>
                <c:pt idx="12">
                  <c:v>2.7704373295443108</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Calc.'!$AW$26:$AW$42</c:f>
              <c:numCache>
                <c:formatCode>General</c:formatCode>
                <c:ptCount val="17"/>
                <c:pt idx="0">
                  <c:v>0.6660746003552398</c:v>
                </c:pt>
                <c:pt idx="1">
                  <c:v>1.3321492007104796</c:v>
                </c:pt>
                <c:pt idx="2">
                  <c:v>2.5532859680284195</c:v>
                </c:pt>
                <c:pt idx="3">
                  <c:v>3.4413854351687392</c:v>
                </c:pt>
                <c:pt idx="4">
                  <c:v>5.1065719360568389</c:v>
                </c:pt>
                <c:pt idx="5">
                  <c:v>6.9937833037300177</c:v>
                </c:pt>
                <c:pt idx="6">
                  <c:v>9.8801065719360572</c:v>
                </c:pt>
                <c:pt idx="7">
                  <c:v>11.434280639431616</c:v>
                </c:pt>
                <c:pt idx="8">
                  <c:v>11.545293072824157</c:v>
                </c:pt>
                <c:pt idx="9">
                  <c:v>7.7708703374777972</c:v>
                </c:pt>
                <c:pt idx="10">
                  <c:v>3.4413854351687392</c:v>
                </c:pt>
                <c:pt idx="11">
                  <c:v>3.2193605683836588</c:v>
                </c:pt>
                <c:pt idx="12">
                  <c:v>3.4413854351687392</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Calc.'!$AW$3:$AW$20</c:f>
              <c:numCache>
                <c:formatCode>General</c:formatCode>
                <c:ptCount val="18"/>
                <c:pt idx="0">
                  <c:v>0.6660746003552398</c:v>
                </c:pt>
                <c:pt idx="1">
                  <c:v>1.2230365461593435</c:v>
                </c:pt>
                <c:pt idx="2">
                  <c:v>9.025916641604112E-2</c:v>
                </c:pt>
                <c:pt idx="3">
                  <c:v>-1.8023191757510089</c:v>
                </c:pt>
                <c:pt idx="4">
                  <c:v>-4.2103380120539278</c:v>
                </c:pt>
                <c:pt idx="5">
                  <c:v>-6.1188964912444543</c:v>
                </c:pt>
                <c:pt idx="6">
                  <c:v>-7.8290318206460929</c:v>
                </c:pt>
                <c:pt idx="7">
                  <c:v>-8.5050183325541262</c:v>
                </c:pt>
                <c:pt idx="8">
                  <c:v>-8.1666641009121275</c:v>
                </c:pt>
                <c:pt idx="9">
                  <c:v>-6.7077956091591009</c:v>
                </c:pt>
                <c:pt idx="10">
                  <c:v>-4.2156591791360443</c:v>
                </c:pt>
                <c:pt idx="11">
                  <c:v>-1.7760796200420292</c:v>
                </c:pt>
                <c:pt idx="12">
                  <c:v>2.6117940440283614E-2</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Calc.'!$AN$26:$AN$42</c:f>
              <c:numCache>
                <c:formatCode>General</c:formatCode>
                <c:ptCount val="17"/>
                <c:pt idx="0">
                  <c:v>6.718</c:v>
                </c:pt>
                <c:pt idx="1">
                  <c:v>6.3630000000000004</c:v>
                </c:pt>
                <c:pt idx="2">
                  <c:v>5.1859999999999999</c:v>
                </c:pt>
                <c:pt idx="3">
                  <c:v>4.5129999999999999</c:v>
                </c:pt>
                <c:pt idx="4">
                  <c:v>5.7670000000000003</c:v>
                </c:pt>
                <c:pt idx="5">
                  <c:v>7.375</c:v>
                </c:pt>
                <c:pt idx="6">
                  <c:v>6.423</c:v>
                </c:pt>
                <c:pt idx="7">
                  <c:v>5.5940000000000003</c:v>
                </c:pt>
                <c:pt idx="8">
                  <c:v>1.5249999999999999</c:v>
                </c:pt>
                <c:pt idx="9">
                  <c:v>0.06</c:v>
                </c:pt>
                <c:pt idx="10">
                  <c:v>7.1999999999999995E-2</c:v>
                </c:pt>
                <c:pt idx="11">
                  <c:v>7.6999999999999999E-2</c:v>
                </c:pt>
                <c:pt idx="12">
                  <c:v>7.5999999999999998E-2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Calc.'!$AN$3:$AN$20</c:f>
              <c:numCache>
                <c:formatCode>General</c:formatCode>
                <c:ptCount val="18"/>
                <c:pt idx="0">
                  <c:v>6.718</c:v>
                </c:pt>
                <c:pt idx="1">
                  <c:v>6.1713913971105514</c:v>
                </c:pt>
                <c:pt idx="2">
                  <c:v>5.9418415126598907</c:v>
                </c:pt>
                <c:pt idx="3">
                  <c:v>5.853403596743167</c:v>
                </c:pt>
                <c:pt idx="4">
                  <c:v>5.7490681274106006</c:v>
                </c:pt>
                <c:pt idx="5">
                  <c:v>5.5753231660861138</c:v>
                </c:pt>
                <c:pt idx="6">
                  <c:v>5.0661964155868429</c:v>
                </c:pt>
                <c:pt idx="7">
                  <c:v>4.2812768732099578</c:v>
                </c:pt>
                <c:pt idx="8">
                  <c:v>3.2245762295932061</c:v>
                </c:pt>
                <c:pt idx="9">
                  <c:v>1.9710332964525403</c:v>
                </c:pt>
                <c:pt idx="10">
                  <c:v>0.59586334179370126</c:v>
                </c:pt>
                <c:pt idx="11">
                  <c:v>-0.45636591648378888</c:v>
                </c:pt>
                <c:pt idx="12">
                  <c:v>-0.98108749386528937</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Data'!$H$7:$H$79</c:f>
              <c:numCache>
                <c:formatCode>0.0000</c:formatCode>
                <c:ptCount val="73"/>
                <c:pt idx="0">
                  <c:v>0.26</c:v>
                </c:pt>
                <c:pt idx="1">
                  <c:v>0.43249998817443841</c:v>
                </c:pt>
                <c:pt idx="2">
                  <c:v>0.84</c:v>
                </c:pt>
                <c:pt idx="3">
                  <c:v>1.4873000217437744</c:v>
                </c:pt>
                <c:pt idx="4">
                  <c:v>2.7073000503540041</c:v>
                </c:pt>
                <c:pt idx="5">
                  <c:v>4.0235999656677244</c:v>
                </c:pt>
                <c:pt idx="6">
                  <c:v>6.555300099945069</c:v>
                </c:pt>
                <c:pt idx="7">
                  <c:v>9.4350002838134763</c:v>
                </c:pt>
                <c:pt idx="8">
                  <c:v>12.014300210571289</c:v>
                </c:pt>
                <c:pt idx="9">
                  <c:v>14.453400476074219</c:v>
                </c:pt>
                <c:pt idx="10">
                  <c:v>15.10840020904541</c:v>
                </c:pt>
                <c:pt idx="11">
                  <c:v>15.682599885559082</c:v>
                </c:pt>
                <c:pt idx="12">
                  <c:v>14.457500321960449</c:v>
                </c:pt>
                <c:pt idx="13" formatCode="General">
                  <c:v>13.934400422668457</c:v>
                </c:pt>
                <c:pt idx="14" formatCode="General">
                  <c:v>13.162699563598633</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Regression!$CH$3:$CH$26</c:f>
              <c:numCache>
                <c:formatCode>0.000</c:formatCode>
                <c:ptCount val="24"/>
                <c:pt idx="0">
                  <c:v>0.80182756382087605</c:v>
                </c:pt>
                <c:pt idx="1">
                  <c:v>-1.7120145291243019E-2</c:v>
                </c:pt>
                <c:pt idx="2">
                  <c:v>0.19385111548164494</c:v>
                </c:pt>
                <c:pt idx="3">
                  <c:v>1.2269787055750159</c:v>
                </c:pt>
                <c:pt idx="4">
                  <c:v>2.9815023901139699</c:v>
                </c:pt>
                <c:pt idx="5">
                  <c:v>4.7774479936004646</c:v>
                </c:pt>
                <c:pt idx="6">
                  <c:v>7.1992478283758583</c:v>
                </c:pt>
                <c:pt idx="7">
                  <c:v>9.4874289774674594</c:v>
                </c:pt>
                <c:pt idx="8">
                  <c:v>11.671455455189898</c:v>
                </c:pt>
                <c:pt idx="9">
                  <c:v>13.474138629329271</c:v>
                </c:pt>
                <c:pt idx="10">
                  <c:v>14.832989890925617</c:v>
                </c:pt>
                <c:pt idx="11">
                  <c:v>15.476095352836225</c:v>
                </c:pt>
                <c:pt idx="12">
                  <c:v>15.396336730227169</c:v>
                </c:pt>
                <c:pt idx="13">
                  <c:v>14.479115541513103</c:v>
                </c:pt>
                <c:pt idx="14">
                  <c:v>12.573005470010571</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Data'!$K$7:$K$79</c:f>
              <c:numCache>
                <c:formatCode>0.00</c:formatCode>
                <c:ptCount val="73"/>
                <c:pt idx="0">
                  <c:v>99.6</c:v>
                </c:pt>
                <c:pt idx="1">
                  <c:v>99.411796569824219</c:v>
                </c:pt>
                <c:pt idx="2">
                  <c:v>98.7</c:v>
                </c:pt>
                <c:pt idx="3">
                  <c:v>98.843498229980469</c:v>
                </c:pt>
                <c:pt idx="4">
                  <c:v>99.063697814941406</c:v>
                </c:pt>
                <c:pt idx="5">
                  <c:v>99.129997253417969</c:v>
                </c:pt>
                <c:pt idx="6">
                  <c:v>99.179298400878906</c:v>
                </c:pt>
                <c:pt idx="7">
                  <c:v>99.257003784179688</c:v>
                </c:pt>
                <c:pt idx="8">
                  <c:v>99.155296325683594</c:v>
                </c:pt>
                <c:pt idx="9">
                  <c:v>99.136497497558594</c:v>
                </c:pt>
                <c:pt idx="10">
                  <c:v>98.040603637695312</c:v>
                </c:pt>
                <c:pt idx="11">
                  <c:v>98.085899353027344</c:v>
                </c:pt>
                <c:pt idx="12">
                  <c:v>95.143501281738281</c:v>
                </c:pt>
                <c:pt idx="13" formatCode="General">
                  <c:v>92.429901123046875</c:v>
                </c:pt>
                <c:pt idx="14" formatCode="General">
                  <c:v>87.281097412109375</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21.28333333338378</c:v>
                </c:pt>
                <c:pt idx="1">
                  <c:v>48.550000000046566</c:v>
                </c:pt>
                <c:pt idx="2">
                  <c:v>71.050000000046566</c:v>
                </c:pt>
                <c:pt idx="3">
                  <c:v>95.53333333338378</c:v>
                </c:pt>
                <c:pt idx="4">
                  <c:v>115.96666666679084</c:v>
                </c:pt>
                <c:pt idx="5">
                  <c:v>141.16666666668607</c:v>
                </c:pt>
                <c:pt idx="6">
                  <c:v>164.81666666676756</c:v>
                </c:pt>
                <c:pt idx="7">
                  <c:v>189.19999999995343</c:v>
                </c:pt>
                <c:pt idx="8">
                  <c:v>213.14999999996508</c:v>
                </c:pt>
                <c:pt idx="9">
                  <c:v>238.2666666667792</c:v>
                </c:pt>
                <c:pt idx="10">
                  <c:v>261.91666666668607</c:v>
                </c:pt>
                <c:pt idx="11">
                  <c:v>284.91666666674428</c:v>
                </c:pt>
                <c:pt idx="12">
                  <c:v>308.75000000005821</c:v>
                </c:pt>
                <c:pt idx="13">
                  <c:v>333.09999999997672</c:v>
                </c:pt>
              </c:numCache>
            </c:numRef>
          </c:xVal>
          <c:yVal>
            <c:numRef>
              <c:f>'Measured Data'!$H$8:$H$84</c:f>
              <c:numCache>
                <c:formatCode>0.0000</c:formatCode>
                <c:ptCount val="77"/>
                <c:pt idx="0">
                  <c:v>0.43249998817443841</c:v>
                </c:pt>
                <c:pt idx="1">
                  <c:v>0.84</c:v>
                </c:pt>
                <c:pt idx="2">
                  <c:v>1.4873000217437744</c:v>
                </c:pt>
                <c:pt idx="3">
                  <c:v>2.7073000503540041</c:v>
                </c:pt>
                <c:pt idx="4">
                  <c:v>4.0235999656677244</c:v>
                </c:pt>
                <c:pt idx="5">
                  <c:v>6.555300099945069</c:v>
                </c:pt>
                <c:pt idx="6">
                  <c:v>9.4350002838134763</c:v>
                </c:pt>
                <c:pt idx="7">
                  <c:v>12.014300210571289</c:v>
                </c:pt>
                <c:pt idx="8">
                  <c:v>14.453400476074219</c:v>
                </c:pt>
                <c:pt idx="9">
                  <c:v>15.10840020904541</c:v>
                </c:pt>
                <c:pt idx="10">
                  <c:v>15.682599885559082</c:v>
                </c:pt>
                <c:pt idx="11">
                  <c:v>14.457500321960449</c:v>
                </c:pt>
                <c:pt idx="12" formatCode="General">
                  <c:v>13.934400422668457</c:v>
                </c:pt>
                <c:pt idx="13" formatCode="General">
                  <c:v>13.162699563598633</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Calc.'!$AR$3:$AR$94</c:f>
              <c:numCache>
                <c:formatCode>0.0000</c:formatCode>
                <c:ptCount val="92"/>
                <c:pt idx="1">
                  <c:v>2.3752674833511265E-2</c:v>
                </c:pt>
                <c:pt idx="2">
                  <c:v>2.3230704299404988E-2</c:v>
                </c:pt>
                <c:pt idx="3">
                  <c:v>2.4092599206086918E-2</c:v>
                </c:pt>
                <c:pt idx="4">
                  <c:v>2.3458528408698717E-2</c:v>
                </c:pt>
                <c:pt idx="5">
                  <c:v>1.9430666739117541E-2</c:v>
                </c:pt>
                <c:pt idx="6">
                  <c:v>1.9218179302097769E-2</c:v>
                </c:pt>
                <c:pt idx="7">
                  <c:v>1.5490074064633326E-2</c:v>
                </c:pt>
                <c:pt idx="8">
                  <c:v>1.0395578626986469E-2</c:v>
                </c:pt>
                <c:pt idx="9">
                  <c:v>7.6489957706565624E-3</c:v>
                </c:pt>
                <c:pt idx="10">
                  <c:v>5.8533818759091494E-4</c:v>
                </c:pt>
                <c:pt idx="11">
                  <c:v>1.3551960083395115E-3</c:v>
                </c:pt>
                <c:pt idx="12">
                  <c:v>-4.5970250206367157E-3</c:v>
                </c:pt>
                <c:pt idx="13">
                  <c:v>-1.681617623605026E-3</c:v>
                </c:pt>
                <c:pt idx="14">
                  <c:v>-2.3885019808678491E-3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Data'!$AP$7:$AP$84</c:f>
              <c:numCache>
                <c:formatCode>General</c:formatCode>
                <c:ptCount val="78"/>
                <c:pt idx="0">
                  <c:v>1.5580000000000001</c:v>
                </c:pt>
                <c:pt idx="1">
                  <c:v>1.5720000000000001</c:v>
                </c:pt>
                <c:pt idx="2">
                  <c:v>1.454</c:v>
                </c:pt>
                <c:pt idx="3">
                  <c:v>1.35</c:v>
                </c:pt>
                <c:pt idx="4">
                  <c:v>1.194</c:v>
                </c:pt>
                <c:pt idx="5">
                  <c:v>1.2350000000000001</c:v>
                </c:pt>
                <c:pt idx="6">
                  <c:v>0.94</c:v>
                </c:pt>
                <c:pt idx="7">
                  <c:v>0.73299999999999998</c:v>
                </c:pt>
                <c:pt idx="8">
                  <c:v>0.46300000000000002</c:v>
                </c:pt>
                <c:pt idx="9">
                  <c:v>0.11700000000000001</c:v>
                </c:pt>
                <c:pt idx="10">
                  <c:v>6.4000000000000001E-2</c:v>
                </c:pt>
                <c:pt idx="11">
                  <c:v>0</c:v>
                </c:pt>
                <c:pt idx="12">
                  <c:v>0.06</c:v>
                </c:pt>
                <c:pt idx="13">
                  <c:v>0.23699999999999999</c:v>
                </c:pt>
                <c:pt idx="14">
                  <c:v>0.377</c:v>
                </c:pt>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Data'!$AD$7:$AD$84</c:f>
              <c:numCache>
                <c:formatCode>General</c:formatCode>
                <c:ptCount val="78"/>
                <c:pt idx="0">
                  <c:v>1.3089999999999999</c:v>
                </c:pt>
                <c:pt idx="1">
                  <c:v>1.6679999999999999</c:v>
                </c:pt>
                <c:pt idx="2">
                  <c:v>1.4370000000000001</c:v>
                </c:pt>
                <c:pt idx="3">
                  <c:v>0.97699999999999998</c:v>
                </c:pt>
                <c:pt idx="4">
                  <c:v>1.446</c:v>
                </c:pt>
                <c:pt idx="5">
                  <c:v>1.825</c:v>
                </c:pt>
                <c:pt idx="6">
                  <c:v>1.7829999999999999</c:v>
                </c:pt>
                <c:pt idx="7">
                  <c:v>1.306</c:v>
                </c:pt>
                <c:pt idx="8">
                  <c:v>1.077</c:v>
                </c:pt>
                <c:pt idx="9">
                  <c:v>0.878</c:v>
                </c:pt>
                <c:pt idx="10">
                  <c:v>0.84099999999999997</c:v>
                </c:pt>
                <c:pt idx="11">
                  <c:v>0.73699999999999999</c:v>
                </c:pt>
                <c:pt idx="12">
                  <c:v>0.60699999999999998</c:v>
                </c:pt>
                <c:pt idx="13">
                  <c:v>0.53900000000000003</c:v>
                </c:pt>
                <c:pt idx="14">
                  <c:v>0.49399999999999999</c:v>
                </c:pt>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Data'!$AF$7:$AF$84</c:f>
              <c:numCache>
                <c:formatCode>0.0000</c:formatCode>
                <c:ptCount val="78"/>
                <c:pt idx="0">
                  <c:v>0.6660746003552398</c:v>
                </c:pt>
                <c:pt idx="1">
                  <c:v>1.3321492007104796</c:v>
                </c:pt>
                <c:pt idx="2">
                  <c:v>2.5532859680284195</c:v>
                </c:pt>
                <c:pt idx="3">
                  <c:v>3.4413854351687392</c:v>
                </c:pt>
                <c:pt idx="4">
                  <c:v>5.1065719360568389</c:v>
                </c:pt>
                <c:pt idx="5">
                  <c:v>6.9937833037300177</c:v>
                </c:pt>
                <c:pt idx="6">
                  <c:v>9.8801065719360572</c:v>
                </c:pt>
                <c:pt idx="7">
                  <c:v>11.434280639431616</c:v>
                </c:pt>
                <c:pt idx="8">
                  <c:v>11.545293072824157</c:v>
                </c:pt>
                <c:pt idx="9">
                  <c:v>7.7708703374777972</c:v>
                </c:pt>
                <c:pt idx="10">
                  <c:v>3.4413854351687392</c:v>
                </c:pt>
                <c:pt idx="11">
                  <c:v>3.2193605683836588</c:v>
                </c:pt>
                <c:pt idx="12">
                  <c:v>3.4413854351687392</c:v>
                </c:pt>
                <c:pt idx="13" formatCode="General">
                  <c:v>2.4422735346358793</c:v>
                </c:pt>
                <c:pt idx="14" formatCode="General">
                  <c:v>4.6625222024866781</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Data'!$AG$7:$AG$84</c:f>
              <c:numCache>
                <c:formatCode>General</c:formatCode>
                <c:ptCount val="78"/>
                <c:pt idx="0">
                  <c:v>4.5869999999999997</c:v>
                </c:pt>
                <c:pt idx="1">
                  <c:v>4.5999999999999996</c:v>
                </c:pt>
                <c:pt idx="2">
                  <c:v>4.0759999999999996</c:v>
                </c:pt>
                <c:pt idx="3">
                  <c:v>3.72</c:v>
                </c:pt>
                <c:pt idx="4">
                  <c:v>4.2590000000000003</c:v>
                </c:pt>
                <c:pt idx="5">
                  <c:v>5.1260000000000003</c:v>
                </c:pt>
                <c:pt idx="6">
                  <c:v>5.0880000000000001</c:v>
                </c:pt>
                <c:pt idx="7">
                  <c:v>5.2859999999999996</c:v>
                </c:pt>
                <c:pt idx="8">
                  <c:v>4.5259999999999998</c:v>
                </c:pt>
                <c:pt idx="9">
                  <c:v>3.3370000000000002</c:v>
                </c:pt>
                <c:pt idx="10">
                  <c:v>2.8330000000000002</c:v>
                </c:pt>
                <c:pt idx="11">
                  <c:v>2.0430000000000001</c:v>
                </c:pt>
                <c:pt idx="12">
                  <c:v>1.2569999999999999</c:v>
                </c:pt>
                <c:pt idx="13">
                  <c:v>0.871</c:v>
                </c:pt>
                <c:pt idx="14">
                  <c:v>0.69699999999999995</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Data'!$AM$7:$AM$84</c:f>
              <c:numCache>
                <c:formatCode>General</c:formatCode>
                <c:ptCount val="78"/>
                <c:pt idx="0">
                  <c:v>5.1929999999999996</c:v>
                </c:pt>
                <c:pt idx="1">
                  <c:v>5.1020000000000003</c:v>
                </c:pt>
                <c:pt idx="2">
                  <c:v>4.431</c:v>
                </c:pt>
                <c:pt idx="3">
                  <c:v>3.9089999999999998</c:v>
                </c:pt>
                <c:pt idx="4">
                  <c:v>3.3769999999999998</c:v>
                </c:pt>
                <c:pt idx="5">
                  <c:v>3.21</c:v>
                </c:pt>
                <c:pt idx="6">
                  <c:v>2.4510000000000001</c:v>
                </c:pt>
                <c:pt idx="7">
                  <c:v>1.758</c:v>
                </c:pt>
                <c:pt idx="8">
                  <c:v>1.3180000000000001</c:v>
                </c:pt>
                <c:pt idx="9">
                  <c:v>0.16900000000000001</c:v>
                </c:pt>
                <c:pt idx="10">
                  <c:v>0.29099999999999998</c:v>
                </c:pt>
                <c:pt idx="11">
                  <c:v>0.28899999999999998</c:v>
                </c:pt>
                <c:pt idx="12">
                  <c:v>0.48199999999999998</c:v>
                </c:pt>
                <c:pt idx="13">
                  <c:v>0.999</c:v>
                </c:pt>
                <c:pt idx="14">
                  <c:v>1.238</c:v>
                </c:pt>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Data'!$U$7:$U$84</c:f>
              <c:numCache>
                <c:formatCode>General</c:formatCode>
                <c:ptCount val="78"/>
                <c:pt idx="0">
                  <c:v>6.5000000000000002E-2</c:v>
                </c:pt>
                <c:pt idx="1">
                  <c:v>7.2999999999999995E-2</c:v>
                </c:pt>
                <c:pt idx="2">
                  <c:v>6.8000000000000005E-2</c:v>
                </c:pt>
                <c:pt idx="3">
                  <c:v>0.10199999999999999</c:v>
                </c:pt>
                <c:pt idx="4">
                  <c:v>0.26300000000000001</c:v>
                </c:pt>
                <c:pt idx="5">
                  <c:v>0.63800000000000001</c:v>
                </c:pt>
                <c:pt idx="6">
                  <c:v>1.401</c:v>
                </c:pt>
                <c:pt idx="7">
                  <c:v>2.7759999999999998</c:v>
                </c:pt>
                <c:pt idx="8">
                  <c:v>4.8159999999999998</c:v>
                </c:pt>
                <c:pt idx="9">
                  <c:v>6.258</c:v>
                </c:pt>
                <c:pt idx="10">
                  <c:v>6.4829999999999997</c:v>
                </c:pt>
                <c:pt idx="11">
                  <c:v>4.9409999999999998</c:v>
                </c:pt>
                <c:pt idx="12">
                  <c:v>3.782</c:v>
                </c:pt>
                <c:pt idx="13">
                  <c:v>2.6720000000000002</c:v>
                </c:pt>
                <c:pt idx="14">
                  <c:v>2.2480000000000002</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Data'!$Z$7:$Z$84</c:f>
              <c:numCache>
                <c:formatCode>0.0000</c:formatCode>
                <c:ptCount val="78"/>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pt idx="13" formatCode="General">
                  <c:v>11.878594107329203</c:v>
                </c:pt>
                <c:pt idx="14" formatCode="General">
                  <c:v>11.823086658229533</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Data'!$AJ$7:$AJ$84</c:f>
              <c:numCache>
                <c:formatCode>0.00</c:formatCode>
                <c:ptCount val="78"/>
                <c:pt idx="0">
                  <c:v>0.64</c:v>
                </c:pt>
                <c:pt idx="1">
                  <c:v>0.8</c:v>
                </c:pt>
                <c:pt idx="2">
                  <c:v>1.26</c:v>
                </c:pt>
                <c:pt idx="3">
                  <c:v>1.8</c:v>
                </c:pt>
                <c:pt idx="4">
                  <c:v>2.83</c:v>
                </c:pt>
                <c:pt idx="5">
                  <c:v>4.03</c:v>
                </c:pt>
                <c:pt idx="6">
                  <c:v>5.77</c:v>
                </c:pt>
                <c:pt idx="7">
                  <c:v>7.52</c:v>
                </c:pt>
                <c:pt idx="8">
                  <c:v>8.86</c:v>
                </c:pt>
                <c:pt idx="9">
                  <c:v>7.16</c:v>
                </c:pt>
                <c:pt idx="10">
                  <c:v>6.91</c:v>
                </c:pt>
                <c:pt idx="11">
                  <c:v>10.28</c:v>
                </c:pt>
                <c:pt idx="12">
                  <c:v>10.91</c:v>
                </c:pt>
                <c:pt idx="13">
                  <c:v>11.9</c:v>
                </c:pt>
                <c:pt idx="14">
                  <c:v>12.63</c:v>
                </c:pt>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numCache>
            </c:numRef>
          </c:xVal>
          <c:yVal>
            <c:numRef>
              <c:f>'Measured Data'!$AO$7:$AO$14</c:f>
              <c:numCache>
                <c:formatCode>General</c:formatCode>
                <c:ptCount val="8"/>
                <c:pt idx="0">
                  <c:v>1.141</c:v>
                </c:pt>
                <c:pt idx="1">
                  <c:v>1.153</c:v>
                </c:pt>
                <c:pt idx="2">
                  <c:v>1.014</c:v>
                </c:pt>
                <c:pt idx="3">
                  <c:v>0.90500000000000003</c:v>
                </c:pt>
                <c:pt idx="4">
                  <c:v>1.097</c:v>
                </c:pt>
                <c:pt idx="5">
                  <c:v>1.3720000000000001</c:v>
                </c:pt>
                <c:pt idx="6">
                  <c:v>1.4339999999999999</c:v>
                </c:pt>
                <c:pt idx="7">
                  <c:v>1.585</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Data'!$T$7:$T$48</c:f>
              <c:numCache>
                <c:formatCode>0.0000</c:formatCode>
                <c:ptCount val="42"/>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Data'!$V$7:$V$48</c:f>
              <c:numCache>
                <c:formatCode>General</c:formatCode>
                <c:ptCount val="42"/>
                <c:pt idx="0">
                  <c:v>2.2170000000000001</c:v>
                </c:pt>
                <c:pt idx="1">
                  <c:v>2.133</c:v>
                </c:pt>
                <c:pt idx="2">
                  <c:v>1.657</c:v>
                </c:pt>
                <c:pt idx="3">
                  <c:v>1.6890000000000001</c:v>
                </c:pt>
                <c:pt idx="4">
                  <c:v>2.105</c:v>
                </c:pt>
                <c:pt idx="5">
                  <c:v>2.734</c:v>
                </c:pt>
                <c:pt idx="6">
                  <c:v>2.83</c:v>
                </c:pt>
                <c:pt idx="7">
                  <c:v>3.3650000000000002</c:v>
                </c:pt>
                <c:pt idx="8">
                  <c:v>3.2389999999999999</c:v>
                </c:pt>
                <c:pt idx="9">
                  <c:v>2.8069999999999999</c:v>
                </c:pt>
                <c:pt idx="10">
                  <c:v>2.6680000000000001</c:v>
                </c:pt>
                <c:pt idx="11">
                  <c:v>2.3540000000000001</c:v>
                </c:pt>
                <c:pt idx="12">
                  <c:v>1.83</c:v>
                </c:pt>
                <c:pt idx="13">
                  <c:v>1.5760000000000001</c:v>
                </c:pt>
                <c:pt idx="14">
                  <c:v>1.3819999999999999</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Data'!$AA$7:$AA$48</c:f>
              <c:numCache>
                <c:formatCode>General</c:formatCode>
                <c:ptCount val="42"/>
                <c:pt idx="0">
                  <c:v>0</c:v>
                </c:pt>
                <c:pt idx="1">
                  <c:v>0</c:v>
                </c:pt>
                <c:pt idx="2">
                  <c:v>0.33200000000000002</c:v>
                </c:pt>
                <c:pt idx="3">
                  <c:v>0.35599999999999998</c:v>
                </c:pt>
                <c:pt idx="4">
                  <c:v>0.63500000000000001</c:v>
                </c:pt>
                <c:pt idx="5">
                  <c:v>1.071</c:v>
                </c:pt>
                <c:pt idx="6">
                  <c:v>1.6120000000000001</c:v>
                </c:pt>
                <c:pt idx="7">
                  <c:v>2.5329999999999999</c:v>
                </c:pt>
                <c:pt idx="8">
                  <c:v>3.907</c:v>
                </c:pt>
                <c:pt idx="9">
                  <c:v>5.0679999999999996</c:v>
                </c:pt>
                <c:pt idx="10">
                  <c:v>5.8840000000000003</c:v>
                </c:pt>
                <c:pt idx="11">
                  <c:v>4.4249999999999998</c:v>
                </c:pt>
                <c:pt idx="12">
                  <c:v>2.4260000000000002</c:v>
                </c:pt>
                <c:pt idx="13">
                  <c:v>2.2829999999999999</c:v>
                </c:pt>
                <c:pt idx="14">
                  <c:v>2.0430000000000001</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Data'!$AC$7:$AC$84</c:f>
              <c:numCache>
                <c:formatCode>General</c:formatCode>
                <c:ptCount val="78"/>
                <c:pt idx="0">
                  <c:v>0.21199999999999999</c:v>
                </c:pt>
                <c:pt idx="1">
                  <c:v>0.27300000000000002</c:v>
                </c:pt>
                <c:pt idx="2">
                  <c:v>0.38600000000000001</c:v>
                </c:pt>
                <c:pt idx="3">
                  <c:v>0.53200000000000003</c:v>
                </c:pt>
                <c:pt idx="4">
                  <c:v>0.876</c:v>
                </c:pt>
                <c:pt idx="5">
                  <c:v>1.272</c:v>
                </c:pt>
                <c:pt idx="6">
                  <c:v>1.409</c:v>
                </c:pt>
                <c:pt idx="7">
                  <c:v>1.454</c:v>
                </c:pt>
                <c:pt idx="8">
                  <c:v>1.069</c:v>
                </c:pt>
                <c:pt idx="9">
                  <c:v>0.47899999999999998</c:v>
                </c:pt>
                <c:pt idx="10">
                  <c:v>0.39600000000000002</c:v>
                </c:pt>
                <c:pt idx="11">
                  <c:v>0.10199999999999999</c:v>
                </c:pt>
                <c:pt idx="12">
                  <c:v>0.126</c:v>
                </c:pt>
                <c:pt idx="13">
                  <c:v>0.49</c:v>
                </c:pt>
                <c:pt idx="14">
                  <c:v>1.1919999999999999</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Data'!$AH$7:$AH$84</c:f>
              <c:numCache>
                <c:formatCode>General</c:formatCode>
                <c:ptCount val="78"/>
                <c:pt idx="0">
                  <c:v>3.5350000000000001</c:v>
                </c:pt>
                <c:pt idx="1">
                  <c:v>3.6219999999999999</c:v>
                </c:pt>
                <c:pt idx="2">
                  <c:v>3.2919999999999998</c:v>
                </c:pt>
                <c:pt idx="3">
                  <c:v>3.0379999999999998</c:v>
                </c:pt>
                <c:pt idx="4">
                  <c:v>3.6549999999999998</c:v>
                </c:pt>
                <c:pt idx="5">
                  <c:v>4.5430000000000001</c:v>
                </c:pt>
                <c:pt idx="6">
                  <c:v>4.702</c:v>
                </c:pt>
                <c:pt idx="7">
                  <c:v>5.0880000000000001</c:v>
                </c:pt>
                <c:pt idx="8">
                  <c:v>4.742</c:v>
                </c:pt>
                <c:pt idx="9">
                  <c:v>3.988</c:v>
                </c:pt>
                <c:pt idx="10">
                  <c:v>3.7189999999999999</c:v>
                </c:pt>
                <c:pt idx="11">
                  <c:v>2.9729999999999999</c:v>
                </c:pt>
                <c:pt idx="12">
                  <c:v>2.0619999999999998</c:v>
                </c:pt>
                <c:pt idx="13">
                  <c:v>1.458</c:v>
                </c:pt>
                <c:pt idx="14">
                  <c:v>1.103</c:v>
                </c:pt>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Data'!$AL$7:$AL$84</c:f>
              <c:numCache>
                <c:formatCode>General</c:formatCode>
                <c:ptCount val="78"/>
                <c:pt idx="0">
                  <c:v>5.3029999999999999</c:v>
                </c:pt>
                <c:pt idx="1">
                  <c:v>5.3490000000000002</c:v>
                </c:pt>
                <c:pt idx="2">
                  <c:v>4.8490000000000002</c:v>
                </c:pt>
                <c:pt idx="3">
                  <c:v>4.5590000000000002</c:v>
                </c:pt>
                <c:pt idx="4">
                  <c:v>4.3029999999999999</c:v>
                </c:pt>
                <c:pt idx="5">
                  <c:v>4.516</c:v>
                </c:pt>
                <c:pt idx="6">
                  <c:v>3.871</c:v>
                </c:pt>
                <c:pt idx="7">
                  <c:v>3.5409999999999999</c:v>
                </c:pt>
                <c:pt idx="8">
                  <c:v>3.0219999999999998</c:v>
                </c:pt>
                <c:pt idx="9">
                  <c:v>2.403</c:v>
                </c:pt>
                <c:pt idx="10">
                  <c:v>2.3780000000000001</c:v>
                </c:pt>
                <c:pt idx="11">
                  <c:v>2.4529999999999998</c:v>
                </c:pt>
                <c:pt idx="12">
                  <c:v>2.4889999999999999</c:v>
                </c:pt>
                <c:pt idx="13">
                  <c:v>2.8650000000000002</c:v>
                </c:pt>
                <c:pt idx="14">
                  <c:v>3.2269999999999999</c:v>
                </c:pt>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Data'!$AO$7:$AO$84</c:f>
              <c:numCache>
                <c:formatCode>General</c:formatCode>
                <c:ptCount val="78"/>
                <c:pt idx="0">
                  <c:v>1.141</c:v>
                </c:pt>
                <c:pt idx="1">
                  <c:v>1.153</c:v>
                </c:pt>
                <c:pt idx="2">
                  <c:v>1.014</c:v>
                </c:pt>
                <c:pt idx="3">
                  <c:v>0.90500000000000003</c:v>
                </c:pt>
                <c:pt idx="4">
                  <c:v>1.097</c:v>
                </c:pt>
                <c:pt idx="5">
                  <c:v>1.3720000000000001</c:v>
                </c:pt>
                <c:pt idx="6">
                  <c:v>1.4339999999999999</c:v>
                </c:pt>
                <c:pt idx="7">
                  <c:v>1.585</c:v>
                </c:pt>
                <c:pt idx="8">
                  <c:v>1.5229999999999999</c:v>
                </c:pt>
                <c:pt idx="9">
                  <c:v>1.333</c:v>
                </c:pt>
                <c:pt idx="10">
                  <c:v>1.2629999999999999</c:v>
                </c:pt>
                <c:pt idx="11">
                  <c:v>1.093</c:v>
                </c:pt>
                <c:pt idx="12">
                  <c:v>0.86399999999999999</c:v>
                </c:pt>
                <c:pt idx="13">
                  <c:v>0.70399999999999996</c:v>
                </c:pt>
                <c:pt idx="14">
                  <c:v>0.59899999999999998</c:v>
                </c:pt>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Data'!$AB$7:$AB$84</c:f>
              <c:numCache>
                <c:formatCode>General</c:formatCode>
                <c:ptCount val="78"/>
                <c:pt idx="0">
                  <c:v>2.4990000000000001</c:v>
                </c:pt>
                <c:pt idx="1">
                  <c:v>2.5510000000000002</c:v>
                </c:pt>
                <c:pt idx="2">
                  <c:v>2.355</c:v>
                </c:pt>
                <c:pt idx="3">
                  <c:v>2.2269999999999999</c:v>
                </c:pt>
                <c:pt idx="4">
                  <c:v>6.34</c:v>
                </c:pt>
                <c:pt idx="5">
                  <c:v>10.302</c:v>
                </c:pt>
                <c:pt idx="6">
                  <c:v>12.943</c:v>
                </c:pt>
                <c:pt idx="7">
                  <c:v>15.664</c:v>
                </c:pt>
                <c:pt idx="8">
                  <c:v>15.13</c:v>
                </c:pt>
                <c:pt idx="9">
                  <c:v>12.262</c:v>
                </c:pt>
                <c:pt idx="10">
                  <c:v>9.2409999999999997</c:v>
                </c:pt>
                <c:pt idx="11">
                  <c:v>6.9820000000000002</c:v>
                </c:pt>
                <c:pt idx="12">
                  <c:v>4.9569999999999999</c:v>
                </c:pt>
                <c:pt idx="13">
                  <c:v>3.589</c:v>
                </c:pt>
                <c:pt idx="14">
                  <c:v>3.3149999999999999</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Data'!$W$7:$W$84</c:f>
              <c:numCache>
                <c:formatCode>General</c:formatCode>
                <c:ptCount val="78"/>
                <c:pt idx="0">
                  <c:v>6.718</c:v>
                </c:pt>
                <c:pt idx="1">
                  <c:v>6.3630000000000004</c:v>
                </c:pt>
                <c:pt idx="2">
                  <c:v>5.1859999999999999</c:v>
                </c:pt>
                <c:pt idx="3">
                  <c:v>4.5129999999999999</c:v>
                </c:pt>
                <c:pt idx="4">
                  <c:v>5.7670000000000003</c:v>
                </c:pt>
                <c:pt idx="5">
                  <c:v>7.375</c:v>
                </c:pt>
                <c:pt idx="6">
                  <c:v>6.423</c:v>
                </c:pt>
                <c:pt idx="7">
                  <c:v>5.5940000000000003</c:v>
                </c:pt>
                <c:pt idx="8">
                  <c:v>1.5249999999999999</c:v>
                </c:pt>
                <c:pt idx="9">
                  <c:v>0.06</c:v>
                </c:pt>
                <c:pt idx="10">
                  <c:v>7.1999999999999995E-2</c:v>
                </c:pt>
                <c:pt idx="11">
                  <c:v>7.6999999999999999E-2</c:v>
                </c:pt>
                <c:pt idx="12">
                  <c:v>7.5999999999999998E-2</c:v>
                </c:pt>
                <c:pt idx="13">
                  <c:v>7.4999999999999997E-2</c:v>
                </c:pt>
                <c:pt idx="14">
                  <c:v>7.1999999999999995E-2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Data'!$Y$7:$Y$84</c:f>
              <c:numCache>
                <c:formatCode>General</c:formatCode>
                <c:ptCount val="78"/>
                <c:pt idx="0">
                  <c:v>1.123</c:v>
                </c:pt>
                <c:pt idx="1">
                  <c:v>1.19</c:v>
                </c:pt>
                <c:pt idx="2">
                  <c:v>1.083</c:v>
                </c:pt>
                <c:pt idx="3">
                  <c:v>0.96799999999999997</c:v>
                </c:pt>
                <c:pt idx="4">
                  <c:v>0.85899999999999999</c:v>
                </c:pt>
                <c:pt idx="5">
                  <c:v>0.86599999999999999</c:v>
                </c:pt>
                <c:pt idx="6">
                  <c:v>0.68700000000000006</c:v>
                </c:pt>
                <c:pt idx="7">
                  <c:v>0.59099999999999997</c:v>
                </c:pt>
                <c:pt idx="8">
                  <c:v>0.44800000000000001</c:v>
                </c:pt>
                <c:pt idx="9">
                  <c:v>0.26900000000000002</c:v>
                </c:pt>
                <c:pt idx="10">
                  <c:v>0.155</c:v>
                </c:pt>
                <c:pt idx="11">
                  <c:v>9.6000000000000002E-2</c:v>
                </c:pt>
                <c:pt idx="12">
                  <c:v>0.115</c:v>
                </c:pt>
                <c:pt idx="13">
                  <c:v>0.221</c:v>
                </c:pt>
                <c:pt idx="14">
                  <c:v>0.39600000000000002</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Data'!$Z$7:$Z$84</c:f>
              <c:numCache>
                <c:formatCode>0.0000</c:formatCode>
                <c:ptCount val="78"/>
                <c:pt idx="0">
                  <c:v>34.08157374719687</c:v>
                </c:pt>
                <c:pt idx="1">
                  <c:v>32.860409867004151</c:v>
                </c:pt>
                <c:pt idx="2">
                  <c:v>32.083305579608783</c:v>
                </c:pt>
                <c:pt idx="3">
                  <c:v>29.807500166522345</c:v>
                </c:pt>
                <c:pt idx="4">
                  <c:v>33.193454561602174</c:v>
                </c:pt>
                <c:pt idx="5">
                  <c:v>34.470125890894558</c:v>
                </c:pt>
                <c:pt idx="6">
                  <c:v>33.859543950798198</c:v>
                </c:pt>
                <c:pt idx="7">
                  <c:v>31.417216190412752</c:v>
                </c:pt>
                <c:pt idx="8">
                  <c:v>22.313994538067004</c:v>
                </c:pt>
                <c:pt idx="9">
                  <c:v>10.87946002353516</c:v>
                </c:pt>
                <c:pt idx="10">
                  <c:v>5.6617598081662557</c:v>
                </c:pt>
                <c:pt idx="11">
                  <c:v>6.605386442860631</c:v>
                </c:pt>
                <c:pt idx="12">
                  <c:v>7.2714758320566615</c:v>
                </c:pt>
                <c:pt idx="13" formatCode="General">
                  <c:v>11.878594107329203</c:v>
                </c:pt>
                <c:pt idx="14" formatCode="General">
                  <c:v>11.823086658229533</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Data'!$AE$7:$AE$84</c:f>
              <c:numCache>
                <c:formatCode>General</c:formatCode>
                <c:ptCount val="78"/>
                <c:pt idx="0">
                  <c:v>2.9790000000000001</c:v>
                </c:pt>
                <c:pt idx="1">
                  <c:v>2.9820000000000002</c:v>
                </c:pt>
                <c:pt idx="2">
                  <c:v>2.6389999999999998</c:v>
                </c:pt>
                <c:pt idx="3">
                  <c:v>2.4089999999999998</c:v>
                </c:pt>
                <c:pt idx="4">
                  <c:v>2.9390000000000001</c:v>
                </c:pt>
                <c:pt idx="5">
                  <c:v>3.6859999999999999</c:v>
                </c:pt>
                <c:pt idx="6">
                  <c:v>3.835</c:v>
                </c:pt>
                <c:pt idx="7">
                  <c:v>4.1989999999999998</c:v>
                </c:pt>
                <c:pt idx="8">
                  <c:v>3.863</c:v>
                </c:pt>
                <c:pt idx="9">
                  <c:v>3.1509999999999998</c:v>
                </c:pt>
                <c:pt idx="10">
                  <c:v>2.9380000000000002</c:v>
                </c:pt>
                <c:pt idx="11">
                  <c:v>2.7440000000000002</c:v>
                </c:pt>
                <c:pt idx="12">
                  <c:v>2.4630000000000001</c:v>
                </c:pt>
                <c:pt idx="13">
                  <c:v>2.444</c:v>
                </c:pt>
                <c:pt idx="14">
                  <c:v>2.4489999999999998</c:v>
                </c:pt>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Data'!$AI$7:$AI$84</c:f>
              <c:numCache>
                <c:formatCode>General</c:formatCode>
                <c:ptCount val="78"/>
                <c:pt idx="0">
                  <c:v>0.83099999999999996</c:v>
                </c:pt>
                <c:pt idx="1">
                  <c:v>0.82199999999999995</c:v>
                </c:pt>
                <c:pt idx="2">
                  <c:v>0.73199999999999998</c:v>
                </c:pt>
                <c:pt idx="3">
                  <c:v>0.64900000000000002</c:v>
                </c:pt>
                <c:pt idx="4">
                  <c:v>0.56699999999999995</c:v>
                </c:pt>
                <c:pt idx="5">
                  <c:v>0.57399999999999995</c:v>
                </c:pt>
                <c:pt idx="6">
                  <c:v>0.41199999999999998</c:v>
                </c:pt>
                <c:pt idx="7">
                  <c:v>0.30199999999999999</c:v>
                </c:pt>
                <c:pt idx="8">
                  <c:v>0.16900000000000001</c:v>
                </c:pt>
                <c:pt idx="9">
                  <c:v>0</c:v>
                </c:pt>
                <c:pt idx="10">
                  <c:v>0</c:v>
                </c:pt>
                <c:pt idx="11">
                  <c:v>0</c:v>
                </c:pt>
                <c:pt idx="12">
                  <c:v>6.7000000000000004E-2</c:v>
                </c:pt>
                <c:pt idx="13">
                  <c:v>0.184</c:v>
                </c:pt>
                <c:pt idx="14">
                  <c:v>0.28999999999999998</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Data'!$R$7:$R$79</c:f>
              <c:numCache>
                <c:formatCode>0.0000</c:formatCode>
                <c:ptCount val="73"/>
                <c:pt idx="0">
                  <c:v>335</c:v>
                </c:pt>
                <c:pt idx="1">
                  <c:v>330</c:v>
                </c:pt>
                <c:pt idx="2">
                  <c:v>335</c:v>
                </c:pt>
                <c:pt idx="3">
                  <c:v>323</c:v>
                </c:pt>
                <c:pt idx="4">
                  <c:v>355</c:v>
                </c:pt>
                <c:pt idx="5">
                  <c:v>374</c:v>
                </c:pt>
                <c:pt idx="6">
                  <c:v>388</c:v>
                </c:pt>
                <c:pt idx="7">
                  <c:v>405</c:v>
                </c:pt>
                <c:pt idx="8">
                  <c:v>383</c:v>
                </c:pt>
                <c:pt idx="9">
                  <c:v>376</c:v>
                </c:pt>
                <c:pt idx="10">
                  <c:v>373</c:v>
                </c:pt>
                <c:pt idx="11">
                  <c:v>381</c:v>
                </c:pt>
                <c:pt idx="12">
                  <c:v>396</c:v>
                </c:pt>
                <c:pt idx="13">
                  <c:v>425</c:v>
                </c:pt>
                <c:pt idx="14">
                  <c:v>431</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'Measured Data'!$S$7:$S$84</c:f>
              <c:numCache>
                <c:formatCode>0.0000</c:formatCode>
                <c:ptCount val="78"/>
                <c:pt idx="4">
                  <c:v>28.09</c:v>
                </c:pt>
                <c:pt idx="5">
                  <c:v>87.16</c:v>
                </c:pt>
                <c:pt idx="6">
                  <c:v>213.63</c:v>
                </c:pt>
                <c:pt idx="7">
                  <c:v>410.59</c:v>
                </c:pt>
                <c:pt idx="8">
                  <c:v>737.5</c:v>
                </c:pt>
                <c:pt idx="9">
                  <c:v>1175.25</c:v>
                </c:pt>
                <c:pt idx="10">
                  <c:v>1432.7</c:v>
                </c:pt>
                <c:pt idx="11">
                  <c:v>1767.66</c:v>
                </c:pt>
                <c:pt idx="12">
                  <c:v>2174.88</c:v>
                </c:pt>
                <c:pt idx="13">
                  <c:v>2489.4699999999998</c:v>
                </c:pt>
                <c:pt idx="14">
                  <c:v>2723.92</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Calc.'!$N$3:$N$94</c:f>
              <c:numCache>
                <c:formatCode>0.0000</c:formatCode>
                <c:ptCount val="92"/>
                <c:pt idx="0" formatCode="General">
                  <c:v>0</c:v>
                </c:pt>
                <c:pt idx="1">
                  <c:v>0</c:v>
                </c:pt>
                <c:pt idx="2">
                  <c:v>0</c:v>
                </c:pt>
                <c:pt idx="3">
                  <c:v>0</c:v>
                </c:pt>
                <c:pt idx="4">
                  <c:v>52.275489999999998</c:v>
                </c:pt>
                <c:pt idx="5">
                  <c:v>163.20548592592593</c:v>
                </c:pt>
                <c:pt idx="6">
                  <c:v>402.43144666666666</c:v>
                </c:pt>
                <c:pt idx="7">
                  <c:v>778.40260481481482</c:v>
                </c:pt>
                <c:pt idx="8">
                  <c:v>1416.7101851851853</c:v>
                </c:pt>
                <c:pt idx="9">
                  <c:v>2255.076229166667</c:v>
                </c:pt>
                <c:pt idx="10">
                  <c:v>2668.8415194444447</c:v>
                </c:pt>
                <c:pt idx="11">
                  <c:v>3275.5721833333337</c:v>
                </c:pt>
                <c:pt idx="12">
                  <c:v>3932.6663466666673</c:v>
                </c:pt>
                <c:pt idx="13">
                  <c:v>4486.9930672222226</c:v>
                </c:pt>
                <c:pt idx="14">
                  <c:v>4903.661315555556</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Calc.'!$L$3:$L$94</c:f>
              <c:numCache>
                <c:formatCode>0.00</c:formatCode>
                <c:ptCount val="92"/>
                <c:pt idx="0">
                  <c:v>0</c:v>
                </c:pt>
                <c:pt idx="1">
                  <c:v>327.29997729492175</c:v>
                </c:pt>
                <c:pt idx="2">
                  <c:v>1097.0999999999999</c:v>
                </c:pt>
                <c:pt idx="3">
                  <c:v>2287.0748407913206</c:v>
                </c:pt>
                <c:pt idx="4">
                  <c:v>4535.1853937088017</c:v>
                </c:pt>
                <c:pt idx="5">
                  <c:v>7031.0164246023396</c:v>
                </c:pt>
                <c:pt idx="6">
                  <c:v>11845.628654940967</c:v>
                </c:pt>
                <c:pt idx="7">
                  <c:v>17383.913315835569</c:v>
                </c:pt>
                <c:pt idx="8">
                  <c:v>22575.925730425577</c:v>
                </c:pt>
                <c:pt idx="9">
                  <c:v>27230.16513016052</c:v>
                </c:pt>
                <c:pt idx="10">
                  <c:v>27640.911844966511</c:v>
                </c:pt>
                <c:pt idx="11">
                  <c:v>28557.62884349018</c:v>
                </c:pt>
                <c:pt idx="12">
                  <c:v>25639.273359953819</c:v>
                </c:pt>
                <c:pt idx="13">
                  <c:v>24612.108495146269</c:v>
                </c:pt>
                <c:pt idx="14">
                  <c:v>23192.684258825007</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Regression!$CI$3:$CI$26</c:f>
              <c:numCache>
                <c:formatCode>0.000</c:formatCode>
                <c:ptCount val="24"/>
                <c:pt idx="0">
                  <c:v>590.29587022942917</c:v>
                </c:pt>
                <c:pt idx="1">
                  <c:v>-428.00126311365358</c:v>
                </c:pt>
                <c:pt idx="2">
                  <c:v>218.98946710984126</c:v>
                </c:pt>
                <c:pt idx="3">
                  <c:v>2135.3919559784808</c:v>
                </c:pt>
                <c:pt idx="4">
                  <c:v>5291.3656872239044</c:v>
                </c:pt>
                <c:pt idx="5">
                  <c:v>8526.2513197080007</c:v>
                </c:pt>
                <c:pt idx="6">
                  <c:v>12938.714885237951</c:v>
                </c:pt>
                <c:pt idx="7">
                  <c:v>17177.055874451111</c:v>
                </c:pt>
                <c:pt idx="8">
                  <c:v>21294.355391472141</c:v>
                </c:pt>
                <c:pt idx="9">
                  <c:v>24747.885308710269</c:v>
                </c:pt>
                <c:pt idx="10">
                  <c:v>27370.367335001923</c:v>
                </c:pt>
                <c:pt idx="11">
                  <c:v>28561.25597490574</c:v>
                </c:pt>
                <c:pt idx="12">
                  <c:v>28214.875453113811</c:v>
                </c:pt>
                <c:pt idx="13">
                  <c:v>25968.741945889982</c:v>
                </c:pt>
                <c:pt idx="14">
                  <c:v>21348.371064222825</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Calc.'!$N$3:$N$94</c:f>
              <c:numCache>
                <c:formatCode>0.0000</c:formatCode>
                <c:ptCount val="92"/>
                <c:pt idx="0" formatCode="General">
                  <c:v>0</c:v>
                </c:pt>
                <c:pt idx="1">
                  <c:v>0</c:v>
                </c:pt>
                <c:pt idx="2">
                  <c:v>0</c:v>
                </c:pt>
                <c:pt idx="3">
                  <c:v>0</c:v>
                </c:pt>
                <c:pt idx="4">
                  <c:v>52.275489999999998</c:v>
                </c:pt>
                <c:pt idx="5">
                  <c:v>163.20548592592593</c:v>
                </c:pt>
                <c:pt idx="6">
                  <c:v>402.43144666666666</c:v>
                </c:pt>
                <c:pt idx="7">
                  <c:v>778.40260481481482</c:v>
                </c:pt>
                <c:pt idx="8">
                  <c:v>1416.7101851851853</c:v>
                </c:pt>
                <c:pt idx="9">
                  <c:v>2255.076229166667</c:v>
                </c:pt>
                <c:pt idx="10">
                  <c:v>2668.8415194444447</c:v>
                </c:pt>
                <c:pt idx="11">
                  <c:v>3275.5721833333337</c:v>
                </c:pt>
                <c:pt idx="12">
                  <c:v>3932.6663466666673</c:v>
                </c:pt>
                <c:pt idx="13">
                  <c:v>4486.9930672222226</c:v>
                </c:pt>
                <c:pt idx="14">
                  <c:v>4903.661315555556</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Regression!$CK$3:$CK$26</c:f>
              <c:numCache>
                <c:formatCode>0.000</c:formatCode>
                <c:ptCount val="24"/>
                <c:pt idx="0">
                  <c:v>174.64573315002318</c:v>
                </c:pt>
                <c:pt idx="1">
                  <c:v>-53.141012680143213</c:v>
                </c:pt>
                <c:pt idx="2">
                  <c:v>-180.66758798010687</c:v>
                </c:pt>
                <c:pt idx="3">
                  <c:v>-151.60321792786684</c:v>
                </c:pt>
                <c:pt idx="4">
                  <c:v>2.9063536582307279</c:v>
                </c:pt>
                <c:pt idx="5">
                  <c:v>218.97821013136053</c:v>
                </c:pt>
                <c:pt idx="6">
                  <c:v>580.37870506346553</c:v>
                </c:pt>
                <c:pt idx="7">
                  <c:v>1000.7833923067064</c:v>
                </c:pt>
                <c:pt idx="8">
                  <c:v>1501.4329806195317</c:v>
                </c:pt>
                <c:pt idx="9">
                  <c:v>2044.9010345317504</c:v>
                </c:pt>
                <c:pt idx="10">
                  <c:v>2653.9198546534953</c:v>
                </c:pt>
                <c:pt idx="11">
                  <c:v>3249.1393092308517</c:v>
                </c:pt>
                <c:pt idx="12">
                  <c:v>3834.6520953689201</c:v>
                </c:pt>
                <c:pt idx="13">
                  <c:v>4434.4101230834467</c:v>
                </c:pt>
                <c:pt idx="14">
                  <c:v>5025.0999007718065</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Calc.'!$T$3:$T$94</c:f>
              <c:numCache>
                <c:formatCode>0.0000</c:formatCode>
                <c:ptCount val="92"/>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Calc.'!$U$3:$U$94</c:f>
              <c:numCache>
                <c:formatCode>0.0000</c:formatCode>
                <c:ptCount val="92"/>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Regression!$CQ$3:$CQ$26</c:f>
              <c:numCache>
                <c:formatCode>0.000</c:formatCode>
                <c:ptCount val="24"/>
                <c:pt idx="0">
                  <c:v>0.86632410725377806</c:v>
                </c:pt>
                <c:pt idx="1">
                  <c:v>0.63805647679625932</c:v>
                </c:pt>
                <c:pt idx="2">
                  <c:v>2.1381807269478887</c:v>
                </c:pt>
                <c:pt idx="3">
                  <c:v>4.8793091482668016</c:v>
                </c:pt>
                <c:pt idx="4">
                  <c:v>9.3630255521782537</c:v>
                </c:pt>
                <c:pt idx="5">
                  <c:v>14.271247706541011</c:v>
                </c:pt>
                <c:pt idx="6">
                  <c:v>21.744758474007615</c:v>
                </c:pt>
                <c:pt idx="7">
                  <c:v>30.144900131954234</c:v>
                </c:pt>
                <c:pt idx="8">
                  <c:v>40.167417953517109</c:v>
                </c:pt>
                <c:pt idx="9">
                  <c:v>51.315620543005316</c:v>
                </c:pt>
                <c:pt idx="10">
                  <c:v>64.349036502981718</c:v>
                </c:pt>
                <c:pt idx="11">
                  <c:v>77.834901761175843</c:v>
                </c:pt>
                <c:pt idx="12">
                  <c:v>92.040018605164065</c:v>
                </c:pt>
                <c:pt idx="13">
                  <c:v>107.85374397862985</c:v>
                </c:pt>
                <c:pt idx="14">
                  <c:v>125.11779358956016</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Regression!$CR$3:$CR$26</c:f>
              <c:numCache>
                <c:formatCode>0.000</c:formatCode>
                <c:ptCount val="24"/>
                <c:pt idx="0">
                  <c:v>6.0132328075487324E-2</c:v>
                </c:pt>
                <c:pt idx="1">
                  <c:v>-0.124552791516404</c:v>
                </c:pt>
                <c:pt idx="2">
                  <c:v>-0.57441933204104068</c:v>
                </c:pt>
                <c:pt idx="3">
                  <c:v>-0.77313178941273886</c:v>
                </c:pt>
                <c:pt idx="4">
                  <c:v>-1.0664851831293864</c:v>
                </c:pt>
                <c:pt idx="5">
                  <c:v>-1.6854752837713223</c:v>
                </c:pt>
                <c:pt idx="6">
                  <c:v>-3.1811958880821738</c:v>
                </c:pt>
                <c:pt idx="7">
                  <c:v>-5.2652888998747613</c:v>
                </c:pt>
                <c:pt idx="8">
                  <c:v>-7.6533899224034911</c:v>
                </c:pt>
                <c:pt idx="9">
                  <c:v>-9.4896937559628043</c:v>
                </c:pt>
                <c:pt idx="10">
                  <c:v>-9.9808011815821658</c:v>
                </c:pt>
                <c:pt idx="11">
                  <c:v>-8.5749602179486715</c:v>
                </c:pt>
                <c:pt idx="12">
                  <c:v>-5.728492809158297</c:v>
                </c:pt>
                <c:pt idx="13">
                  <c:v>-2.8688982747536329</c:v>
                </c:pt>
                <c:pt idx="14">
                  <c:v>-3.9892568873283381</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Calc.'!$AD$3:$AD$94</c:f>
              <c:numCache>
                <c:formatCode>0.0000</c:formatCode>
                <c:ptCount val="92"/>
                <c:pt idx="0" formatCode="General">
                  <c:v>0</c:v>
                </c:pt>
                <c:pt idx="1">
                  <c:v>-0.29759999999999992</c:v>
                </c:pt>
                <c:pt idx="2">
                  <c:v>-1.1619000000000002</c:v>
                </c:pt>
                <c:pt idx="3">
                  <c:v>-2.1384000000000003</c:v>
                </c:pt>
                <c:pt idx="4">
                  <c:v>-4.0282300000000006</c:v>
                </c:pt>
                <c:pt idx="5">
                  <c:v>-6.3077003703703713</c:v>
                </c:pt>
                <c:pt idx="6">
                  <c:v>-9.6309977777777789</c:v>
                </c:pt>
                <c:pt idx="7">
                  <c:v>-13.018127407407407</c:v>
                </c:pt>
                <c:pt idx="8">
                  <c:v>-15.781331851851853</c:v>
                </c:pt>
                <c:pt idx="9">
                  <c:v>-12.50024777777778</c:v>
                </c:pt>
                <c:pt idx="10">
                  <c:v>-11.633586388888892</c:v>
                </c:pt>
                <c:pt idx="11">
                  <c:v>-17.811011111111114</c:v>
                </c:pt>
                <c:pt idx="12">
                  <c:v>-18.48930444444445</c:v>
                </c:pt>
                <c:pt idx="13">
                  <c:v>-20.210027777777785</c:v>
                </c:pt>
                <c:pt idx="14">
                  <c:v>-21.498406666666675</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Calc.'!$Z$3:$Z$94</c:f>
              <c:numCache>
                <c:formatCode>0.0000</c:formatCode>
                <c:ptCount val="92"/>
                <c:pt idx="0" formatCode="General">
                  <c:v>0</c:v>
                </c:pt>
                <c:pt idx="1">
                  <c:v>1.268872113676732</c:v>
                </c:pt>
                <c:pt idx="2">
                  <c:v>3.5751554174067506</c:v>
                </c:pt>
                <c:pt idx="3">
                  <c:v>5.1671847246891662</c:v>
                </c:pt>
                <c:pt idx="4">
                  <c:v>8.2144760213143897</c:v>
                </c:pt>
                <c:pt idx="5">
                  <c:v>11.806875370041446</c:v>
                </c:pt>
                <c:pt idx="6">
                  <c:v>17.323070850601937</c:v>
                </c:pt>
                <c:pt idx="7">
                  <c:v>20.388424281297283</c:v>
                </c:pt>
                <c:pt idx="8">
                  <c:v>20.889226037760675</c:v>
                </c:pt>
                <c:pt idx="9">
                  <c:v>13.621934823366885</c:v>
                </c:pt>
                <c:pt idx="10">
                  <c:v>5.1217775557529119</c:v>
                </c:pt>
                <c:pt idx="11">
                  <c:v>4.6767996348924417</c:v>
                </c:pt>
                <c:pt idx="12">
                  <c:v>4.9339352674166186</c:v>
                </c:pt>
                <c:pt idx="13">
                  <c:v>3.1130723307677135</c:v>
                </c:pt>
                <c:pt idx="14">
                  <c:v>7.1047217288336304</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Regression!$CW$3:$CW$26</c:f>
              <c:numCache>
                <c:formatCode>0.000</c:formatCode>
                <c:ptCount val="24"/>
                <c:pt idx="0">
                  <c:v>1.0250937922473458</c:v>
                </c:pt>
                <c:pt idx="1">
                  <c:v>-6.2618691888924008E-2</c:v>
                </c:pt>
                <c:pt idx="2">
                  <c:v>2.0939683290258264</c:v>
                </c:pt>
                <c:pt idx="3">
                  <c:v>5.6967125550279913</c:v>
                </c:pt>
                <c:pt idx="4">
                  <c:v>10.241190679568533</c:v>
                </c:pt>
                <c:pt idx="5">
                  <c:v>13.744677091425928</c:v>
                </c:pt>
                <c:pt idx="6">
                  <c:v>16.877752958786264</c:v>
                </c:pt>
                <c:pt idx="7">
                  <c:v>18.056922982006874</c:v>
                </c:pt>
                <c:pt idx="8">
                  <c:v>17.2015805559749</c:v>
                </c:pt>
                <c:pt idx="9">
                  <c:v>14.416767037108812</c:v>
                </c:pt>
                <c:pt idx="10">
                  <c:v>10.010478364091092</c:v>
                </c:pt>
                <c:pt idx="11">
                  <c:v>5.5071186851875638</c:v>
                </c:pt>
                <c:pt idx="12">
                  <c:v>2.2471740531590285</c:v>
                </c:pt>
                <c:pt idx="13">
                  <c:v>2.0740130932929048</c:v>
                </c:pt>
                <c:pt idx="14">
                  <c:v>8.0746946728034459</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Regression!$DA$3:$DA$26</c:f>
              <c:numCache>
                <c:formatCode>0.000</c:formatCode>
                <c:ptCount val="24"/>
                <c:pt idx="0">
                  <c:v>0.98035452698586756</c:v>
                </c:pt>
                <c:pt idx="1">
                  <c:v>-0.2084022034491731</c:v>
                </c:pt>
                <c:pt idx="2">
                  <c:v>-1.9370811982296976</c:v>
                </c:pt>
                <c:pt idx="3">
                  <c:v>-3.4745003964414898</c:v>
                </c:pt>
                <c:pt idx="4">
                  <c:v>-5.2328382387526968</c:v>
                </c:pt>
                <c:pt idx="5">
                  <c:v>-6.7477522056548258</c:v>
                </c:pt>
                <c:pt idx="6">
                  <c:v>-8.6485284588656075</c:v>
                </c:pt>
                <c:pt idx="7">
                  <c:v>-10.438231187098337</c:v>
                </c:pt>
                <c:pt idx="8">
                  <c:v>-12.26065567820787</c:v>
                </c:pt>
                <c:pt idx="9">
                  <c:v>-14.000310030685467</c:v>
                </c:pt>
                <c:pt idx="10">
                  <c:v>-15.740788287031711</c:v>
                </c:pt>
                <c:pt idx="11">
                  <c:v>-17.273041903912159</c:v>
                </c:pt>
                <c:pt idx="12">
                  <c:v>-18.638261915370784</c:v>
                </c:pt>
                <c:pt idx="13">
                  <c:v>-19.896672716742735</c:v>
                </c:pt>
                <c:pt idx="14">
                  <c:v>-20.990161680617412</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Calc.'!$O$3:$O$94</c:f>
              <c:numCache>
                <c:formatCode>0.0000</c:formatCode>
                <c:ptCount val="92"/>
                <c:pt idx="0" formatCode="General">
                  <c:v>0</c:v>
                </c:pt>
                <c:pt idx="1">
                  <c:v>-1.4384999999999992E-2</c:v>
                </c:pt>
                <c:pt idx="2">
                  <c:v>-3.7650000000000149E-3</c:v>
                </c:pt>
                <c:pt idx="3">
                  <c:v>-6.5576999999999969E-2</c:v>
                </c:pt>
                <c:pt idx="4">
                  <c:v>-0.36366799999999999</c:v>
                </c:pt>
                <c:pt idx="5">
                  <c:v>-1.0688681851851853</c:v>
                </c:pt>
                <c:pt idx="6">
                  <c:v>-2.5133976666666671</c:v>
                </c:pt>
                <c:pt idx="7">
                  <c:v>-5.1370069259259257</c:v>
                </c:pt>
                <c:pt idx="8">
                  <c:v>-9.1255826296296298</c:v>
                </c:pt>
                <c:pt idx="9">
                  <c:v>-11.882110166666667</c:v>
                </c:pt>
                <c:pt idx="10">
                  <c:v>-11.950793416666667</c:v>
                </c:pt>
                <c:pt idx="11">
                  <c:v>-9.030172499999999</c:v>
                </c:pt>
                <c:pt idx="12">
                  <c:v>-6.7129214444444436</c:v>
                </c:pt>
                <c:pt idx="13">
                  <c:v>-4.6902081111111107</c:v>
                </c:pt>
                <c:pt idx="14">
                  <c:v>-3.9211245555555552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Calc.'!$Q$3:$Q$94</c:f>
              <c:numCache>
                <c:formatCode>0.0000</c:formatCode>
                <c:ptCount val="92"/>
                <c:pt idx="0" formatCode="General">
                  <c:v>0</c:v>
                </c:pt>
                <c:pt idx="1">
                  <c:v>0.78236999999999901</c:v>
                </c:pt>
                <c:pt idx="2">
                  <c:v>3.12</c:v>
                </c:pt>
                <c:pt idx="3">
                  <c:v>4.5329420000000011</c:v>
                </c:pt>
                <c:pt idx="4">
                  <c:v>2.2669429999999995</c:v>
                </c:pt>
                <c:pt idx="5">
                  <c:v>-0.81022092592592676</c:v>
                </c:pt>
                <c:pt idx="6">
                  <c:v>0.89982533333333259</c:v>
                </c:pt>
                <c:pt idx="7">
                  <c:v>2.3941419259259256</c:v>
                </c:pt>
                <c:pt idx="8">
                  <c:v>10.069861481481482</c:v>
                </c:pt>
                <c:pt idx="9">
                  <c:v>12.884201666666666</c:v>
                </c:pt>
                <c:pt idx="10">
                  <c:v>12.865207999999999</c:v>
                </c:pt>
                <c:pt idx="11">
                  <c:v>12.856644722222221</c:v>
                </c:pt>
                <c:pt idx="12">
                  <c:v>12.86190511111111</c:v>
                </c:pt>
                <c:pt idx="13">
                  <c:v>12.864150833333332</c:v>
                </c:pt>
                <c:pt idx="14">
                  <c:v>12.869713999999998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Calc.'!$V$3:$V$94</c:f>
              <c:numCache>
                <c:formatCode>0.0000</c:formatCode>
                <c:ptCount val="92"/>
                <c:pt idx="0" formatCode="General">
                  <c:v>0</c:v>
                </c:pt>
                <c:pt idx="1">
                  <c:v>-6.2354999999999564E-2</c:v>
                </c:pt>
                <c:pt idx="2">
                  <c:v>0.34929000000000088</c:v>
                </c:pt>
                <c:pt idx="3">
                  <c:v>0.65771300000000066</c:v>
                </c:pt>
                <c:pt idx="4">
                  <c:v>-6.9631749999999997</c:v>
                </c:pt>
                <c:pt idx="5">
                  <c:v>-14.454739222222221</c:v>
                </c:pt>
                <c:pt idx="6">
                  <c:v>-19.546170777777775</c:v>
                </c:pt>
                <c:pt idx="7">
                  <c:v>-24.860478259259256</c:v>
                </c:pt>
                <c:pt idx="8">
                  <c:v>-24.228604629629629</c:v>
                </c:pt>
                <c:pt idx="9">
                  <c:v>-18.69282872222222</c:v>
                </c:pt>
                <c:pt idx="10">
                  <c:v>-12.378621138888887</c:v>
                </c:pt>
                <c:pt idx="11">
                  <c:v>-8.1024688888888861</c:v>
                </c:pt>
                <c:pt idx="12">
                  <c:v>-4.127792555555553</c:v>
                </c:pt>
                <c:pt idx="13">
                  <c:v>-1.63320872222222</c:v>
                </c:pt>
                <c:pt idx="14">
                  <c:v>-1.1321716666666646</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'In Process Calc.'!$X$3:$X$94</c:f>
              <c:numCache>
                <c:formatCode>0.0000</c:formatCode>
                <c:ptCount val="92"/>
                <c:pt idx="0" formatCode="General">
                  <c:v>0</c:v>
                </c:pt>
                <c:pt idx="1">
                  <c:v>-0.66964499999999993</c:v>
                </c:pt>
                <c:pt idx="2">
                  <c:v>-0.20457000000000014</c:v>
                </c:pt>
                <c:pt idx="3">
                  <c:v>0.7000630000000001</c:v>
                </c:pt>
                <c:pt idx="4">
                  <c:v>-0.15809099999999987</c:v>
                </c:pt>
                <c:pt idx="5">
                  <c:v>-0.88436370370370376</c:v>
                </c:pt>
                <c:pt idx="6">
                  <c:v>-0.82586077777777789</c:v>
                </c:pt>
                <c:pt idx="7">
                  <c:v>5.6980851851851644E-2</c:v>
                </c:pt>
                <c:pt idx="8">
                  <c:v>0.46403788888888903</c:v>
                </c:pt>
                <c:pt idx="9">
                  <c:v>0.84820372222222207</c:v>
                </c:pt>
                <c:pt idx="10">
                  <c:v>0.96629552777777783</c:v>
                </c:pt>
                <c:pt idx="11">
                  <c:v>1.1672130555555555</c:v>
                </c:pt>
                <c:pt idx="12">
                  <c:v>1.435324111111111</c:v>
                </c:pt>
                <c:pt idx="13">
                  <c:v>1.5614273888888888</c:v>
                </c:pt>
                <c:pt idx="14">
                  <c:v>1.6436052222222222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numCache>
              <c:extLst xmlns:c15="http://schemas.microsoft.com/office/drawing/2012/chart"/>
            </c:numRef>
          </c:xVal>
          <c:yVal>
            <c:numRef>
              <c:f>'In Process Calc.'!$AF$3:$AF$12</c:f>
              <c:numCache>
                <c:formatCode>0.0000</c:formatCode>
                <c:ptCount val="10"/>
                <c:pt idx="0" formatCode="General">
                  <c:v>0</c:v>
                </c:pt>
                <c:pt idx="1">
                  <c:v>-8.7749999999996355E-3</c:v>
                </c:pt>
                <c:pt idx="2">
                  <c:v>1.0239599999999993</c:v>
                </c:pt>
                <c:pt idx="3">
                  <c:v>1.7086209999999995</c:v>
                </c:pt>
                <c:pt idx="4">
                  <c:v>2.2534220000000009</c:v>
                </c:pt>
                <c:pt idx="5">
                  <c:v>1.8051786296296308</c:v>
                </c:pt>
                <c:pt idx="6">
                  <c:v>2.9692012222222224</c:v>
                </c:pt>
                <c:pt idx="7">
                  <c:v>3.5482247407407419</c:v>
                </c:pt>
                <c:pt idx="8">
                  <c:v>4.4561549259259268</c:v>
                </c:pt>
                <c:pt idx="9">
                  <c:v>5.65041525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Regression!$CL$3:$CL$26</c:f>
              <c:numCache>
                <c:formatCode>0.000</c:formatCode>
                <c:ptCount val="24"/>
                <c:pt idx="0">
                  <c:v>-0.76412088572438897</c:v>
                </c:pt>
                <c:pt idx="1">
                  <c:v>0.5732583022113571</c:v>
                </c:pt>
                <c:pt idx="2">
                  <c:v>1.0363247671567266</c:v>
                </c:pt>
                <c:pt idx="3">
                  <c:v>0.51815257022564731</c:v>
                </c:pt>
                <c:pt idx="4">
                  <c:v>-0.73805147489142664</c:v>
                </c:pt>
                <c:pt idx="5">
                  <c:v>-2.170433405719808</c:v>
                </c:pt>
                <c:pt idx="6">
                  <c:v>-4.1985759245115135</c:v>
                </c:pt>
                <c:pt idx="7">
                  <c:v>-6.1469130367701119</c:v>
                </c:pt>
                <c:pt idx="8">
                  <c:v>-7.9677399230875103</c:v>
                </c:pt>
                <c:pt idx="9">
                  <c:v>-9.3436425299180392</c:v>
                </c:pt>
                <c:pt idx="10">
                  <c:v>-10.100935128617778</c:v>
                </c:pt>
                <c:pt idx="11">
                  <c:v>-9.9440593350079141</c:v>
                </c:pt>
                <c:pt idx="12">
                  <c:v>-8.7725678509976035</c:v>
                </c:pt>
                <c:pt idx="13">
                  <c:v>-6.2844762778778005</c:v>
                </c:pt>
                <c:pt idx="14">
                  <c:v>-2.1758004683216257</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Regression!$CN$3:$CN$26</c:f>
              <c:numCache>
                <c:formatCode>0.000</c:formatCode>
                <c:ptCount val="24"/>
                <c:pt idx="0">
                  <c:v>0.50230788058482367</c:v>
                </c:pt>
                <c:pt idx="1">
                  <c:v>1.4592255271759063</c:v>
                </c:pt>
                <c:pt idx="2">
                  <c:v>1.8073904343645155</c:v>
                </c:pt>
                <c:pt idx="3">
                  <c:v>1.8035512603187385</c:v>
                </c:pt>
                <c:pt idx="4">
                  <c:v>1.9114835468354854</c:v>
                </c:pt>
                <c:pt idx="5">
                  <c:v>2.3008307391009968</c:v>
                </c:pt>
                <c:pt idx="6">
                  <c:v>3.3171416535694371</c:v>
                </c:pt>
                <c:pt idx="7">
                  <c:v>4.8567376387338381</c:v>
                </c:pt>
                <c:pt idx="8">
                  <c:v>6.967712558797551</c:v>
                </c:pt>
                <c:pt idx="9">
                  <c:v>9.3687653812012535</c:v>
                </c:pt>
                <c:pt idx="10">
                  <c:v>11.897071265432373</c:v>
                </c:pt>
                <c:pt idx="11">
                  <c:v>13.851360105887295</c:v>
                </c:pt>
                <c:pt idx="12">
                  <c:v>14.844158745229649</c:v>
                </c:pt>
                <c:pt idx="13">
                  <c:v>14.293295356665624</c:v>
                </c:pt>
                <c:pt idx="14">
                  <c:v>11.276655054250938</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Regression!$CS$3:$CS$26</c:f>
              <c:numCache>
                <c:formatCode>0.000</c:formatCode>
                <c:ptCount val="24"/>
                <c:pt idx="0">
                  <c:v>4.3185225852560549</c:v>
                </c:pt>
                <c:pt idx="1">
                  <c:v>0.90181273700680853</c:v>
                </c:pt>
                <c:pt idx="2">
                  <c:v>-3.5720931391099366</c:v>
                </c:pt>
                <c:pt idx="3">
                  <c:v>-7.0940446649997995</c:v>
                </c:pt>
                <c:pt idx="4">
                  <c:v>-10.599539001173429</c:v>
                </c:pt>
                <c:pt idx="5">
                  <c:v>-13.153897034716945</c:v>
                </c:pt>
                <c:pt idx="6">
                  <c:v>-15.695052612179154</c:v>
                </c:pt>
                <c:pt idx="7">
                  <c:v>-17.325141443415063</c:v>
                </c:pt>
                <c:pt idx="8">
                  <c:v>-18.087536467314198</c:v>
                </c:pt>
                <c:pt idx="9">
                  <c:v>-17.780113259583413</c:v>
                </c:pt>
                <c:pt idx="10">
                  <c:v>-16.171632976062366</c:v>
                </c:pt>
                <c:pt idx="11">
                  <c:v>-13.303821792239049</c:v>
                </c:pt>
                <c:pt idx="12">
                  <c:v>-9.1184609164338468</c:v>
                </c:pt>
                <c:pt idx="13">
                  <c:v>-3.1883977556820895</c:v>
                </c:pt>
                <c:pt idx="14">
                  <c:v>4.6937841573132459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Regression!$CU$3:$CU$26</c:f>
              <c:numCache>
                <c:formatCode>0.000</c:formatCode>
                <c:ptCount val="24"/>
                <c:pt idx="0">
                  <c:v>5.2261691856860387E-3</c:v>
                </c:pt>
                <c:pt idx="1">
                  <c:v>-0.19841293834879203</c:v>
                </c:pt>
                <c:pt idx="2">
                  <c:v>-0.34977393595704354</c:v>
                </c:pt>
                <c:pt idx="3">
                  <c:v>-0.38561898319047283</c:v>
                </c:pt>
                <c:pt idx="4">
                  <c:v>-0.34553793147167777</c:v>
                </c:pt>
                <c:pt idx="5">
                  <c:v>-0.25797000223259103</c:v>
                </c:pt>
                <c:pt idx="6">
                  <c:v>-9.387432879749591E-2</c:v>
                </c:pt>
                <c:pt idx="7">
                  <c:v>0.10486787042294199</c:v>
                </c:pt>
                <c:pt idx="8">
                  <c:v>0.34267586143624396</c:v>
                </c:pt>
                <c:pt idx="9">
                  <c:v>0.59668033139087484</c:v>
                </c:pt>
                <c:pt idx="10">
                  <c:v>0.87165871897679814</c:v>
                </c:pt>
                <c:pt idx="11">
                  <c:v>1.1264529549267048</c:v>
                </c:pt>
                <c:pt idx="12">
                  <c:v>1.3592256211819538</c:v>
                </c:pt>
                <c:pt idx="13">
                  <c:v>1.5733859996581776</c:v>
                </c:pt>
                <c:pt idx="14">
                  <c:v>1.7516348798557235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extLst xmlns:c15="http://schemas.microsoft.com/office/drawing/2012/chart"/>
            </c:numRef>
          </c:xVal>
          <c:yVal>
            <c:numRef>
              <c:f>Regression!$DC$3:$DC$26</c:f>
              <c:numCache>
                <c:formatCode>0.000</c:formatCode>
                <c:ptCount val="24"/>
                <c:pt idx="0">
                  <c:v>0.13182696280853212</c:v>
                </c:pt>
                <c:pt idx="1">
                  <c:v>0.2604772311347856</c:v>
                </c:pt>
                <c:pt idx="2">
                  <c:v>0.67360405508737586</c:v>
                </c:pt>
                <c:pt idx="3">
                  <c:v>1.177553262782614</c:v>
                </c:pt>
                <c:pt idx="4">
                  <c:v>1.8441645643323579</c:v>
                </c:pt>
                <c:pt idx="5">
                  <c:v>2.4591647957740008</c:v>
                </c:pt>
                <c:pt idx="6">
                  <c:v>3.2446311084163413</c:v>
                </c:pt>
                <c:pt idx="7">
                  <c:v>3.9627515353339384</c:v>
                </c:pt>
                <c:pt idx="8">
                  <c:v>4.6343817851031481</c:v>
                </c:pt>
                <c:pt idx="9">
                  <c:v>5.178066811273708</c:v>
                </c:pt>
                <c:pt idx="10">
                  <c:v>5.5725304374659093</c:v>
                </c:pt>
                <c:pt idx="11">
                  <c:v>5.7311626147386185</c:v>
                </c:pt>
                <c:pt idx="12">
                  <c:v>5.6430641428336461</c:v>
                </c:pt>
                <c:pt idx="13">
                  <c:v>5.254266062859962</c:v>
                </c:pt>
                <c:pt idx="14">
                  <c:v>4.4961591207957632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Calc.'!$AC$3:$AC$94</c:f>
              <c:numCache>
                <c:formatCode>0.0000</c:formatCode>
                <c:ptCount val="92"/>
                <c:pt idx="0" formatCode="General">
                  <c:v>0</c:v>
                </c:pt>
                <c:pt idx="1">
                  <c:v>2.974499999999989E-2</c:v>
                </c:pt>
                <c:pt idx="2">
                  <c:v>0.21352499999999985</c:v>
                </c:pt>
                <c:pt idx="3">
                  <c:v>0.39046099999999978</c:v>
                </c:pt>
                <c:pt idx="4">
                  <c:v>0.55279800000000001</c:v>
                </c:pt>
                <c:pt idx="5">
                  <c:v>0.53318062962962953</c:v>
                </c:pt>
                <c:pt idx="6">
                  <c:v>0.83186855555555561</c:v>
                </c:pt>
                <c:pt idx="7">
                  <c:v>1.0354489259259259</c:v>
                </c:pt>
                <c:pt idx="8">
                  <c:v>1.2833422592592592</c:v>
                </c:pt>
                <c:pt idx="9">
                  <c:v>1.6079849999999998</c:v>
                </c:pt>
                <c:pt idx="10">
                  <c:v>1.6079849999999998</c:v>
                </c:pt>
                <c:pt idx="11">
                  <c:v>1.6079849999999998</c:v>
                </c:pt>
                <c:pt idx="12">
                  <c:v>1.486834111111111</c:v>
                </c:pt>
                <c:pt idx="13">
                  <c:v>1.2763454444444442</c:v>
                </c:pt>
                <c:pt idx="14">
                  <c:v>1.0859205555555553</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Calc.'!$AG$3:$AG$94</c:f>
              <c:numCache>
                <c:formatCode>0.0000</c:formatCode>
                <c:ptCount val="92"/>
                <c:pt idx="0" formatCode="General">
                  <c:v>0</c:v>
                </c:pt>
                <c:pt idx="1">
                  <c:v>0.25261499999999976</c:v>
                </c:pt>
                <c:pt idx="2">
                  <c:v>1.6073999999999997</c:v>
                </c:pt>
                <c:pt idx="3">
                  <c:v>2.7151710000000007</c:v>
                </c:pt>
                <c:pt idx="4">
                  <c:v>3.7638580000000008</c:v>
                </c:pt>
                <c:pt idx="5">
                  <c:v>4.0377894444444449</c:v>
                </c:pt>
                <c:pt idx="6">
                  <c:v>5.4313156666666664</c:v>
                </c:pt>
                <c:pt idx="7">
                  <c:v>6.7156125555555555</c:v>
                </c:pt>
                <c:pt idx="8">
                  <c:v>7.5166258148148142</c:v>
                </c:pt>
                <c:pt idx="9">
                  <c:v>9.7241768611111112</c:v>
                </c:pt>
                <c:pt idx="10">
                  <c:v>9.5063785833333334</c:v>
                </c:pt>
                <c:pt idx="11">
                  <c:v>9.5129219444444448</c:v>
                </c:pt>
                <c:pt idx="12">
                  <c:v>9.1768918888888891</c:v>
                </c:pt>
                <c:pt idx="13">
                  <c:v>8.2478684999999992</c:v>
                </c:pt>
                <c:pt idx="14">
                  <c:v>7.8197798888888883</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Calc.'!$AJ$3:$AJ$94</c:f>
              <c:numCache>
                <c:formatCode>0.0000</c:formatCode>
                <c:ptCount val="92"/>
                <c:pt idx="0" formatCode="General">
                  <c:v>0</c:v>
                </c:pt>
                <c:pt idx="1">
                  <c:v>-3.5100000000002182E-3</c:v>
                </c:pt>
                <c:pt idx="2">
                  <c:v>0.24486000000000013</c:v>
                </c:pt>
                <c:pt idx="3">
                  <c:v>0.48212999999999967</c:v>
                </c:pt>
                <c:pt idx="4">
                  <c:v>0.79269599999999985</c:v>
                </c:pt>
                <c:pt idx="5">
                  <c:v>0.70221537037037018</c:v>
                </c:pt>
                <c:pt idx="6">
                  <c:v>1.243978888888889</c:v>
                </c:pt>
                <c:pt idx="7">
                  <c:v>1.6250977407407408</c:v>
                </c:pt>
                <c:pt idx="8">
                  <c:v>2.125324148148148</c:v>
                </c:pt>
                <c:pt idx="9">
                  <c:v>2.79022975</c:v>
                </c:pt>
                <c:pt idx="10">
                  <c:v>2.8955104444444446</c:v>
                </c:pt>
                <c:pt idx="11">
                  <c:v>3.0147300000000001</c:v>
                </c:pt>
                <c:pt idx="12">
                  <c:v>2.9062366666666666</c:v>
                </c:pt>
                <c:pt idx="13">
                  <c:v>2.5875638333333333</c:v>
                </c:pt>
                <c:pt idx="14">
                  <c:v>2.336046222222222</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Calc.'!$W$3:$W$94</c:f>
              <c:numCache>
                <c:formatCode>0.0000</c:formatCode>
                <c:ptCount val="92"/>
                <c:pt idx="0" formatCode="General">
                  <c:v>0</c:v>
                </c:pt>
                <c:pt idx="1">
                  <c:v>-0.11394000000000011</c:v>
                </c:pt>
                <c:pt idx="2">
                  <c:v>-0.32511000000000007</c:v>
                </c:pt>
                <c:pt idx="3">
                  <c:v>-0.587812</c:v>
                </c:pt>
                <c:pt idx="4">
                  <c:v>-1.2200160000000002</c:v>
                </c:pt>
                <c:pt idx="5">
                  <c:v>-1.9715764444444448</c:v>
                </c:pt>
                <c:pt idx="6">
                  <c:v>-2.2440228888888889</c:v>
                </c:pt>
                <c:pt idx="7">
                  <c:v>-2.3462947407407406</c:v>
                </c:pt>
                <c:pt idx="8">
                  <c:v>-1.6432894074074071</c:v>
                </c:pt>
                <c:pt idx="9">
                  <c:v>-0.50888786111111095</c:v>
                </c:pt>
                <c:pt idx="10">
                  <c:v>-0.32745099999999988</c:v>
                </c:pt>
                <c:pt idx="11">
                  <c:v>0.22120833333333351</c:v>
                </c:pt>
                <c:pt idx="12">
                  <c:v>0.18238400000000016</c:v>
                </c:pt>
                <c:pt idx="13">
                  <c:v>-0.47295055555555549</c:v>
                </c:pt>
                <c:pt idx="14">
                  <c:v>-1.7356448888888887</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Calc.'!$R$3:$R$98</c:f>
              <c:numCache>
                <c:formatCode>0.0000</c:formatCode>
                <c:ptCount val="96"/>
                <c:pt idx="0" formatCode="General">
                  <c:v>0</c:v>
                </c:pt>
                <c:pt idx="1">
                  <c:v>-6.3900000000000096E-2</c:v>
                </c:pt>
                <c:pt idx="2">
                  <c:v>0.18225</c:v>
                </c:pt>
                <c:pt idx="3">
                  <c:v>0.4657199999999998</c:v>
                </c:pt>
                <c:pt idx="4">
                  <c:v>0.61397100000000004</c:v>
                </c:pt>
                <c:pt idx="5">
                  <c:v>9.7187592592592464E-2</c:v>
                </c:pt>
                <c:pt idx="6">
                  <c:v>-0.44225777777777775</c:v>
                </c:pt>
                <c:pt idx="7">
                  <c:v>-1.6930745185185176</c:v>
                </c:pt>
                <c:pt idx="8">
                  <c:v>-3.2334283703703703</c:v>
                </c:pt>
                <c:pt idx="9">
                  <c:v>-2.3334581111111117</c:v>
                </c:pt>
                <c:pt idx="10">
                  <c:v>-0.86617505555555607</c:v>
                </c:pt>
                <c:pt idx="11">
                  <c:v>-1.0927230555555558</c:v>
                </c:pt>
                <c:pt idx="12">
                  <c:v>-0.74663177777777734</c:v>
                </c:pt>
                <c:pt idx="13">
                  <c:v>-0.59187627777777807</c:v>
                </c:pt>
                <c:pt idx="14">
                  <c:v>-0.60838511111111138</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Calc.'!$S$3:$S$94</c:f>
              <c:numCache>
                <c:formatCode>0.0000</c:formatCode>
                <c:ptCount val="92"/>
                <c:pt idx="0" formatCode="General">
                  <c:v>0</c:v>
                </c:pt>
                <c:pt idx="1">
                  <c:v>-0.11179499999999962</c:v>
                </c:pt>
                <c:pt idx="2">
                  <c:v>0.10989000000000032</c:v>
                </c:pt>
                <c:pt idx="3">
                  <c:v>0.35703700000000027</c:v>
                </c:pt>
                <c:pt idx="4">
                  <c:v>0.57440600000000019</c:v>
                </c:pt>
                <c:pt idx="5">
                  <c:v>0.55143603703703703</c:v>
                </c:pt>
                <c:pt idx="6">
                  <c:v>0.87884966666666675</c:v>
                </c:pt>
                <c:pt idx="7">
                  <c:v>1.0525784444444446</c:v>
                </c:pt>
                <c:pt idx="8">
                  <c:v>1.3124135925925926</c:v>
                </c:pt>
                <c:pt idx="9">
                  <c:v>1.6568463055555556</c:v>
                </c:pt>
                <c:pt idx="10">
                  <c:v>1.8842701388888889</c:v>
                </c:pt>
                <c:pt idx="11">
                  <c:v>1.9951116666666666</c:v>
                </c:pt>
                <c:pt idx="12">
                  <c:v>1.9650594444444445</c:v>
                </c:pt>
                <c:pt idx="13">
                  <c:v>1.7746770555555555</c:v>
                </c:pt>
                <c:pt idx="14">
                  <c:v>1.4601169999999999</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Regression!$CZ$3:$CZ$26</c:f>
              <c:numCache>
                <c:formatCode>0.000</c:formatCode>
                <c:ptCount val="24"/>
                <c:pt idx="0">
                  <c:v>3.8664007515098957E-2</c:v>
                </c:pt>
                <c:pt idx="1">
                  <c:v>5.0933889446631631E-2</c:v>
                </c:pt>
                <c:pt idx="2">
                  <c:v>0.1518011927963121</c:v>
                </c:pt>
                <c:pt idx="3">
                  <c:v>0.29180407069537762</c:v>
                </c:pt>
                <c:pt idx="4">
                  <c:v>0.48537762861621647</c:v>
                </c:pt>
                <c:pt idx="5">
                  <c:v>0.66744689610378893</c:v>
                </c:pt>
                <c:pt idx="6">
                  <c:v>0.90156297281928033</c:v>
                </c:pt>
                <c:pt idx="7">
                  <c:v>1.114882826785395</c:v>
                </c:pt>
                <c:pt idx="8">
                  <c:v>1.3111722062007216</c:v>
                </c:pt>
                <c:pt idx="9">
                  <c:v>1.4639317752193617</c:v>
                </c:pt>
                <c:pt idx="10">
                  <c:v>1.563393058409777</c:v>
                </c:pt>
                <c:pt idx="11">
                  <c:v>1.5834237903820831</c:v>
                </c:pt>
                <c:pt idx="12">
                  <c:v>1.5190064156059861</c:v>
                </c:pt>
                <c:pt idx="13">
                  <c:v>1.3492356071057987</c:v>
                </c:pt>
                <c:pt idx="14">
                  <c:v>1.0507881437796405</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Regression!$DD$3:$DD$26</c:f>
              <c:numCache>
                <c:formatCode>0.000</c:formatCode>
                <c:ptCount val="24"/>
                <c:pt idx="0">
                  <c:v>2.8157583440639875E-2</c:v>
                </c:pt>
                <c:pt idx="1">
                  <c:v>0.48304644814788622</c:v>
                </c:pt>
                <c:pt idx="2">
                  <c:v>1.3875559010462553</c:v>
                </c:pt>
                <c:pt idx="3">
                  <c:v>2.3306256449824536</c:v>
                </c:pt>
                <c:pt idx="4">
                  <c:v>3.4894953018828683</c:v>
                </c:pt>
                <c:pt idx="5">
                  <c:v>4.5122572690063389</c:v>
                </c:pt>
                <c:pt idx="6">
                  <c:v>5.7777621670604908</c:v>
                </c:pt>
                <c:pt idx="7">
                  <c:v>6.9045806526621476</c:v>
                </c:pt>
                <c:pt idx="8">
                  <c:v>7.9349787591937506</c:v>
                </c:pt>
                <c:pt idx="9">
                  <c:v>8.7495446210276739</c:v>
                </c:pt>
                <c:pt idx="10">
                  <c:v>9.3199741433592607</c:v>
                </c:pt>
                <c:pt idx="11">
                  <c:v>9.5233581963451677</c:v>
                </c:pt>
                <c:pt idx="12">
                  <c:v>9.3481256830195214</c:v>
                </c:pt>
                <c:pt idx="13">
                  <c:v>8.7145746405487756</c:v>
                </c:pt>
                <c:pt idx="14">
                  <c:v>7.5243681364248935</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Regression!$DG$3:$DG$26</c:f>
              <c:numCache>
                <c:formatCode>0.000</c:formatCode>
                <c:ptCount val="24"/>
                <c:pt idx="0">
                  <c:v>9.808324036027144E-2</c:v>
                </c:pt>
                <c:pt idx="1">
                  <c:v>2.2477072631021684E-2</c:v>
                </c:pt>
                <c:pt idx="2">
                  <c:v>0.10888675192621056</c:v>
                </c:pt>
                <c:pt idx="3">
                  <c:v>0.30934748316724281</c:v>
                </c:pt>
                <c:pt idx="4">
                  <c:v>0.62730797814031847</c:v>
                </c:pt>
                <c:pt idx="5">
                  <c:v>0.94852345050095688</c:v>
                </c:pt>
                <c:pt idx="6">
                  <c:v>1.3836373899102874</c:v>
                </c:pt>
                <c:pt idx="7">
                  <c:v>1.8003473438178101</c:v>
                </c:pt>
                <c:pt idx="8">
                  <c:v>2.2054614746352548</c:v>
                </c:pt>
                <c:pt idx="9">
                  <c:v>2.547093612224248</c:v>
                </c:pt>
                <c:pt idx="10">
                  <c:v>2.8106307592889275</c:v>
                </c:pt>
                <c:pt idx="11">
                  <c:v>2.937861311427624</c:v>
                </c:pt>
                <c:pt idx="12">
                  <c:v>2.9194868883232576</c:v>
                </c:pt>
                <c:pt idx="13">
                  <c:v>2.7223502957854304</c:v>
                </c:pt>
                <c:pt idx="14">
                  <c:v>2.3016140126759481</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Regression!$CT$3:$CT$26</c:f>
              <c:numCache>
                <c:formatCode>0.000</c:formatCode>
                <c:ptCount val="24"/>
                <c:pt idx="0">
                  <c:v>0.7368015788881781</c:v>
                </c:pt>
                <c:pt idx="1">
                  <c:v>-0.19506931379857773</c:v>
                </c:pt>
                <c:pt idx="2">
                  <c:v>-1.0399425896103724</c:v>
                </c:pt>
                <c:pt idx="3">
                  <c:v>-1.4538910090544999</c:v>
                </c:pt>
                <c:pt idx="4">
                  <c:v>-1.6634833412212267</c:v>
                </c:pt>
                <c:pt idx="5">
                  <c:v>-1.6825450369925226</c:v>
                </c:pt>
                <c:pt idx="6">
                  <c:v>-1.558075002527342</c:v>
                </c:pt>
                <c:pt idx="7">
                  <c:v>-1.3395574546450568</c:v>
                </c:pt>
                <c:pt idx="8">
                  <c:v>-1.0614836998468662</c:v>
                </c:pt>
                <c:pt idx="9">
                  <c:v>-0.78507449830185738</c:v>
                </c:pt>
                <c:pt idx="10">
                  <c:v>-0.54482047039005455</c:v>
                </c:pt>
                <c:pt idx="11">
                  <c:v>-0.41423812235009372</c:v>
                </c:pt>
                <c:pt idx="12">
                  <c:v>-0.42139936214463347</c:v>
                </c:pt>
                <c:pt idx="13">
                  <c:v>-0.61454034862759954</c:v>
                </c:pt>
                <c:pt idx="14">
                  <c:v>-1.0560847830812108</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Regression!$CO$3:$CO$26</c:f>
              <c:numCache>
                <c:formatCode>0.000</c:formatCode>
                <c:ptCount val="24"/>
                <c:pt idx="0">
                  <c:v>-0.5183672843761723</c:v>
                </c:pt>
                <c:pt idx="1">
                  <c:v>0.44856027873147558</c:v>
                </c:pt>
                <c:pt idx="2">
                  <c:v>0.81231141877257784</c:v>
                </c:pt>
                <c:pt idx="3">
                  <c:v>0.59209143988470037</c:v>
                </c:pt>
                <c:pt idx="4">
                  <c:v>5.769727370551625E-2</c:v>
                </c:pt>
                <c:pt idx="5">
                  <c:v>-0.48065247604373085</c:v>
                </c:pt>
                <c:pt idx="6">
                  <c:v>-1.1135784365079151</c:v>
                </c:pt>
                <c:pt idx="7">
                  <c:v>-1.5703625685173086</c:v>
                </c:pt>
                <c:pt idx="8">
                  <c:v>-1.8309457362872195</c:v>
                </c:pt>
                <c:pt idx="9">
                  <c:v>-1.8524724529877368</c:v>
                </c:pt>
                <c:pt idx="10">
                  <c:v>-1.6430471046072412</c:v>
                </c:pt>
                <c:pt idx="11">
                  <c:v>-1.287979119540708</c:v>
                </c:pt>
                <c:pt idx="12">
                  <c:v>-0.88908198860381304</c:v>
                </c:pt>
                <c:pt idx="13">
                  <c:v>-0.55496975589534969</c:v>
                </c:pt>
                <c:pt idx="14">
                  <c:v>-0.48198495068997715</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Regression!$CP$3:$CP$26</c:f>
              <c:numCache>
                <c:formatCode>0.000</c:formatCode>
                <c:ptCount val="24"/>
                <c:pt idx="0">
                  <c:v>8.3475721691329222E-3</c:v>
                </c:pt>
                <c:pt idx="1">
                  <c:v>-1.0843031366625202E-2</c:v>
                </c:pt>
                <c:pt idx="2">
                  <c:v>7.2106550383714385E-2</c:v>
                </c:pt>
                <c:pt idx="3">
                  <c:v>0.21524846358053637</c:v>
                </c:pt>
                <c:pt idx="4">
                  <c:v>0.4281757117566718</c:v>
                </c:pt>
                <c:pt idx="5">
                  <c:v>0.63732016457437912</c:v>
                </c:pt>
                <c:pt idx="6">
                  <c:v>0.91617635502359718</c:v>
                </c:pt>
                <c:pt idx="7">
                  <c:v>1.1805659487571378</c:v>
                </c:pt>
                <c:pt idx="8">
                  <c:v>1.4362290599917118</c:v>
                </c:pt>
                <c:pt idx="9">
                  <c:v>1.6515341593466513</c:v>
                </c:pt>
                <c:pt idx="10">
                  <c:v>1.8184641303044518</c:v>
                </c:pt>
                <c:pt idx="11">
                  <c:v>1.9013488996525982</c:v>
                </c:pt>
                <c:pt idx="12">
                  <c:v>1.8951983005599526</c:v>
                </c:pt>
                <c:pt idx="13">
                  <c:v>1.7805499785070005</c:v>
                </c:pt>
                <c:pt idx="14">
                  <c:v>1.5304750886109382</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Calc.'!$AM$3:$AM$94</c:f>
              <c:numCache>
                <c:formatCode>0</c:formatCode>
                <c:ptCount val="92"/>
                <c:pt idx="0">
                  <c:v>0</c:v>
                </c:pt>
                <c:pt idx="1">
                  <c:v>0.15622499999999842</c:v>
                </c:pt>
                <c:pt idx="2">
                  <c:v>18.648750000000007</c:v>
                </c:pt>
                <c:pt idx="3">
                  <c:v>32.200600999999999</c:v>
                </c:pt>
                <c:pt idx="4">
                  <c:v>9.9601550000000039</c:v>
                </c:pt>
                <c:pt idx="5">
                  <c:v>-23.612850740740743</c:v>
                </c:pt>
                <c:pt idx="6">
                  <c:v>-24.768702999999991</c:v>
                </c:pt>
                <c:pt idx="7">
                  <c:v>-34.930767925925913</c:v>
                </c:pt>
                <c:pt idx="8">
                  <c:v>-16.677980777777787</c:v>
                </c:pt>
                <c:pt idx="9">
                  <c:v>6.9986552222222222</c:v>
                </c:pt>
                <c:pt idx="10">
                  <c:v>19.463161583333321</c:v>
                </c:pt>
                <c:pt idx="11">
                  <c:v>50.06202694444444</c:v>
                </c:pt>
                <c:pt idx="12">
                  <c:v>79.243928111111117</c:v>
                </c:pt>
                <c:pt idx="13">
                  <c:v>90.440839944444434</c:v>
                </c:pt>
                <c:pt idx="14">
                  <c:v>94.999546111111115</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Calc.'!$AN$3:$AN$94</c:f>
              <c:numCache>
                <c:formatCode>0</c:formatCode>
                <c:ptCount val="92"/>
                <c:pt idx="0">
                  <c:v>0</c:v>
                </c:pt>
                <c:pt idx="1">
                  <c:v>-0.15576000000000148</c:v>
                </c:pt>
                <c:pt idx="2">
                  <c:v>17.483085000000006</c:v>
                </c:pt>
                <c:pt idx="3">
                  <c:v>29.996623999999997</c:v>
                </c:pt>
                <c:pt idx="4">
                  <c:v>5.5682570000000036</c:v>
                </c:pt>
                <c:pt idx="5">
                  <c:v>-30.989419296296301</c:v>
                </c:pt>
                <c:pt idx="6">
                  <c:v>-36.913098444444437</c:v>
                </c:pt>
                <c:pt idx="7">
                  <c:v>-53.085902259259242</c:v>
                </c:pt>
                <c:pt idx="8">
                  <c:v>-41.58489525925927</c:v>
                </c:pt>
                <c:pt idx="9">
                  <c:v>-17.383702722222225</c:v>
                </c:pt>
                <c:pt idx="10">
                  <c:v>-4.1212182222222378</c:v>
                </c:pt>
                <c:pt idx="11">
                  <c:v>23.220843333333328</c:v>
                </c:pt>
                <c:pt idx="12">
                  <c:v>54.041702222222227</c:v>
                </c:pt>
                <c:pt idx="13">
                  <c:v>65.540604055555548</c:v>
                </c:pt>
                <c:pt idx="14">
                  <c:v>69.580014888888897</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Calc.'!$AO$3:$AO$94</c:f>
              <c:numCache>
                <c:formatCode>0</c:formatCode>
                <c:ptCount val="92"/>
                <c:pt idx="0">
                  <c:v>0</c:v>
                </c:pt>
                <c:pt idx="1">
                  <c:v>-1.1240700000000092</c:v>
                </c:pt>
                <c:pt idx="2">
                  <c:v>56.412000000000006</c:v>
                </c:pt>
                <c:pt idx="3">
                  <c:v>101.428518</c:v>
                </c:pt>
                <c:pt idx="4">
                  <c:v>17.283585000000002</c:v>
                </c:pt>
                <c:pt idx="5">
                  <c:v>-108.00720396296293</c:v>
                </c:pt>
                <c:pt idx="6">
                  <c:v>-122.82069755555558</c:v>
                </c:pt>
                <c:pt idx="7">
                  <c:v>-163.62817411111109</c:v>
                </c:pt>
                <c:pt idx="8">
                  <c:v>-93.834856444444469</c:v>
                </c:pt>
                <c:pt idx="9">
                  <c:v>34.563817055555532</c:v>
                </c:pt>
                <c:pt idx="10">
                  <c:v>99.226412583333314</c:v>
                </c:pt>
                <c:pt idx="11">
                  <c:v>171.41271083333334</c:v>
                </c:pt>
                <c:pt idx="12">
                  <c:v>257.74135111111104</c:v>
                </c:pt>
                <c:pt idx="13">
                  <c:v>281.99527655555556</c:v>
                </c:pt>
                <c:pt idx="14">
                  <c:v>288.64271577777777</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Regression!$DJ$3:$DJ$26</c:f>
              <c:numCache>
                <c:formatCode>0.000</c:formatCode>
                <c:ptCount val="24"/>
                <c:pt idx="0">
                  <c:v>13.488721845310025</c:v>
                </c:pt>
                <c:pt idx="1">
                  <c:v>9.0499287328226128</c:v>
                </c:pt>
                <c:pt idx="2">
                  <c:v>2.9660005196761601</c:v>
                </c:pt>
                <c:pt idx="3">
                  <c:v>-1.731767902668119</c:v>
                </c:pt>
                <c:pt idx="4">
                  <c:v>-5.9517375981024845</c:v>
                </c:pt>
                <c:pt idx="5">
                  <c:v>-8.3559721064249572</c:v>
                </c:pt>
                <c:pt idx="6">
                  <c:v>-9.3915235265144119</c:v>
                </c:pt>
                <c:pt idx="7">
                  <c:v>-7.8995912545614644</c:v>
                </c:pt>
                <c:pt idx="8">
                  <c:v>-3.3007999050065209</c:v>
                </c:pt>
                <c:pt idx="9">
                  <c:v>4.7880767900812415</c:v>
                </c:pt>
                <c:pt idx="10">
                  <c:v>17.667655291565865</c:v>
                </c:pt>
                <c:pt idx="11">
                  <c:v>34.460135544875612</c:v>
                </c:pt>
                <c:pt idx="12">
                  <c:v>55.63628186488981</c:v>
                </c:pt>
                <c:pt idx="13">
                  <c:v>83.136447794507447</c:v>
                </c:pt>
                <c:pt idx="14">
                  <c:v>117.6217303817713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Regression!$DK$3:$DK$26</c:f>
              <c:numCache>
                <c:formatCode>0.000</c:formatCode>
                <c:ptCount val="24"/>
                <c:pt idx="0">
                  <c:v>13.704955486571519</c:v>
                </c:pt>
                <c:pt idx="1">
                  <c:v>9.4147848315848144</c:v>
                </c:pt>
                <c:pt idx="2">
                  <c:v>2.0652440886032091</c:v>
                </c:pt>
                <c:pt idx="3">
                  <c:v>-4.6881157288839423</c:v>
                </c:pt>
                <c:pt idx="4">
                  <c:v>-11.922627311746592</c:v>
                </c:pt>
                <c:pt idx="5">
                  <c:v>-17.274157717799568</c:v>
                </c:pt>
                <c:pt idx="6">
                  <c:v>-22.238627909891513</c:v>
                </c:pt>
                <c:pt idx="7">
                  <c:v>-24.484735478429897</c:v>
                </c:pt>
                <c:pt idx="8">
                  <c:v>-23.529195506301889</c:v>
                </c:pt>
                <c:pt idx="9">
                  <c:v>-18.555875770522277</c:v>
                </c:pt>
                <c:pt idx="10">
                  <c:v>-8.1740681240836182</c:v>
                </c:pt>
                <c:pt idx="11">
                  <c:v>7.2430343059555469</c:v>
                </c:pt>
                <c:pt idx="12">
                  <c:v>28.225452098521487</c:v>
                </c:pt>
                <c:pt idx="13">
                  <c:v>56.955298799886918</c:v>
                </c:pt>
                <c:pt idx="14">
                  <c:v>94.455768232832327</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Regression!$DL$3:$DL$26</c:f>
              <c:numCache>
                <c:formatCode>0.000</c:formatCode>
                <c:ptCount val="24"/>
                <c:pt idx="0">
                  <c:v>59.712022422723948</c:v>
                </c:pt>
                <c:pt idx="1">
                  <c:v>27.094125998010774</c:v>
                </c:pt>
                <c:pt idx="2">
                  <c:v>-8.6039538779786131</c:v>
                </c:pt>
                <c:pt idx="3">
                  <c:v>-31.107772907527142</c:v>
                </c:pt>
                <c:pt idx="4">
                  <c:v>-47.728286661047491</c:v>
                </c:pt>
                <c:pt idx="5">
                  <c:v>-54.798451322052657</c:v>
                </c:pt>
                <c:pt idx="6">
                  <c:v>-54.313494591051054</c:v>
                </c:pt>
                <c:pt idx="7">
                  <c:v>-43.933067833324088</c:v>
                </c:pt>
                <c:pt idx="8">
                  <c:v>-22.442157081661193</c:v>
                </c:pt>
                <c:pt idx="9">
                  <c:v>10.035797544182245</c:v>
                </c:pt>
                <c:pt idx="10">
                  <c:v>56.966363685837379</c:v>
                </c:pt>
                <c:pt idx="11">
                  <c:v>113.91180780900018</c:v>
                </c:pt>
                <c:pt idx="12">
                  <c:v>181.81084874844885</c:v>
                </c:pt>
                <c:pt idx="13">
                  <c:v>265.85973759858939</c:v>
                </c:pt>
                <c:pt idx="14">
                  <c:v>366.82786531044184</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Calc.'!$AH$3:$AH$94</c:f>
              <c:numCache>
                <c:formatCode>0.0000</c:formatCode>
                <c:ptCount val="92"/>
                <c:pt idx="0" formatCode="General">
                  <c:v>0</c:v>
                </c:pt>
                <c:pt idx="1">
                  <c:v>-7.1955000000000838E-2</c:v>
                </c:pt>
                <c:pt idx="2">
                  <c:v>0.58188000000000006</c:v>
                </c:pt>
                <c:pt idx="3">
                  <c:v>1.0819769999999989</c:v>
                </c:pt>
                <c:pt idx="4">
                  <c:v>1.538875</c:v>
                </c:pt>
                <c:pt idx="5">
                  <c:v>1.4363408148148147</c:v>
                </c:pt>
                <c:pt idx="6">
                  <c:v>2.3977358888888878</c:v>
                </c:pt>
                <c:pt idx="7">
                  <c:v>3.1271970370370363</c:v>
                </c:pt>
                <c:pt idx="8">
                  <c:v>4.2374001851851846</c:v>
                </c:pt>
                <c:pt idx="9">
                  <c:v>5.5080714444444432</c:v>
                </c:pt>
                <c:pt idx="10">
                  <c:v>5.7944710277777762</c:v>
                </c:pt>
                <c:pt idx="11">
                  <c:v>6.0344213888888873</c:v>
                </c:pt>
                <c:pt idx="12">
                  <c:v>6.1534803333333317</c:v>
                </c:pt>
                <c:pt idx="13">
                  <c:v>5.8331976111111095</c:v>
                </c:pt>
                <c:pt idx="14">
                  <c:v>5.4971432222222205</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Calc.'!$P$3:$P$94</c:f>
              <c:numCache>
                <c:formatCode>0.0000</c:formatCode>
                <c:ptCount val="92"/>
                <c:pt idx="0" formatCode="General">
                  <c:v>0</c:v>
                </c:pt>
                <c:pt idx="1">
                  <c:v>0.19453500000000032</c:v>
                </c:pt>
                <c:pt idx="2">
                  <c:v>1.1333100000000005</c:v>
                </c:pt>
                <c:pt idx="3">
                  <c:v>1.1213310000000003</c:v>
                </c:pt>
                <c:pt idx="4">
                  <c:v>0.37249000000000088</c:v>
                </c:pt>
                <c:pt idx="5">
                  <c:v>-0.8294693703703695</c:v>
                </c:pt>
                <c:pt idx="6">
                  <c:v>-1.0411961111111112</c:v>
                </c:pt>
                <c:pt idx="7">
                  <c:v>-2.0895218518518512</c:v>
                </c:pt>
                <c:pt idx="8">
                  <c:v>-1.9321040370370364</c:v>
                </c:pt>
                <c:pt idx="9">
                  <c:v>-1.0961921944444437</c:v>
                </c:pt>
                <c:pt idx="10">
                  <c:v>-0.68007022222222235</c:v>
                </c:pt>
                <c:pt idx="11">
                  <c:v>-7.219777777777725E-2</c:v>
                </c:pt>
                <c:pt idx="12">
                  <c:v>0.98084833333333366</c:v>
                </c:pt>
                <c:pt idx="13">
                  <c:v>1.4493301111111112</c:v>
                </c:pt>
                <c:pt idx="14">
                  <c:v>1.8019878888888896</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Calc.'!$AE$3:$AE$94</c:f>
              <c:numCache>
                <c:formatCode>0.0000</c:formatCode>
                <c:ptCount val="92"/>
                <c:pt idx="0" formatCode="General">
                  <c:v>0</c:v>
                </c:pt>
                <c:pt idx="1">
                  <c:v>-1.9964999999999691E-2</c:v>
                </c:pt>
                <c:pt idx="2">
                  <c:v>0.28645499999999996</c:v>
                </c:pt>
                <c:pt idx="3">
                  <c:v>0.51904700000000004</c:v>
                </c:pt>
                <c:pt idx="4">
                  <c:v>2.2255999999999887E-2</c:v>
                </c:pt>
                <c:pt idx="5">
                  <c:v>-0.69224218518518499</c:v>
                </c:pt>
                <c:pt idx="6">
                  <c:v>-0.87614788888888873</c:v>
                </c:pt>
                <c:pt idx="7">
                  <c:v>-1.2283965185185184</c:v>
                </c:pt>
                <c:pt idx="8">
                  <c:v>-0.88764625925925933</c:v>
                </c:pt>
                <c:pt idx="9">
                  <c:v>-0.13536619444444475</c:v>
                </c:pt>
                <c:pt idx="10">
                  <c:v>0.21346180555555566</c:v>
                </c:pt>
                <c:pt idx="11">
                  <c:v>0.86909833333333331</c:v>
                </c:pt>
                <c:pt idx="12">
                  <c:v>1.6457385555555555</c:v>
                </c:pt>
                <c:pt idx="13">
                  <c:v>2.1463595555555557</c:v>
                </c:pt>
                <c:pt idx="14">
                  <c:v>2.436771666666667</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Calc.'!$AI$3:$AI$94</c:f>
              <c:numCache>
                <c:formatCode>0.0000</c:formatCode>
                <c:ptCount val="92"/>
                <c:pt idx="0" formatCode="General">
                  <c:v>0</c:v>
                </c:pt>
                <c:pt idx="1">
                  <c:v>-5.9250000000001819E-3</c:v>
                </c:pt>
                <c:pt idx="2">
                  <c:v>0.27616499999999994</c:v>
                </c:pt>
                <c:pt idx="3">
                  <c:v>0.51005500000000004</c:v>
                </c:pt>
                <c:pt idx="4">
                  <c:v>0.16631799999999997</c:v>
                </c:pt>
                <c:pt idx="5">
                  <c:v>-0.36120959259259278</c:v>
                </c:pt>
                <c:pt idx="6">
                  <c:v>-0.49350233333333332</c:v>
                </c:pt>
                <c:pt idx="7">
                  <c:v>-0.7970314814814814</c:v>
                </c:pt>
                <c:pt idx="8">
                  <c:v>-0.71779159259259262</c:v>
                </c:pt>
                <c:pt idx="9">
                  <c:v>-0.34993280555555561</c:v>
                </c:pt>
                <c:pt idx="10">
                  <c:v>-0.14488841666666663</c:v>
                </c:pt>
                <c:pt idx="11">
                  <c:v>0.18244527777777791</c:v>
                </c:pt>
                <c:pt idx="12">
                  <c:v>0.64553100000000008</c:v>
                </c:pt>
                <c:pt idx="13">
                  <c:v>0.93895322222222233</c:v>
                </c:pt>
                <c:pt idx="14">
                  <c:v>1.129501888888889</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Regression!$DE$3:$DE$26</c:f>
              <c:numCache>
                <c:formatCode>0.000</c:formatCode>
                <c:ptCount val="24"/>
                <c:pt idx="0">
                  <c:v>0.16194908143471529</c:v>
                </c:pt>
                <c:pt idx="1">
                  <c:v>6.9507610093974867E-2</c:v>
                </c:pt>
                <c:pt idx="2">
                  <c:v>0.27180085972609674</c:v>
                </c:pt>
                <c:pt idx="3">
                  <c:v>0.66600289890826037</c:v>
                </c:pt>
                <c:pt idx="4">
                  <c:v>1.2737046534915932</c:v>
                </c:pt>
                <c:pt idx="5">
                  <c:v>1.8838575249689906</c:v>
                </c:pt>
                <c:pt idx="6">
                  <c:v>2.7137092065670596</c:v>
                </c:pt>
                <c:pt idx="7">
                  <c:v>3.518955795672857</c:v>
                </c:pt>
                <c:pt idx="8">
                  <c:v>4.3210172839371452</c:v>
                </c:pt>
                <c:pt idx="9">
                  <c:v>5.0276095960548366</c:v>
                </c:pt>
                <c:pt idx="10">
                  <c:v>5.6241610934143527</c:v>
                </c:pt>
                <c:pt idx="11">
                  <c:v>5.9969494140212731</c:v>
                </c:pt>
                <c:pt idx="12">
                  <c:v>6.1343947871181683</c:v>
                </c:pt>
                <c:pt idx="13">
                  <c:v>5.9922433332346152</c:v>
                </c:pt>
                <c:pt idx="14">
                  <c:v>5.4943728150597337</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Regression!$CM$3:$CM$26</c:f>
              <c:numCache>
                <c:formatCode>0.000</c:formatCode>
                <c:ptCount val="24"/>
                <c:pt idx="0">
                  <c:v>0.48620727920196999</c:v>
                </c:pt>
                <c:pt idx="1">
                  <c:v>0.52744549955186892</c:v>
                </c:pt>
                <c:pt idx="2">
                  <c:v>0.39745961652708484</c:v>
                </c:pt>
                <c:pt idx="3">
                  <c:v>0.17524708429823363</c:v>
                </c:pt>
                <c:pt idx="4">
                  <c:v>-0.13804297393900805</c:v>
                </c:pt>
                <c:pt idx="5">
                  <c:v>-0.42279154014147946</c:v>
                </c:pt>
                <c:pt idx="6">
                  <c:v>-0.75914776404405249</c:v>
                </c:pt>
                <c:pt idx="7">
                  <c:v>-1.0162590732772241</c:v>
                </c:pt>
                <c:pt idx="8">
                  <c:v>-1.1751854085707851</c:v>
                </c:pt>
                <c:pt idx="9">
                  <c:v>-1.1809046042675373</c:v>
                </c:pt>
                <c:pt idx="10">
                  <c:v>-0.97741663080331875</c:v>
                </c:pt>
                <c:pt idx="11">
                  <c:v>-0.54400902878845336</c:v>
                </c:pt>
                <c:pt idx="12">
                  <c:v>0.14444656094358521</c:v>
                </c:pt>
                <c:pt idx="13">
                  <c:v>1.1784874486173003</c:v>
                </c:pt>
                <c:pt idx="14">
                  <c:v>2.6175443032103658</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Regression!$DB$3:$DB$26</c:f>
              <c:numCache>
                <c:formatCode>0.000</c:formatCode>
                <c:ptCount val="24"/>
                <c:pt idx="0">
                  <c:v>0.30265097593605955</c:v>
                </c:pt>
                <c:pt idx="1">
                  <c:v>0.16533153920454821</c:v>
                </c:pt>
                <c:pt idx="2">
                  <c:v>-3.5222406325423367E-2</c:v>
                </c:pt>
                <c:pt idx="3">
                  <c:v>-0.20019504607137303</c:v>
                </c:pt>
                <c:pt idx="4">
                  <c:v>-0.3606280440354927</c:v>
                </c:pt>
                <c:pt idx="5">
                  <c:v>-0.46586201515779851</c:v>
                </c:pt>
                <c:pt idx="6">
                  <c:v>-0.54222603115325829</c:v>
                </c:pt>
                <c:pt idx="7">
                  <c:v>-0.54284519720492519</c:v>
                </c:pt>
                <c:pt idx="8">
                  <c:v>-0.45283248149555577</c:v>
                </c:pt>
                <c:pt idx="9">
                  <c:v>-0.25672942693824252</c:v>
                </c:pt>
                <c:pt idx="10">
                  <c:v>8.3231338543684252E-2</c:v>
                </c:pt>
                <c:pt idx="11">
                  <c:v>0.54724061139534985</c:v>
                </c:pt>
                <c:pt idx="12">
                  <c:v>1.149088552352505</c:v>
                </c:pt>
                <c:pt idx="13">
                  <c:v>1.9464869718630107</c:v>
                </c:pt>
                <c:pt idx="14">
                  <c:v>2.9619345294572827</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Regression!$DF$3:$DF$26</c:f>
              <c:numCache>
                <c:formatCode>0.000</c:formatCode>
                <c:ptCount val="24"/>
                <c:pt idx="0">
                  <c:v>0.15102717083513978</c:v>
                </c:pt>
                <c:pt idx="1">
                  <c:v>0.16184855201421575</c:v>
                </c:pt>
                <c:pt idx="2">
                  <c:v>0.10750879255930827</c:v>
                </c:pt>
                <c:pt idx="3">
                  <c:v>2.1487504441326161E-2</c:v>
                </c:pt>
                <c:pt idx="4">
                  <c:v>-9.5354478369072154E-2</c:v>
                </c:pt>
                <c:pt idx="5">
                  <c:v>-0.19759681718757804</c:v>
                </c:pt>
                <c:pt idx="6">
                  <c:v>-0.31161443531793953</c:v>
                </c:pt>
                <c:pt idx="7">
                  <c:v>-0.38861861988963153</c:v>
                </c:pt>
                <c:pt idx="8">
                  <c:v>-0.41844945776105513</c:v>
                </c:pt>
                <c:pt idx="9">
                  <c:v>-0.3801641848734123</c:v>
                </c:pt>
                <c:pt idx="10">
                  <c:v>-0.24785303522071489</c:v>
                </c:pt>
                <c:pt idx="11">
                  <c:v>-1.8297296506601057E-2</c:v>
                </c:pt>
                <c:pt idx="12">
                  <c:v>0.31979386373177654</c:v>
                </c:pt>
                <c:pt idx="13">
                  <c:v>0.80717077078077715</c:v>
                </c:pt>
                <c:pt idx="14">
                  <c:v>1.4677998374301362</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Calc.'!$AK$3:$AK$94</c:f>
              <c:numCache>
                <c:formatCode>0.0000</c:formatCode>
                <c:ptCount val="92"/>
                <c:pt idx="0" formatCode="General">
                  <c:v>0</c:v>
                </c:pt>
                <c:pt idx="1">
                  <c:v>-1.8195000000000617E-2</c:v>
                </c:pt>
                <c:pt idx="2">
                  <c:v>0.6733199999999997</c:v>
                </c:pt>
                <c:pt idx="3">
                  <c:v>1.2208009999999994</c:v>
                </c:pt>
                <c:pt idx="4">
                  <c:v>-1.0479150000000002</c:v>
                </c:pt>
                <c:pt idx="5">
                  <c:v>-3.9301911111111103</c:v>
                </c:pt>
                <c:pt idx="6">
                  <c:v>-5.3031476666666686</c:v>
                </c:pt>
                <c:pt idx="7">
                  <c:v>-7.2903053703703709</c:v>
                </c:pt>
                <c:pt idx="8">
                  <c:v>-6.9291575185185188</c:v>
                </c:pt>
                <c:pt idx="9">
                  <c:v>-4.8899358611111126</c:v>
                </c:pt>
                <c:pt idx="10">
                  <c:v>-3.677895222222225</c:v>
                </c:pt>
                <c:pt idx="11">
                  <c:v>-1.8132688888888895</c:v>
                </c:pt>
                <c:pt idx="12">
                  <c:v>0.49193655555555349</c:v>
                </c:pt>
                <c:pt idx="13">
                  <c:v>1.9328280555555541</c:v>
                </c:pt>
                <c:pt idx="14">
                  <c:v>2.8832205555555541</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Calc.'!$Y$3:$Y$94</c:f>
              <c:numCache>
                <c:formatCode>0.0000</c:formatCode>
                <c:ptCount val="92"/>
                <c:pt idx="0" formatCode="General">
                  <c:v>0</c:v>
                </c:pt>
                <c:pt idx="1">
                  <c:v>3.8924999999999273E-2</c:v>
                </c:pt>
                <c:pt idx="2">
                  <c:v>0.73707000000000067</c:v>
                </c:pt>
                <c:pt idx="3">
                  <c:v>1.2450810000000003</c:v>
                </c:pt>
                <c:pt idx="4">
                  <c:v>0.29488599999999976</c:v>
                </c:pt>
                <c:pt idx="5">
                  <c:v>-1.1376017407407406</c:v>
                </c:pt>
                <c:pt idx="6">
                  <c:v>-1.4599227777777777</c:v>
                </c:pt>
                <c:pt idx="7">
                  <c:v>-2.1961614074074065</c:v>
                </c:pt>
                <c:pt idx="8">
                  <c:v>-1.6563149259259258</c:v>
                </c:pt>
                <c:pt idx="9">
                  <c:v>-0.28179130555555498</c:v>
                </c:pt>
                <c:pt idx="10">
                  <c:v>0.29144227777777776</c:v>
                </c:pt>
                <c:pt idx="11">
                  <c:v>0.67958055555555497</c:v>
                </c:pt>
                <c:pt idx="12">
                  <c:v>1.3107136666666661</c:v>
                </c:pt>
                <c:pt idx="13">
                  <c:v>1.3593265555555549</c:v>
                </c:pt>
                <c:pt idx="14">
                  <c:v>1.3556207777777776</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Calc.'!$AA$3:$AA$94</c:f>
              <c:numCache>
                <c:formatCode>0.0000</c:formatCode>
                <c:ptCount val="92"/>
                <c:pt idx="0" formatCode="General">
                  <c:v>0</c:v>
                </c:pt>
                <c:pt idx="1">
                  <c:v>4.3844999999999343E-2</c:v>
                </c:pt>
                <c:pt idx="2">
                  <c:v>1.1110650000000004</c:v>
                </c:pt>
                <c:pt idx="3">
                  <c:v>1.8971249999999991</c:v>
                </c:pt>
                <c:pt idx="4">
                  <c:v>0.94984599999999864</c:v>
                </c:pt>
                <c:pt idx="5">
                  <c:v>-0.72249507407407521</c:v>
                </c:pt>
                <c:pt idx="6">
                  <c:v>-0.70881633333333427</c:v>
                </c:pt>
                <c:pt idx="7">
                  <c:v>-1.1454321111111114</c:v>
                </c:pt>
                <c:pt idx="8">
                  <c:v>0.18156662962962922</c:v>
                </c:pt>
                <c:pt idx="9">
                  <c:v>2.4727908611111094</c:v>
                </c:pt>
                <c:pt idx="10">
                  <c:v>3.5985168611111087</c:v>
                </c:pt>
                <c:pt idx="11">
                  <c:v>5.0900524999999979</c:v>
                </c:pt>
                <c:pt idx="12">
                  <c:v>6.6029096666666653</c:v>
                </c:pt>
                <c:pt idx="13">
                  <c:v>7.3059642777777762</c:v>
                </c:pt>
                <c:pt idx="14">
                  <c:v>7.6210901111111093</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Calc.'!$AB$3:$AB$94</c:f>
              <c:numCache>
                <c:formatCode>0.0000</c:formatCode>
                <c:ptCount val="92"/>
                <c:pt idx="0" formatCode="General">
                  <c:v>0</c:v>
                </c:pt>
                <c:pt idx="1">
                  <c:v>-0.11401499999999942</c:v>
                </c:pt>
                <c:pt idx="2">
                  <c:v>0.56896500000000105</c:v>
                </c:pt>
                <c:pt idx="3">
                  <c:v>1.1409370000000008</c:v>
                </c:pt>
                <c:pt idx="4">
                  <c:v>3.827000000000047E-2</c:v>
                </c:pt>
                <c:pt idx="5">
                  <c:v>-1.6664583703703701</c:v>
                </c:pt>
                <c:pt idx="6">
                  <c:v>-2.0172981111111112</c:v>
                </c:pt>
                <c:pt idx="7">
                  <c:v>-2.8056807777777779</c:v>
                </c:pt>
                <c:pt idx="8">
                  <c:v>-2.2689813703703714</c:v>
                </c:pt>
                <c:pt idx="9">
                  <c:v>-0.811971555555556</c:v>
                </c:pt>
                <c:pt idx="10">
                  <c:v>-8.7548861111110599E-2</c:v>
                </c:pt>
                <c:pt idx="11">
                  <c:v>1.3310908333333336</c:v>
                </c:pt>
                <c:pt idx="12">
                  <c:v>3.1116707777777775</c:v>
                </c:pt>
                <c:pt idx="13">
                  <c:v>4.2123419999999996</c:v>
                </c:pt>
                <c:pt idx="14">
                  <c:v>4.8545798888888889</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Regression!$DH$3:$DH$26</c:f>
              <c:numCache>
                <c:formatCode>0.000</c:formatCode>
                <c:ptCount val="24"/>
                <c:pt idx="0">
                  <c:v>1.1432052800800838</c:v>
                </c:pt>
                <c:pt idx="1">
                  <c:v>0.57466580560572944</c:v>
                </c:pt>
                <c:pt idx="2">
                  <c:v>-0.42127570333811115</c:v>
                </c:pt>
                <c:pt idx="3">
                  <c:v>-1.3672841047870861</c:v>
                </c:pt>
                <c:pt idx="4">
                  <c:v>-2.4306281136114865</c:v>
                </c:pt>
                <c:pt idx="5">
                  <c:v>-3.2773409149311838</c:v>
                </c:pt>
                <c:pt idx="6">
                  <c:v>-4.1821578248472617</c:v>
                </c:pt>
                <c:pt idx="7">
                  <c:v>-4.8035242071511464</c:v>
                </c:pt>
                <c:pt idx="8">
                  <c:v>-5.119211333906267</c:v>
                </c:pt>
                <c:pt idx="9">
                  <c:v>-5.0167909549023548</c:v>
                </c:pt>
                <c:pt idx="10">
                  <c:v>-4.3710113336034606</c:v>
                </c:pt>
                <c:pt idx="11">
                  <c:v>-3.1671847392095742</c:v>
                </c:pt>
                <c:pt idx="12">
                  <c:v>-1.3578090359956789</c:v>
                </c:pt>
                <c:pt idx="13">
                  <c:v>1.2677302260894976</c:v>
                </c:pt>
                <c:pt idx="14">
                  <c:v>4.8307114822860555</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Regression!$CV$3:$CV$26</c:f>
              <c:numCache>
                <c:formatCode>0.000</c:formatCode>
                <c:ptCount val="24"/>
                <c:pt idx="0">
                  <c:v>0.62947497592635759</c:v>
                </c:pt>
                <c:pt idx="1">
                  <c:v>0.37557154083725641</c:v>
                </c:pt>
                <c:pt idx="2">
                  <c:v>4.756126905234704E-2</c:v>
                </c:pt>
                <c:pt idx="3">
                  <c:v>-0.20363488549529399</c:v>
                </c:pt>
                <c:pt idx="4">
                  <c:v>-0.4423565092389749</c:v>
                </c:pt>
                <c:pt idx="5">
                  <c:v>-0.60338288792435879</c:v>
                </c:pt>
                <c:pt idx="6">
                  <c:v>-0.7403071190755508</c:v>
                </c:pt>
                <c:pt idx="7">
                  <c:v>-0.79316188820695321</c:v>
                </c:pt>
                <c:pt idx="8">
                  <c:v>-0.7562912908893582</c:v>
                </c:pt>
                <c:pt idx="9">
                  <c:v>-0.61551826613599414</c:v>
                </c:pt>
                <c:pt idx="10">
                  <c:v>-0.3410860068413073</c:v>
                </c:pt>
                <c:pt idx="11">
                  <c:v>5.0337289280566022E-2</c:v>
                </c:pt>
                <c:pt idx="12">
                  <c:v>0.56792284567201401</c:v>
                </c:pt>
                <c:pt idx="13">
                  <c:v>1.2601605792923616</c:v>
                </c:pt>
                <c:pt idx="14">
                  <c:v>2.1455640296728156</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Regression!$CX$3:$CX$26</c:f>
              <c:numCache>
                <c:formatCode>0.000</c:formatCode>
                <c:ptCount val="24"/>
                <c:pt idx="0">
                  <c:v>0.86868628194446196</c:v>
                </c:pt>
                <c:pt idx="1">
                  <c:v>0.49275053409615144</c:v>
                </c:pt>
                <c:pt idx="2">
                  <c:v>0.13839087597598226</c:v>
                </c:pt>
                <c:pt idx="3">
                  <c:v>-2.5293756040956968E-2</c:v>
                </c:pt>
                <c:pt idx="4">
                  <c:v>-6.3170481204104068E-2</c:v>
                </c:pt>
                <c:pt idx="5">
                  <c:v>2.290164209132789E-2</c:v>
                </c:pt>
                <c:pt idx="6">
                  <c:v>0.28405355465088855</c:v>
                </c:pt>
                <c:pt idx="7">
                  <c:v>0.69235744591044834</c:v>
                </c:pt>
                <c:pt idx="8">
                  <c:v>1.2868146733771311</c:v>
                </c:pt>
                <c:pt idx="9">
                  <c:v>2.0499824155038846</c:v>
                </c:pt>
                <c:pt idx="10">
                  <c:v>3.0496611494088657</c:v>
                </c:pt>
                <c:pt idx="11">
                  <c:v>4.1853637467074503</c:v>
                </c:pt>
                <c:pt idx="12">
                  <c:v>5.477912195316585</c:v>
                </c:pt>
                <c:pt idx="13">
                  <c:v>7.0202969199918712</c:v>
                </c:pt>
                <c:pt idx="14">
                  <c:v>8.8173211911588769</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Regression!$CY$3:$CY$26</c:f>
              <c:numCache>
                <c:formatCode>0.000</c:formatCode>
                <c:ptCount val="24"/>
                <c:pt idx="0">
                  <c:v>0.58737048751845988</c:v>
                </c:pt>
                <c:pt idx="1">
                  <c:v>0.34785111789444634</c:v>
                </c:pt>
                <c:pt idx="2">
                  <c:v>-6.0846929292109844E-2</c:v>
                </c:pt>
                <c:pt idx="3">
                  <c:v>-0.43301969128322171</c:v>
                </c:pt>
                <c:pt idx="4">
                  <c:v>-0.82569603726823004</c:v>
                </c:pt>
                <c:pt idx="5">
                  <c:v>-1.1086984550745029</c:v>
                </c:pt>
                <c:pt idx="6">
                  <c:v>-1.3562077641023871</c:v>
                </c:pt>
                <c:pt idx="7">
                  <c:v>-1.441359838484972</c:v>
                </c:pt>
                <c:pt idx="8">
                  <c:v>-1.3316110072535459</c:v>
                </c:pt>
                <c:pt idx="9">
                  <c:v>-0.98156775445284872</c:v>
                </c:pt>
                <c:pt idx="10">
                  <c:v>-0.30551387552398968</c:v>
                </c:pt>
                <c:pt idx="11">
                  <c:v>0.66750820428462809</c:v>
                </c:pt>
                <c:pt idx="12">
                  <c:v>1.9702195397656972</c:v>
                </c:pt>
                <c:pt idx="13">
                  <c:v>3.7353056052639459</c:v>
                </c:pt>
                <c:pt idx="14">
                  <c:v>6.0221678517123465</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Calc.'!$C$3:$C$97</c:f>
              <c:numCache>
                <c:formatCode>0.0000000</c:formatCode>
                <c:ptCount val="95"/>
                <c:pt idx="1">
                  <c:v>2.5849252378696761E-2</c:v>
                </c:pt>
                <c:pt idx="2">
                  <c:v>2.5150830105033578E-2</c:v>
                </c:pt>
                <c:pt idx="3">
                  <c:v>2.4117144489471783E-2</c:v>
                </c:pt>
                <c:pt idx="4">
                  <c:v>2.2255313920214542E-2</c:v>
                </c:pt>
                <c:pt idx="5">
                  <c:v>1.9936258295762066E-2</c:v>
                </c:pt>
                <c:pt idx="6">
                  <c:v>1.6116851393872915E-2</c:v>
                </c:pt>
                <c:pt idx="7">
                  <c:v>1.1999991088599072E-2</c:v>
                </c:pt>
                <c:pt idx="8">
                  <c:v>8.0068817312016569E-3</c:v>
                </c:pt>
                <c:pt idx="9">
                  <c:v>4.9413486374640745E-3</c:v>
                </c:pt>
                <c:pt idx="10">
                  <c:v>2.7896448655290607E-3</c:v>
                </c:pt>
                <c:pt idx="11">
                  <c:v>1.5658140435642546E-3</c:v>
                </c:pt>
                <c:pt idx="12">
                  <c:v>8.7392201529787349E-4</c:v>
                </c:pt>
                <c:pt idx="13">
                  <c:v>4.7150661224136737E-4</c:v>
                </c:pt>
                <c:pt idx="14">
                  <c:v>2.4916065630882679E-4</c:v>
                </c:pt>
                <c:pt idx="16" formatCode="General">
                  <c:v>0</c:v>
                </c:pt>
                <c:pt idx="17" formatCode="0.000">
                  <c:v>-3.1743132469760522E-2</c:v>
                </c:pt>
                <c:pt idx="18" formatCode="0.000">
                  <c:v>8.6618527994357999E-2</c:v>
                </c:pt>
                <c:pt idx="19" formatCode="0.000">
                  <c:v>0.10474980475284927</c:v>
                </c:pt>
                <c:pt idx="20" formatCode="0.000">
                  <c:v>8.7354887472543288E-2</c:v>
                </c:pt>
                <c:pt idx="21" formatCode="0.000">
                  <c:v>7.1390025950854183E-2</c:v>
                </c:pt>
                <c:pt idx="22" formatCode="0.000">
                  <c:v>5.6083032292987202E-2</c:v>
                </c:pt>
                <c:pt idx="23" formatCode="0.000">
                  <c:v>4.4434012533676057E-2</c:v>
                </c:pt>
                <c:pt idx="24" formatCode="0.000">
                  <c:v>3.8333657341907759E-2</c:v>
                </c:pt>
                <c:pt idx="25" formatCode="0.000">
                  <c:v>3.5178794970848686E-2</c:v>
                </c:pt>
                <c:pt idx="26" formatCode="0.000">
                  <c:v>3.5112543937471381E-2</c:v>
                </c:pt>
                <c:pt idx="27" formatCode="0.000">
                  <c:v>3.704314696601755E-2</c:v>
                </c:pt>
                <c:pt idx="28" formatCode="0.000">
                  <c:v>4.0987311746449075E-2</c:v>
                </c:pt>
                <c:pt idx="29" formatCode="0.000">
                  <c:v>4.6744666543993868E-2</c:v>
                </c:pt>
                <c:pt idx="30" formatCode="0.000">
                  <c:v>5.2335567084138945E-2</c:v>
                </c:pt>
                <c:pt idx="31" formatCode="0.000">
                  <c:v>-3.1736463330655734E-3</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Calc.'!$E$3:$E$97</c:f>
              <c:numCache>
                <c:formatCode>0.0000</c:formatCode>
                <c:ptCount val="95"/>
                <c:pt idx="1">
                  <c:v>-18.929041884271026</c:v>
                </c:pt>
                <c:pt idx="2">
                  <c:v>-1.5458036888960165</c:v>
                </c:pt>
                <c:pt idx="3">
                  <c:v>2.5499881896724683</c:v>
                </c:pt>
                <c:pt idx="4">
                  <c:v>3.2220981157019648</c:v>
                </c:pt>
                <c:pt idx="5">
                  <c:v>3.0699024822876786</c:v>
                </c:pt>
                <c:pt idx="6">
                  <c:v>2.4740903502015756</c:v>
                </c:pt>
                <c:pt idx="7">
                  <c:v>2.0386901049162764</c:v>
                </c:pt>
                <c:pt idx="8">
                  <c:v>1.8082529506337843</c:v>
                </c:pt>
                <c:pt idx="9">
                  <c:v>1.6298857636988957</c:v>
                </c:pt>
                <c:pt idx="10">
                  <c:v>1.643220211081216</c:v>
                </c:pt>
                <c:pt idx="11">
                  <c:v>1.6202994325919271</c:v>
                </c:pt>
                <c:pt idx="12">
                  <c:v>1.7575828068335944</c:v>
                </c:pt>
                <c:pt idx="13">
                  <c:v>1.78111769102361</c:v>
                </c:pt>
                <c:pt idx="14">
                  <c:v>1.7924232017740962</c:v>
                </c:pt>
                <c:pt idx="16" formatCode="General">
                  <c:v>0</c:v>
                </c:pt>
                <c:pt idx="17" formatCode="General">
                  <c:v>-1.6363427720700739E-2</c:v>
                </c:pt>
                <c:pt idx="18" formatCode="General">
                  <c:v>-1.4165038298557255E-2</c:v>
                </c:pt>
                <c:pt idx="19" formatCode="General">
                  <c:v>-3.8057943766748909E-3</c:v>
                </c:pt>
                <c:pt idx="20" formatCode="General">
                  <c:v>-2.8531310213022183E-3</c:v>
                </c:pt>
                <c:pt idx="21" formatCode="General">
                  <c:v>-4.7602498468785771E-3</c:v>
                </c:pt>
                <c:pt idx="22" formatCode="General">
                  <c:v>-5.9778023863321372E-3</c:v>
                </c:pt>
                <c:pt idx="23" formatCode="General">
                  <c:v>-5.8790187776064391E-3</c:v>
                </c:pt>
                <c:pt idx="24" formatCode="General">
                  <c:v>-4.8486266753161615E-3</c:v>
                </c:pt>
                <c:pt idx="25" formatCode="General">
                  <c:v>-3.0764671126485782E-3</c:v>
                </c:pt>
                <c:pt idx="26" formatCode="General">
                  <c:v>-7.3909260901879319E-4</c:v>
                </c:pt>
                <c:pt idx="27" formatCode="General">
                  <c:v>2.0918688210202433E-3</c:v>
                </c:pt>
                <c:pt idx="28" formatCode="General">
                  <c:v>4.5778928441207985E-3</c:v>
                </c:pt>
                <c:pt idx="29" formatCode="General">
                  <c:v>4.9341781718456254E-3</c:v>
                </c:pt>
                <c:pt idx="30" formatCode="General">
                  <c:v>-1.3789976439136284E-3</c:v>
                </c:pt>
                <c:pt idx="31" formatCode="General">
                  <c:v>8.2580978467444504E-4</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Calc.'!$AR$3:$AR$94</c:f>
              <c:numCache>
                <c:formatCode>0.0000</c:formatCode>
                <c:ptCount val="92"/>
                <c:pt idx="1">
                  <c:v>2.3752674833511265E-2</c:v>
                </c:pt>
                <c:pt idx="2">
                  <c:v>2.3230704299404988E-2</c:v>
                </c:pt>
                <c:pt idx="3">
                  <c:v>2.4092599206086918E-2</c:v>
                </c:pt>
                <c:pt idx="4">
                  <c:v>2.3458528408698717E-2</c:v>
                </c:pt>
                <c:pt idx="5">
                  <c:v>1.9430666739117541E-2</c:v>
                </c:pt>
                <c:pt idx="6">
                  <c:v>1.9218179302097769E-2</c:v>
                </c:pt>
                <c:pt idx="7">
                  <c:v>1.5490074064633326E-2</c:v>
                </c:pt>
                <c:pt idx="8">
                  <c:v>1.0395578626986469E-2</c:v>
                </c:pt>
                <c:pt idx="9">
                  <c:v>7.6489957706565624E-3</c:v>
                </c:pt>
                <c:pt idx="10">
                  <c:v>5.8533818759091494E-4</c:v>
                </c:pt>
                <c:pt idx="11">
                  <c:v>1.3551960083395115E-3</c:v>
                </c:pt>
                <c:pt idx="12">
                  <c:v>-4.5970250206367157E-3</c:v>
                </c:pt>
                <c:pt idx="13">
                  <c:v>-1.681617623605026E-3</c:v>
                </c:pt>
                <c:pt idx="14">
                  <c:v>-2.3885019808678491E-3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Calc.'!$AU$3:$AU$98</c:f>
              <c:numCache>
                <c:formatCode>0.0000</c:formatCode>
                <c:ptCount val="96"/>
                <c:pt idx="1">
                  <c:v>0</c:v>
                </c:pt>
                <c:pt idx="2">
                  <c:v>0</c:v>
                </c:pt>
                <c:pt idx="3">
                  <c:v>0</c:v>
                </c:pt>
                <c:pt idx="4">
                  <c:v>0.54548299043933102</c:v>
                </c:pt>
                <c:pt idx="5">
                  <c:v>0.86361767103947673</c:v>
                </c:pt>
                <c:pt idx="6">
                  <c:v>0.9549029469625222</c:v>
                </c:pt>
                <c:pt idx="7">
                  <c:v>1.0515568343755122</c:v>
                </c:pt>
                <c:pt idx="8">
                  <c:v>1.2780355881459609</c:v>
                </c:pt>
                <c:pt idx="9">
                  <c:v>1.3778101584206488</c:v>
                </c:pt>
                <c:pt idx="10">
                  <c:v>0.58963983488856009</c:v>
                </c:pt>
                <c:pt idx="11">
                  <c:v>0.89693872281585574</c:v>
                </c:pt>
                <c:pt idx="12">
                  <c:v>1.0350618102553193</c:v>
                </c:pt>
                <c:pt idx="13">
                  <c:v>0.90751311153546066</c:v>
                </c:pt>
                <c:pt idx="14">
                  <c:v>0.70113846941785962</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Calc.'!$Y$3:$Y$97</c:f>
              <c:numCache>
                <c:formatCode>0.0000</c:formatCode>
                <c:ptCount val="95"/>
                <c:pt idx="1">
                  <c:v>2.3477057927152626E-3</c:v>
                </c:pt>
                <c:pt idx="2">
                  <c:v>1.5888569666529878E-2</c:v>
                </c:pt>
                <c:pt idx="3">
                  <c:v>1.4367928161335761E-2</c:v>
                </c:pt>
                <c:pt idx="4">
                  <c:v>1.0301255514077028E-2</c:v>
                </c:pt>
                <c:pt idx="5">
                  <c:v>7.8450201351255976E-3</c:v>
                </c:pt>
                <c:pt idx="6">
                  <c:v>5.1697314416401822E-3</c:v>
                </c:pt>
                <c:pt idx="7">
                  <c:v>3.5876474581512247E-3</c:v>
                </c:pt>
                <c:pt idx="8">
                  <c:v>2.6266441102410845E-3</c:v>
                </c:pt>
                <c:pt idx="9">
                  <c:v>1.8736638108276464E-3</c:v>
                </c:pt>
                <c:pt idx="10">
                  <c:v>1.3249208259417165E-3</c:v>
                </c:pt>
                <c:pt idx="11">
                  <c:v>7.1095596756496184E-4</c:v>
                </c:pt>
                <c:pt idx="12">
                  <c:v>3.2038347349848097E-5</c:v>
                </c:pt>
                <c:pt idx="13">
                  <c:v>-9.1542745266656777E-4</c:v>
                </c:pt>
                <c:pt idx="14">
                  <c:v>-2.1664870706073346E-3</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Calc.'!$G$3:$G$97</c:f>
              <c:numCache>
                <c:formatCode>0.0000</c:formatCode>
                <c:ptCount val="95"/>
                <c:pt idx="1">
                  <c:v>-1.4785226862303721E-3</c:v>
                </c:pt>
                <c:pt idx="2">
                  <c:v>-4.9375296149146023E-3</c:v>
                </c:pt>
                <c:pt idx="3">
                  <c:v>-4.148483595207972E-3</c:v>
                </c:pt>
                <c:pt idx="4">
                  <c:v>-2.7172100479731522E-3</c:v>
                </c:pt>
                <c:pt idx="5">
                  <c:v>-1.8519912771189824E-3</c:v>
                </c:pt>
                <c:pt idx="6">
                  <c:v>-1.0037762621890576E-3</c:v>
                </c:pt>
                <c:pt idx="7">
                  <c:v>-5.0553532442258731E-4</c:v>
                </c:pt>
                <c:pt idx="8">
                  <c:v>-1.5896545812900945E-4</c:v>
                </c:pt>
                <c:pt idx="9">
                  <c:v>1.2635059406216549E-4</c:v>
                </c:pt>
                <c:pt idx="10">
                  <c:v>4.6345487833054824E-4</c:v>
                </c:pt>
                <c:pt idx="11">
                  <c:v>8.22879450273814E-4</c:v>
                </c:pt>
                <c:pt idx="12">
                  <c:v>1.3862870741595172E-3</c:v>
                </c:pt>
                <c:pt idx="13">
                  <c:v>2.0243402511178335E-3</c:v>
                </c:pt>
                <c:pt idx="14">
                  <c:v>2.8561807345904812E-3</c:v>
                </c:pt>
                <c:pt idx="16" formatCode="General">
                  <c:v>0</c:v>
                </c:pt>
                <c:pt idx="17" formatCode="General">
                  <c:v>6.9559044570637413E-2</c:v>
                </c:pt>
                <c:pt idx="18" formatCode="General">
                  <c:v>1.0469630871844358E-2</c:v>
                </c:pt>
                <c:pt idx="19" formatCode="General">
                  <c:v>-4.6196812616518933E-3</c:v>
                </c:pt>
                <c:pt idx="20" formatCode="General">
                  <c:v>-5.6642413545730441E-3</c:v>
                </c:pt>
                <c:pt idx="21" formatCode="General">
                  <c:v>-4.221465410686521E-3</c:v>
                </c:pt>
                <c:pt idx="22" formatCode="General">
                  <c:v>-2.547840897639867E-3</c:v>
                </c:pt>
                <c:pt idx="23" formatCode="General">
                  <c:v>-1.2852282678583935E-3</c:v>
                </c:pt>
                <c:pt idx="24" formatCode="General">
                  <c:v>-5.2406622778602887E-4</c:v>
                </c:pt>
                <c:pt idx="25" formatCode="General">
                  <c:v>-3.4304008925336641E-5</c:v>
                </c:pt>
                <c:pt idx="26" formatCode="General">
                  <c:v>3.0244009854577393E-4</c:v>
                </c:pt>
                <c:pt idx="27" formatCode="General">
                  <c:v>5.3087905010688018E-4</c:v>
                </c:pt>
                <c:pt idx="28" formatCode="General">
                  <c:v>6.3656338977181968E-4</c:v>
                </c:pt>
                <c:pt idx="29" formatCode="General">
                  <c:v>5.5922984321057673E-4</c:v>
                </c:pt>
                <c:pt idx="30" formatCode="General">
                  <c:v>1.3931788620839654E-4</c:v>
                </c:pt>
                <c:pt idx="31" formatCode="General">
                  <c:v>5.5736543335243825E-3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Calc.'!$V$3:$V$97</c:f>
              <c:numCache>
                <c:formatCode>0.0000</c:formatCode>
                <c:ptCount val="95"/>
                <c:pt idx="1">
                  <c:v>-1.635447897528302E-2</c:v>
                </c:pt>
                <c:pt idx="2">
                  <c:v>-8.8997696663846559E-3</c:v>
                </c:pt>
                <c:pt idx="3">
                  <c:v>-4.7592948015765541E-3</c:v>
                </c:pt>
                <c:pt idx="4">
                  <c:v>-2.1781199409864741E-3</c:v>
                </c:pt>
                <c:pt idx="5">
                  <c:v>-1.0718608714373676E-3</c:v>
                </c:pt>
                <c:pt idx="6">
                  <c:v>-2.4560310512414322E-4</c:v>
                </c:pt>
                <c:pt idx="7">
                  <c:v>1.7796443570081765E-4</c:v>
                </c:pt>
                <c:pt idx="8">
                  <c:v>4.8551658746352825E-4</c:v>
                </c:pt>
                <c:pt idx="9">
                  <c:v>7.3805814437677485E-4</c:v>
                </c:pt>
                <c:pt idx="10">
                  <c:v>1.0947596168405711E-3</c:v>
                </c:pt>
                <c:pt idx="11">
                  <c:v>1.4551842014561335E-3</c:v>
                </c:pt>
                <c:pt idx="12">
                  <c:v>2.0493446436699362E-3</c:v>
                </c:pt>
                <c:pt idx="13">
                  <c:v>2.6846864024997101E-3</c:v>
                </c:pt>
                <c:pt idx="14">
                  <c:v>3.5041117901221143E-3</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Calc.'!$Z$3:$Z$100</c:f>
              <c:numCache>
                <c:formatCode>0.0000</c:formatCode>
                <c:ptCount val="98"/>
                <c:pt idx="1">
                  <c:v>-1.588874958190014E-3</c:v>
                </c:pt>
                <c:pt idx="2">
                  <c:v>-3.7293362806272603E-3</c:v>
                </c:pt>
                <c:pt idx="3">
                  <c:v>-2.9588383329946346E-3</c:v>
                </c:pt>
                <c:pt idx="4">
                  <c:v>-1.8505956396410344E-3</c:v>
                </c:pt>
                <c:pt idx="5">
                  <c:v>-1.2188296018646385E-3</c:v>
                </c:pt>
                <c:pt idx="6">
                  <c:v>-6.106768316237783E-4</c:v>
                </c:pt>
                <c:pt idx="7">
                  <c:v>-2.5267091887405088E-4</c:v>
                </c:pt>
                <c:pt idx="8">
                  <c:v>5.8141819908434257E-6</c:v>
                </c:pt>
                <c:pt idx="9">
                  <c:v>2.2522701388149447E-4</c:v>
                </c:pt>
                <c:pt idx="10">
                  <c:v>4.9120075901859582E-4</c:v>
                </c:pt>
                <c:pt idx="11">
                  <c:v>7.7259839525922421E-4</c:v>
                </c:pt>
                <c:pt idx="12">
                  <c:v>1.2035948132056182E-3</c:v>
                </c:pt>
                <c:pt idx="13">
                  <c:v>1.6954151849706946E-3</c:v>
                </c:pt>
                <c:pt idx="14">
                  <c:v>2.3375814783963612E-3</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Calc.'!$BO$3:$BO$94</c:f>
              <c:numCache>
                <c:formatCode>0.0000</c:formatCode>
                <c:ptCount val="92"/>
                <c:pt idx="1">
                  <c:v>-5.2218876755535937E-3</c:v>
                </c:pt>
                <c:pt idx="2">
                  <c:v>1.9731160168360549E-2</c:v>
                </c:pt>
                <c:pt idx="3">
                  <c:v>1.0125118760623714E-2</c:v>
                </c:pt>
                <c:pt idx="4">
                  <c:v>4.7676279527126405E-3</c:v>
                </c:pt>
                <c:pt idx="5">
                  <c:v>-7.9825419150551563E-4</c:v>
                </c:pt>
                <c:pt idx="6">
                  <c:v>3.8375391474485595E-3</c:v>
                </c:pt>
                <c:pt idx="7">
                  <c:v>2.0402359040645785E-3</c:v>
                </c:pt>
                <c:pt idx="8">
                  <c:v>2.2228768340518969E-3</c:v>
                </c:pt>
                <c:pt idx="9">
                  <c:v>2.0882808667990805E-3</c:v>
                </c:pt>
                <c:pt idx="10">
                  <c:v>4.0813622359538127E-4</c:v>
                </c:pt>
                <c:pt idx="11">
                  <c:v>3.5472209209722245E-4</c:v>
                </c:pt>
                <c:pt idx="12">
                  <c:v>1.8754293287070282E-4</c:v>
                </c:pt>
                <c:pt idx="13">
                  <c:v>-5.2434919522485138E-4</c:v>
                </c:pt>
                <c:pt idx="14">
                  <c:v>-5.6548743708979214E-4</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Calc.'!$AW$3:$AW$94</c:f>
              <c:numCache>
                <c:formatCode>0.0000</c:formatCode>
                <c:ptCount val="92"/>
                <c:pt idx="1">
                  <c:v>1.4117711332969331E-2</c:v>
                </c:pt>
                <c:pt idx="2">
                  <c:v>2.8329960750116845E-2</c:v>
                </c:pt>
                <c:pt idx="3">
                  <c:v>-2.4253054434142504E-4</c:v>
                </c:pt>
                <c:pt idx="4">
                  <c:v>-7.8139875502568953E-3</c:v>
                </c:pt>
                <c:pt idx="5">
                  <c:v>-9.3575533241386493E-3</c:v>
                </c:pt>
                <c:pt idx="6">
                  <c:v>-8.451360715955637E-4</c:v>
                </c:pt>
                <c:pt idx="7">
                  <c:v>-2.9320709140495172E-3</c:v>
                </c:pt>
                <c:pt idx="8">
                  <c:v>3.151859318743611E-4</c:v>
                </c:pt>
                <c:pt idx="9">
                  <c:v>1.3737768085149648E-3</c:v>
                </c:pt>
                <c:pt idx="10">
                  <c:v>5.929982450434421E-4</c:v>
                </c:pt>
                <c:pt idx="11">
                  <c:v>8.9862663353833749E-4</c:v>
                </c:pt>
                <c:pt idx="12">
                  <c:v>1.6587695871772138E-3</c:v>
                </c:pt>
                <c:pt idx="13">
                  <c:v>7.6697250932208265E-4</c:v>
                </c:pt>
                <c:pt idx="14">
                  <c:v>5.9342639024801899E-4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Calc.'!$BL$3:$BL$94</c:f>
              <c:numCache>
                <c:formatCode>0.0000</c:formatCode>
                <c:ptCount val="92"/>
                <c:pt idx="1">
                  <c:v>-1.4488914938840202E-3</c:v>
                </c:pt>
                <c:pt idx="2">
                  <c:v>9.2470150707579472E-3</c:v>
                </c:pt>
                <c:pt idx="3">
                  <c:v>4.7091296743851643E-3</c:v>
                </c:pt>
                <c:pt idx="4">
                  <c:v>-5.1839024426809932E-3</c:v>
                </c:pt>
                <c:pt idx="5">
                  <c:v>-5.5625464825907189E-3</c:v>
                </c:pt>
                <c:pt idx="6">
                  <c:v>-7.3408461977168685E-4</c:v>
                </c:pt>
                <c:pt idx="7">
                  <c:v>-9.8520709862666899E-4</c:v>
                </c:pt>
                <c:pt idx="8">
                  <c:v>6.8225879089608683E-4</c:v>
                </c:pt>
                <c:pt idx="9">
                  <c:v>1.2363324143673099E-3</c:v>
                </c:pt>
                <c:pt idx="10">
                  <c:v>4.9710038313369273E-4</c:v>
                </c:pt>
                <c:pt idx="11">
                  <c:v>9.6923696931216097E-4</c:v>
                </c:pt>
                <c:pt idx="12">
                  <c:v>1.2233720510505216E-3</c:v>
                </c:pt>
                <c:pt idx="13">
                  <c:v>8.1958907006082435E-4</c:v>
                </c:pt>
                <c:pt idx="14">
                  <c:v>4.886839923592144E-4</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Calc.'!$BP$3:$BP$93</c:f>
              <c:numCache>
                <c:formatCode>0.0000</c:formatCode>
                <c:ptCount val="91"/>
                <c:pt idx="1">
                  <c:v>-4.2998658158092745E-4</c:v>
                </c:pt>
                <c:pt idx="2">
                  <c:v>8.5127944693887941E-3</c:v>
                </c:pt>
                <c:pt idx="3">
                  <c:v>4.7354093844239964E-3</c:v>
                </c:pt>
                <c:pt idx="4">
                  <c:v>-3.5868183480373766E-3</c:v>
                </c:pt>
                <c:pt idx="5">
                  <c:v>-4.1069338110144181E-3</c:v>
                </c:pt>
                <c:pt idx="6">
                  <c:v>-5.2806446091353647E-4</c:v>
                </c:pt>
                <c:pt idx="7">
                  <c:v>-8.4894317888499591E-4</c:v>
                </c:pt>
                <c:pt idx="8">
                  <c:v>1.5865611049452051E-4</c:v>
                </c:pt>
                <c:pt idx="9">
                  <c:v>6.0455641933790329E-4</c:v>
                </c:pt>
                <c:pt idx="10">
                  <c:v>2.922002943458681E-4</c:v>
                </c:pt>
                <c:pt idx="11">
                  <c:v>4.8390213863224574E-4</c:v>
                </c:pt>
                <c:pt idx="12">
                  <c:v>7.2945762220014186E-4</c:v>
                </c:pt>
                <c:pt idx="13">
                  <c:v>4.8037466715597548E-4</c:v>
                </c:pt>
                <c:pt idx="14">
                  <c:v>3.2064118403713881E-4</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Calc.'!$K$3:$K$97</c:f>
              <c:numCache>
                <c:formatCode>0.0000</c:formatCode>
                <c:ptCount val="95"/>
                <c:pt idx="1">
                  <c:v>4.0979128707748252E-2</c:v>
                </c:pt>
                <c:pt idx="2">
                  <c:v>0.10944412662374273</c:v>
                </c:pt>
                <c:pt idx="3">
                  <c:v>0.10183961855854926</c:v>
                </c:pt>
                <c:pt idx="4">
                  <c:v>7.9229038056036358E-2</c:v>
                </c:pt>
                <c:pt idx="5">
                  <c:v>6.6036572777094044E-2</c:v>
                </c:pt>
                <c:pt idx="6">
                  <c:v>4.9899925349047344E-2</c:v>
                </c:pt>
                <c:pt idx="7">
                  <c:v>4.0591282479987778E-2</c:v>
                </c:pt>
                <c:pt idx="8">
                  <c:v>3.6523069295356467E-2</c:v>
                </c:pt>
                <c:pt idx="9">
                  <c:v>3.4031186971645651E-2</c:v>
                </c:pt>
                <c:pt idx="10">
                  <c:v>3.6115258863786089E-2</c:v>
                </c:pt>
                <c:pt idx="11">
                  <c:v>3.7909932102069825E-2</c:v>
                </c:pt>
                <c:pt idx="12">
                  <c:v>4.4297629416349911E-2</c:v>
                </c:pt>
                <c:pt idx="13">
                  <c:v>4.9252557578227649E-2</c:v>
                </c:pt>
                <c:pt idx="14">
                  <c:v>5.5565061907294058E-2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Calc.'!$Q$3:$Q$97</c:f>
              <c:numCache>
                <c:formatCode>0.0000</c:formatCode>
                <c:ptCount val="95"/>
                <c:pt idx="1">
                  <c:v>1.6113994448061195E-2</c:v>
                </c:pt>
                <c:pt idx="2">
                  <c:v>8.3067473273430462E-2</c:v>
                </c:pt>
                <c:pt idx="3">
                  <c:v>6.447816367453886E-2</c:v>
                </c:pt>
                <c:pt idx="4">
                  <c:v>3.6459594382270859E-2</c:v>
                </c:pt>
                <c:pt idx="5">
                  <c:v>2.0561896874776223E-2</c:v>
                </c:pt>
                <c:pt idx="6">
                  <c:v>7.2171226478049862E-3</c:v>
                </c:pt>
                <c:pt idx="7">
                  <c:v>4.872342888806082E-4</c:v>
                </c:pt>
                <c:pt idx="8">
                  <c:v>-3.3879665944314065E-3</c:v>
                </c:pt>
                <c:pt idx="9">
                  <c:v>-5.4346547775025603E-3</c:v>
                </c:pt>
                <c:pt idx="10">
                  <c:v>-6.8355867380543592E-3</c:v>
                </c:pt>
                <c:pt idx="11">
                  <c:v>-6.1209030930378036E-3</c:v>
                </c:pt>
                <c:pt idx="12">
                  <c:v>-3.5160782177537792E-3</c:v>
                </c:pt>
                <c:pt idx="13">
                  <c:v>3.8379280228994965E-3</c:v>
                </c:pt>
                <c:pt idx="14">
                  <c:v>1.7781059056384815E-2</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Calc.'!$BB$3:$BB$94</c:f>
              <c:numCache>
                <c:formatCode>0.0000</c:formatCode>
                <c:ptCount val="92"/>
                <c:pt idx="1">
                  <c:v>0</c:v>
                </c:pt>
                <c:pt idx="2">
                  <c:v>-1.9086114325604003E-2</c:v>
                </c:pt>
                <c:pt idx="3">
                  <c:v>-7.1663837945646095E-4</c:v>
                </c:pt>
                <c:pt idx="4">
                  <c:v>-5.36221188254712E-3</c:v>
                </c:pt>
                <c:pt idx="5">
                  <c:v>-6.4126527410491739E-3</c:v>
                </c:pt>
                <c:pt idx="6">
                  <c:v>-4.1162632593211455E-3</c:v>
                </c:pt>
                <c:pt idx="7">
                  <c:v>-4.9377992892371946E-3</c:v>
                </c:pt>
                <c:pt idx="8">
                  <c:v>-5.4122219632204557E-3</c:v>
                </c:pt>
                <c:pt idx="9">
                  <c:v>-3.647308923095127E-3</c:v>
                </c:pt>
                <c:pt idx="10">
                  <c:v>-1.7617164919264152E-3</c:v>
                </c:pt>
                <c:pt idx="11">
                  <c:v>4.0815923462002458E-3</c:v>
                </c:pt>
                <c:pt idx="12">
                  <c:v>6.0063160756880785E-3</c:v>
                </c:pt>
                <c:pt idx="13">
                  <c:v>4.4512866757422966E-4</c:v>
                </c:pt>
                <c:pt idx="14">
                  <c:v>7.3535095487783746E-4</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Calc.'!$BK$3:$BK$94</c:f>
              <c:numCache>
                <c:formatCode>0.0000</c:formatCode>
                <c:ptCount val="92"/>
                <c:pt idx="1">
                  <c:v>-2.1597300705228698E-2</c:v>
                </c:pt>
                <c:pt idx="2">
                  <c:v>-2.6082485234828364E-2</c:v>
                </c:pt>
                <c:pt idx="3">
                  <c:v>-1.9770521458335247E-2</c:v>
                </c:pt>
                <c:pt idx="4">
                  <c:v>-1.9719951354295509E-2</c:v>
                </c:pt>
                <c:pt idx="5">
                  <c:v>-1.7746245062311997E-2</c:v>
                </c:pt>
                <c:pt idx="6">
                  <c:v>-1.326539343029505E-2</c:v>
                </c:pt>
                <c:pt idx="7">
                  <c:v>-9.4734908084341731E-3</c:v>
                </c:pt>
                <c:pt idx="8">
                  <c:v>-5.5325578544343675E-3</c:v>
                </c:pt>
                <c:pt idx="9">
                  <c:v>5.3922877725607436E-3</c:v>
                </c:pt>
                <c:pt idx="10">
                  <c:v>1.2350433694079718E-3</c:v>
                </c:pt>
                <c:pt idx="11">
                  <c:v>-9.1321763847026817E-3</c:v>
                </c:pt>
                <c:pt idx="12">
                  <c:v>-1.0684549713888807E-3</c:v>
                </c:pt>
                <c:pt idx="13">
                  <c:v>-2.8170732681981575E-3</c:v>
                </c:pt>
                <c:pt idx="14">
                  <c:v>-2.1679885755613794E-3</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Calc.'!$AV$3:$AV$94</c:f>
              <c:numCache>
                <c:formatCode>0.0000</c:formatCode>
                <c:ptCount val="92"/>
                <c:pt idx="1">
                  <c:v>-1.0439421056610038E-3</c:v>
                </c:pt>
                <c:pt idx="2">
                  <c:v>3.2048593450639416E-4</c:v>
                </c:pt>
                <c:pt idx="3">
                  <c:v>-1.2514648974732382E-3</c:v>
                </c:pt>
                <c:pt idx="4">
                  <c:v>-3.1105125959230732E-3</c:v>
                </c:pt>
                <c:pt idx="5">
                  <c:v>-5.4901592347746577E-3</c:v>
                </c:pt>
                <c:pt idx="6">
                  <c:v>-5.7660358205680251E-3</c:v>
                </c:pt>
                <c:pt idx="7">
                  <c:v>-7.3379943847124516E-3</c:v>
                </c:pt>
                <c:pt idx="8">
                  <c:v>-7.9860271945851932E-3</c:v>
                </c:pt>
                <c:pt idx="9">
                  <c:v>-4.5302069063519624E-3</c:v>
                </c:pt>
                <c:pt idx="10">
                  <c:v>-9.7877664321289776E-5</c:v>
                </c:pt>
                <c:pt idx="11">
                  <c:v>4.3175961769158369E-3</c:v>
                </c:pt>
                <c:pt idx="12">
                  <c:v>3.6501588451374844E-3</c:v>
                </c:pt>
                <c:pt idx="13">
                  <c:v>3.3114746282443125E-3</c:v>
                </c:pt>
                <c:pt idx="14">
                  <c:v>1.2941568481726065E-3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Calc.'!$L$3:$L$97</c:f>
              <c:numCache>
                <c:formatCode>0.0000</c:formatCode>
                <c:ptCount val="95"/>
                <c:pt idx="1">
                  <c:v>-2.1788301503209831E-2</c:v>
                </c:pt>
                <c:pt idx="2">
                  <c:v>-7.4697979419109453E-3</c:v>
                </c:pt>
                <c:pt idx="3">
                  <c:v>-2.7196515941778536E-3</c:v>
                </c:pt>
                <c:pt idx="4">
                  <c:v>-3.8903542654517547E-3</c:v>
                </c:pt>
                <c:pt idx="5">
                  <c:v>-5.6348922878439274E-3</c:v>
                </c:pt>
                <c:pt idx="6">
                  <c:v>-6.1506280205075731E-3</c:v>
                </c:pt>
                <c:pt idx="7">
                  <c:v>-5.4383264897684561E-3</c:v>
                </c:pt>
                <c:pt idx="8">
                  <c:v>-4.0351184838348046E-3</c:v>
                </c:pt>
                <c:pt idx="9">
                  <c:v>-1.9577392315362927E-3</c:v>
                </c:pt>
                <c:pt idx="10">
                  <c:v>6.935851052849209E-4</c:v>
                </c:pt>
                <c:pt idx="11">
                  <c:v>3.3639362758156456E-3</c:v>
                </c:pt>
                <c:pt idx="12">
                  <c:v>5.3290088709318836E-3</c:v>
                </c:pt>
                <c:pt idx="13">
                  <c:v>2.9734576302321947E-3</c:v>
                </c:pt>
                <c:pt idx="14">
                  <c:v>-9.1248312900920111E-3</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Calc.'!$U$3:$U$97</c:f>
              <c:numCache>
                <c:formatCode>0.0000</c:formatCode>
                <c:ptCount val="95"/>
                <c:pt idx="1">
                  <c:v>-0.1392914128459713</c:v>
                </c:pt>
                <c:pt idx="2">
                  <c:v>-7.893539044450644E-2</c:v>
                </c:pt>
                <c:pt idx="3">
                  <c:v>-4.7189136835614473E-2</c:v>
                </c:pt>
                <c:pt idx="4">
                  <c:v>-2.7056685467892149E-2</c:v>
                </c:pt>
                <c:pt idx="5">
                  <c:v>-1.8612301461638354E-2</c:v>
                </c:pt>
                <c:pt idx="6">
                  <c:v>-1.1556201284119019E-2</c:v>
                </c:pt>
                <c:pt idx="7">
                  <c:v>-7.9923256177509613E-3</c:v>
                </c:pt>
                <c:pt idx="8">
                  <c:v>-6.1488955749735893E-3</c:v>
                </c:pt>
                <c:pt idx="9">
                  <c:v>-4.9266807216725821E-3</c:v>
                </c:pt>
                <c:pt idx="10">
                  <c:v>-4.4460814639508649E-3</c:v>
                </c:pt>
                <c:pt idx="11">
                  <c:v>-3.9672751456954567E-3</c:v>
                </c:pt>
                <c:pt idx="12">
                  <c:v>-3.8955995950154944E-3</c:v>
                </c:pt>
                <c:pt idx="13">
                  <c:v>-3.5229542992114417E-3</c:v>
                </c:pt>
                <c:pt idx="14">
                  <c:v>-3.0788279076996534E-3</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Calc.'!$F$3:$F$101</c:f>
              <c:numCache>
                <c:formatCode>0.0000</c:formatCode>
                <c:ptCount val="99"/>
                <c:pt idx="1">
                  <c:v>9.8495624353183611E-2</c:v>
                </c:pt>
                <c:pt idx="2">
                  <c:v>-7.8687591101249867E-3</c:v>
                </c:pt>
                <c:pt idx="3">
                  <c:v>-2.5597997605620416E-2</c:v>
                </c:pt>
                <c:pt idx="4">
                  <c:v>-2.3238437545949595E-2</c:v>
                </c:pt>
                <c:pt idx="5">
                  <c:v>-1.8925970705394066E-2</c:v>
                </c:pt>
                <c:pt idx="6">
                  <c:v>-1.2674397591816541E-2</c:v>
                </c:pt>
                <c:pt idx="7">
                  <c:v>-8.4957279563395785E-3</c:v>
                </c:pt>
                <c:pt idx="8">
                  <c:v>-5.624503712637602E-3</c:v>
                </c:pt>
                <c:pt idx="9">
                  <c:v>-3.1661760472056137E-3</c:v>
                </c:pt>
                <c:pt idx="10">
                  <c:v>-8.4871495735689556E-4</c:v>
                </c:pt>
                <c:pt idx="11">
                  <c:v>1.7606608390506489E-3</c:v>
                </c:pt>
                <c:pt idx="12">
                  <c:v>5.2358363026922781E-3</c:v>
                </c:pt>
                <c:pt idx="13">
                  <c:v>9.6624218897375311E-3</c:v>
                </c:pt>
                <c:pt idx="14">
                  <c:v>1.553193621611932E-2</c:v>
                </c:pt>
                <c:pt idx="16" formatCode="General">
                  <c:v>0</c:v>
                </c:pt>
                <c:pt idx="17" formatCode="General">
                  <c:v>6.8210324291244198E-2</c:v>
                </c:pt>
                <c:pt idx="18" formatCode="General">
                  <c:v>9.5480416362657642E-3</c:v>
                </c:pt>
                <c:pt idx="19" formatCode="General">
                  <c:v>-3.5288505103937384E-4</c:v>
                </c:pt>
                <c:pt idx="20" formatCode="General">
                  <c:v>9.976109249474369E-4</c:v>
                </c:pt>
                <c:pt idx="21" formatCode="General">
                  <c:v>2.9977965914798912E-3</c:v>
                </c:pt>
                <c:pt idx="22" formatCode="General">
                  <c:v>4.0465603951615999E-3</c:v>
                </c:pt>
                <c:pt idx="23" formatCode="General">
                  <c:v>4.3137949991245341E-3</c:v>
                </c:pt>
                <c:pt idx="24" formatCode="General">
                  <c:v>4.2431568526381368E-3</c:v>
                </c:pt>
                <c:pt idx="25" formatCode="General">
                  <c:v>3.967046310082694E-3</c:v>
                </c:pt>
                <c:pt idx="26" formatCode="General">
                  <c:v>3.6323570338097954E-3</c:v>
                </c:pt>
                <c:pt idx="27" formatCode="General">
                  <c:v>2.9216592443821444E-3</c:v>
                </c:pt>
                <c:pt idx="28" formatCode="General">
                  <c:v>1.6025433594633494E-3</c:v>
                </c:pt>
                <c:pt idx="29" formatCode="General">
                  <c:v>-8.4931508461067926E-4</c:v>
                </c:pt>
                <c:pt idx="30" formatCode="General">
                  <c:v>-5.0098020991669661E-3</c:v>
                </c:pt>
                <c:pt idx="31" formatCode="General">
                  <c:v>5.8660560658678447E-3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Calc.'!$AB$3:$AB$97</c:f>
              <c:numCache>
                <c:formatCode>0.0000</c:formatCode>
                <c:ptCount val="95"/>
                <c:pt idx="1">
                  <c:v>-7.402291767897283E-2</c:v>
                </c:pt>
                <c:pt idx="2">
                  <c:v>-4.7883493399010192E-2</c:v>
                </c:pt>
                <c:pt idx="3">
                  <c:v>-2.9121638816756668E-2</c:v>
                </c:pt>
                <c:pt idx="4">
                  <c:v>-1.5843476788115672E-2</c:v>
                </c:pt>
                <c:pt idx="5">
                  <c:v>-9.823283195317889E-3</c:v>
                </c:pt>
                <c:pt idx="6">
                  <c:v>-4.8189789901655379E-3</c:v>
                </c:pt>
                <c:pt idx="7">
                  <c:v>-2.1562191130005889E-3</c:v>
                </c:pt>
                <c:pt idx="8">
                  <c:v>-4.0768798746151116E-4</c:v>
                </c:pt>
                <c:pt idx="9">
                  <c:v>9.7414074901811323E-4</c:v>
                </c:pt>
                <c:pt idx="10">
                  <c:v>2.5174211832617917E-3</c:v>
                </c:pt>
                <c:pt idx="11">
                  <c:v>4.1053377486536483E-3</c:v>
                </c:pt>
                <c:pt idx="12">
                  <c:v>6.4696157105298222E-3</c:v>
                </c:pt>
                <c:pt idx="13">
                  <c:v>9.1437807243482157E-3</c:v>
                </c:pt>
                <c:pt idx="14">
                  <c:v>1.2602590746952901E-2</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Calc.'!$P$3:$P$97</c:f>
              <c:numCache>
                <c:formatCode>0.0000</c:formatCode>
                <c:ptCount val="95"/>
                <c:pt idx="1">
                  <c:v>-2.8373910678298832E-2</c:v>
                </c:pt>
                <c:pt idx="2">
                  <c:v>-1.3881564768262109E-2</c:v>
                </c:pt>
                <c:pt idx="3">
                  <c:v>-7.114514006230495E-3</c:v>
                </c:pt>
                <c:pt idx="4">
                  <c:v>-3.2566650942361256E-3</c:v>
                </c:pt>
                <c:pt idx="5">
                  <c:v>-1.7081573493948744E-3</c:v>
                </c:pt>
                <c:pt idx="6">
                  <c:v>-5.9271271556553132E-4</c:v>
                </c:pt>
                <c:pt idx="7">
                  <c:v>-5.1790356899000314E-5</c:v>
                </c:pt>
                <c:pt idx="8">
                  <c:v>3.0085902937307949E-4</c:v>
                </c:pt>
                <c:pt idx="9">
                  <c:v>5.7004611917727671E-4</c:v>
                </c:pt>
                <c:pt idx="10">
                  <c:v>9.0819877605983828E-4</c:v>
                </c:pt>
                <c:pt idx="11">
                  <c:v>1.2418605046917352E-3</c:v>
                </c:pt>
                <c:pt idx="12">
                  <c:v>1.7722528723368579E-3</c:v>
                </c:pt>
                <c:pt idx="13">
                  <c:v>2.3370017983361524E-3</c:v>
                </c:pt>
                <c:pt idx="14">
                  <c:v>3.0586280460886965E-3</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Calc.'!$R$3:$R$97</c:f>
              <c:numCache>
                <c:formatCode>0.0000</c:formatCode>
                <c:ptCount val="95"/>
                <c:pt idx="1">
                  <c:v>-3.7002599268038464E-2</c:v>
                </c:pt>
                <c:pt idx="2">
                  <c:v>-1.1808240335662988E-2</c:v>
                </c:pt>
                <c:pt idx="3">
                  <c:v>-3.0817097597934323E-3</c:v>
                </c:pt>
                <c:pt idx="4">
                  <c:v>5.7085096647091342E-4</c:v>
                </c:pt>
                <c:pt idx="5">
                  <c:v>1.719430873729996E-3</c:v>
                </c:pt>
                <c:pt idx="6">
                  <c:v>2.115462882837398E-3</c:v>
                </c:pt>
                <c:pt idx="7">
                  <c:v>2.1954150057466285E-3</c:v>
                </c:pt>
                <c:pt idx="8">
                  <c:v>2.3389817829336545E-3</c:v>
                </c:pt>
                <c:pt idx="9">
                  <c:v>2.4688000210272834E-3</c:v>
                </c:pt>
                <c:pt idx="10">
                  <c:v>2.9109187011895836E-3</c:v>
                </c:pt>
                <c:pt idx="11">
                  <c:v>3.3231443486948296E-3</c:v>
                </c:pt>
                <c:pt idx="12">
                  <c:v>4.1728859651056468E-3</c:v>
                </c:pt>
                <c:pt idx="13">
                  <c:v>4.96286626367723E-3</c:v>
                </c:pt>
                <c:pt idx="14">
                  <c:v>5.9638582476273308E-3</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Calc.'!$S$3:$S$97</c:f>
              <c:numCache>
                <c:formatCode>0.0000</c:formatCode>
                <c:ptCount val="95"/>
                <c:pt idx="1">
                  <c:v>-3.092051520107186E-2</c:v>
                </c:pt>
                <c:pt idx="2">
                  <c:v>-1.9268282505815224E-2</c:v>
                </c:pt>
                <c:pt idx="3">
                  <c:v>-1.1168630200276915E-2</c:v>
                </c:pt>
                <c:pt idx="4">
                  <c:v>-5.58778280513114E-3</c:v>
                </c:pt>
                <c:pt idx="5">
                  <c:v>-3.0660991397779237E-3</c:v>
                </c:pt>
                <c:pt idx="6">
                  <c:v>-1.0600018958451178E-3</c:v>
                </c:pt>
                <c:pt idx="7">
                  <c:v>6.6887397350814649E-6</c:v>
                </c:pt>
                <c:pt idx="8">
                  <c:v>7.7193130453476005E-4</c:v>
                </c:pt>
                <c:pt idx="9">
                  <c:v>1.4031652078656557E-3</c:v>
                </c:pt>
                <c:pt idx="10">
                  <c:v>2.2443424793877533E-3</c:v>
                </c:pt>
                <c:pt idx="11">
                  <c:v>3.1048576192300166E-3</c:v>
                </c:pt>
                <c:pt idx="12">
                  <c:v>4.488009689259902E-3</c:v>
                </c:pt>
                <c:pt idx="13">
                  <c:v>5.9962478155001263E-3</c:v>
                </c:pt>
                <c:pt idx="14">
                  <c:v>7.9476828534299597E-3</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Calc.'!$T$3:$T$97</c:f>
              <c:numCache>
                <c:formatCode>0.0000</c:formatCode>
                <c:ptCount val="95"/>
                <c:pt idx="1">
                  <c:v>4.7293295876413479E-3</c:v>
                </c:pt>
                <c:pt idx="2">
                  <c:v>6.1957086790605338E-3</c:v>
                </c:pt>
                <c:pt idx="3">
                  <c:v>4.7999847190793735E-3</c:v>
                </c:pt>
                <c:pt idx="4">
                  <c:v>3.1595062435130724E-3</c:v>
                </c:pt>
                <c:pt idx="5">
                  <c:v>2.2824193900395063E-3</c:v>
                </c:pt>
                <c:pt idx="6">
                  <c:v>1.4141295036574303E-3</c:v>
                </c:pt>
                <c:pt idx="7">
                  <c:v>9.1762420588048467E-4</c:v>
                </c:pt>
                <c:pt idx="8">
                  <c:v>6.095696423920713E-4</c:v>
                </c:pt>
                <c:pt idx="9">
                  <c:v>3.6795662341660427E-4</c:v>
                </c:pt>
                <c:pt idx="10">
                  <c:v>1.6384939639597104E-4</c:v>
                </c:pt>
                <c:pt idx="11">
                  <c:v>-5.6972534533401634E-5</c:v>
                </c:pt>
                <c:pt idx="12">
                  <c:v>-3.3296714914703287E-4</c:v>
                </c:pt>
                <c:pt idx="13">
                  <c:v>-6.850869926210934E-4</c:v>
                </c:pt>
                <c:pt idx="14">
                  <c:v>-1.1460787846034968E-3</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Calc.'!$X$3:$X$97</c:f>
              <c:numCache>
                <c:formatCode>0.0000</c:formatCode>
                <c:ptCount val="95"/>
                <c:pt idx="1">
                  <c:v>6.3077544630334131E-2</c:v>
                </c:pt>
                <c:pt idx="2">
                  <c:v>4.5786259755064229E-2</c:v>
                </c:pt>
                <c:pt idx="3">
                  <c:v>3.0227070960024839E-2</c:v>
                </c:pt>
                <c:pt idx="4">
                  <c:v>1.8181340591535422E-2</c:v>
                </c:pt>
                <c:pt idx="5">
                  <c:v>1.2562307379522264E-2</c:v>
                </c:pt>
                <c:pt idx="6">
                  <c:v>7.5321246441353755E-3</c:v>
                </c:pt>
                <c:pt idx="7">
                  <c:v>4.8183903206392145E-3</c:v>
                </c:pt>
                <c:pt idx="8">
                  <c:v>3.2105166560790666E-3</c:v>
                </c:pt>
                <c:pt idx="9">
                  <c:v>2.0053507903606922E-3</c:v>
                </c:pt>
                <c:pt idx="10">
                  <c:v>1.0541022724398245E-3</c:v>
                </c:pt>
                <c:pt idx="11">
                  <c:v>5.2245527733571292E-5</c:v>
                </c:pt>
                <c:pt idx="12">
                  <c:v>-1.1403545433736216E-3</c:v>
                </c:pt>
                <c:pt idx="13">
                  <c:v>-2.6653367958112129E-3</c:v>
                </c:pt>
                <c:pt idx="14">
                  <c:v>-4.6419057504626686E-3</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Calc.'!$AA$3:$AA$97</c:f>
              <c:numCache>
                <c:formatCode>0.0000</c:formatCode>
                <c:ptCount val="95"/>
                <c:pt idx="1">
                  <c:v>-1.1513107126300331E-3</c:v>
                </c:pt>
                <c:pt idx="2">
                  <c:v>7.797729110753682E-3</c:v>
                </c:pt>
                <c:pt idx="3">
                  <c:v>7.4456503392083765E-3</c:v>
                </c:pt>
                <c:pt idx="4">
                  <c:v>5.4183675273043004E-3</c:v>
                </c:pt>
                <c:pt idx="5">
                  <c:v>4.1282927205065602E-3</c:v>
                </c:pt>
                <c:pt idx="6">
                  <c:v>2.6967480827537788E-3</c:v>
                </c:pt>
                <c:pt idx="7">
                  <c:v>1.8385386189081598E-3</c:v>
                </c:pt>
                <c:pt idx="8">
                  <c:v>1.3029036368780477E-3</c:v>
                </c:pt>
                <c:pt idx="9">
                  <c:v>8.7554999011124905E-4</c:v>
                </c:pt>
                <c:pt idx="10">
                  <c:v>5.35312721203211E-4</c:v>
                </c:pt>
                <c:pt idx="11">
                  <c:v>1.5664487270953715E-4</c:v>
                </c:pt>
                <c:pt idx="12">
                  <c:v>-2.9450793845180309E-4</c:v>
                </c:pt>
                <c:pt idx="13">
                  <c:v>-8.9731651658683548E-4</c:v>
                </c:pt>
                <c:pt idx="14">
                  <c:v>-1.6928053438647851E-3</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Calc.'!$N$3:$N$97</c:f>
              <c:numCache>
                <c:formatCode>0.0000</c:formatCode>
                <c:ptCount val="95"/>
                <c:pt idx="1">
                  <c:v>-8.9430046535007093E-2</c:v>
                </c:pt>
                <c:pt idx="2">
                  <c:v>-2.82486380780286E-2</c:v>
                </c:pt>
                <c:pt idx="3">
                  <c:v>-8.9851294244339477E-3</c:v>
                </c:pt>
                <c:pt idx="4">
                  <c:v>-1.5178732435344772E-3</c:v>
                </c:pt>
                <c:pt idx="5">
                  <c:v>4.9672622057870348E-4</c:v>
                </c:pt>
                <c:pt idx="6">
                  <c:v>1.1452350615696839E-3</c:v>
                </c:pt>
                <c:pt idx="7">
                  <c:v>1.1281147740047387E-3</c:v>
                </c:pt>
                <c:pt idx="8">
                  <c:v>9.8348781810847215E-4</c:v>
                </c:pt>
                <c:pt idx="9">
                  <c:v>7.562046974048072E-4</c:v>
                </c:pt>
                <c:pt idx="10">
                  <c:v>5.18333355276236E-4</c:v>
                </c:pt>
                <c:pt idx="11">
                  <c:v>1.8386966689654344E-4</c:v>
                </c:pt>
                <c:pt idx="12">
                  <c:v>-2.6399050308210844E-4</c:v>
                </c:pt>
                <c:pt idx="13">
                  <c:v>-9.1315464445094476E-4</c:v>
                </c:pt>
                <c:pt idx="14">
                  <c:v>-1.814984597250229E-3</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Calc.'!$I$3:$I$101</c:f>
              <c:numCache>
                <c:formatCode>0.0000</c:formatCode>
                <c:ptCount val="99"/>
                <c:pt idx="1">
                  <c:v>7.0182415339087187E-2</c:v>
                </c:pt>
                <c:pt idx="2">
                  <c:v>-1.4355056811020956E-3</c:v>
                </c:pt>
                <c:pt idx="3">
                  <c:v>-1.140001204610081E-2</c:v>
                </c:pt>
                <c:pt idx="4">
                  <c:v>-9.3529770842386336E-3</c:v>
                </c:pt>
                <c:pt idx="5">
                  <c:v>-6.6136363825725379E-3</c:v>
                </c:pt>
                <c:pt idx="6">
                  <c:v>-3.4734303654749901E-3</c:v>
                </c:pt>
                <c:pt idx="7">
                  <c:v>-1.6319023076364571E-3</c:v>
                </c:pt>
                <c:pt idx="8">
                  <c:v>-4.816587839801346E-4</c:v>
                </c:pt>
                <c:pt idx="9">
                  <c:v>2.6844958604214312E-4</c:v>
                </c:pt>
                <c:pt idx="10">
                  <c:v>8.1739620857980725E-4</c:v>
                </c:pt>
                <c:pt idx="11">
                  <c:v>1.0835911789715722E-3</c:v>
                </c:pt>
                <c:pt idx="12">
                  <c:v>1.1610614637019526E-3</c:v>
                </c:pt>
                <c:pt idx="13">
                  <c:v>7.1740331519524515E-4</c:v>
                </c:pt>
                <c:pt idx="14">
                  <c:v>-4.2644277684159146E-4</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Calc.'!$J$3:$J$100</c:f>
              <c:numCache>
                <c:formatCode>0.0000</c:formatCode>
                <c:ptCount val="98"/>
                <c:pt idx="1">
                  <c:v>2.109829597435187E-3</c:v>
                </c:pt>
                <c:pt idx="2">
                  <c:v>5.9541915396956347E-3</c:v>
                </c:pt>
                <c:pt idx="3">
                  <c:v>5.1141283981038614E-3</c:v>
                </c:pt>
                <c:pt idx="4">
                  <c:v>3.5644734912703446E-3</c:v>
                </c:pt>
                <c:pt idx="5">
                  <c:v>2.6655662870020791E-3</c:v>
                </c:pt>
                <c:pt idx="6">
                  <c:v>1.7178174996655298E-3</c:v>
                </c:pt>
                <c:pt idx="7">
                  <c:v>1.1626497339069623E-3</c:v>
                </c:pt>
                <c:pt idx="8">
                  <c:v>8.2106566803009831E-4</c:v>
                </c:pt>
                <c:pt idx="9">
                  <c:v>5.5237038544871239E-4</c:v>
                </c:pt>
                <c:pt idx="10">
                  <c:v>3.4181214358840461E-4</c:v>
                </c:pt>
                <c:pt idx="11">
                  <c:v>1.0947993039859767E-4</c:v>
                </c:pt>
                <c:pt idx="12">
                  <c:v>-1.641319141089816E-4</c:v>
                </c:pt>
                <c:pt idx="13">
                  <c:v>-5.2948193189598957E-4</c:v>
                </c:pt>
                <c:pt idx="14">
                  <c:v>-1.0102664216605911E-3</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Calc.'!$BR$3:$BR$94</c:f>
              <c:numCache>
                <c:formatCode>0.0000</c:formatCode>
                <c:ptCount val="92"/>
                <c:pt idx="1">
                  <c:v>-1.3204398062219411E-3</c:v>
                </c:pt>
                <c:pt idx="2">
                  <c:v>2.0868251506609207E-2</c:v>
                </c:pt>
                <c:pt idx="3">
                  <c:v>1.1084469901209249E-2</c:v>
                </c:pt>
                <c:pt idx="4">
                  <c:v>-2.3673541618405819E-2</c:v>
                </c:pt>
                <c:pt idx="5">
                  <c:v>-2.2439238022082527E-2</c:v>
                </c:pt>
                <c:pt idx="6">
                  <c:v>-5.4803427558280183E-3</c:v>
                </c:pt>
                <c:pt idx="7">
                  <c:v>-5.557897777595442E-3</c:v>
                </c:pt>
                <c:pt idx="8">
                  <c:v>7.2309936689349263E-4</c:v>
                </c:pt>
                <c:pt idx="9">
                  <c:v>3.3513527116436717E-3</c:v>
                </c:pt>
                <c:pt idx="10">
                  <c:v>1.7272290812815228E-3</c:v>
                </c:pt>
                <c:pt idx="11">
                  <c:v>2.7565040989177563E-3</c:v>
                </c:pt>
                <c:pt idx="12">
                  <c:v>3.6311844686507848E-3</c:v>
                </c:pt>
                <c:pt idx="13">
                  <c:v>2.358948035626844E-3</c:v>
                </c:pt>
                <c:pt idx="14">
                  <c:v>1.5992501119574862E-3</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Calc.'!$BF$3:$BF$94</c:f>
              <c:numCache>
                <c:formatCode>0.0000</c:formatCode>
                <c:ptCount val="92"/>
                <c:pt idx="1">
                  <c:v>2.8248485549429154E-3</c:v>
                </c:pt>
                <c:pt idx="2">
                  <c:v>2.1068328883801082E-2</c:v>
                </c:pt>
                <c:pt idx="3">
                  <c:v>1.0285348055883605E-2</c:v>
                </c:pt>
                <c:pt idx="4">
                  <c:v>-9.9150712905895395E-3</c:v>
                </c:pt>
                <c:pt idx="5">
                  <c:v>-1.1152274153847569E-2</c:v>
                </c:pt>
                <c:pt idx="6">
                  <c:v>-1.2865882414335578E-3</c:v>
                </c:pt>
                <c:pt idx="7">
                  <c:v>-2.0591918979413629E-3</c:v>
                </c:pt>
                <c:pt idx="8">
                  <c:v>1.0808942846462521E-3</c:v>
                </c:pt>
                <c:pt idx="9">
                  <c:v>2.2589567179288768E-3</c:v>
                </c:pt>
                <c:pt idx="10">
                  <c:v>8.168915164496512E-4</c:v>
                </c:pt>
                <c:pt idx="11">
                  <c:v>5.7379043431650216E-4</c:v>
                </c:pt>
                <c:pt idx="12">
                  <c:v>9.9416768090717115E-4</c:v>
                </c:pt>
                <c:pt idx="13">
                  <c:v>7.9586338562334682E-5</c:v>
                </c:pt>
                <c:pt idx="14">
                  <c:v>-6.2358083907438387E-6</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Calc.'!$BH$3:$BH$94</c:f>
              <c:numCache>
                <c:formatCode>0.0000</c:formatCode>
                <c:ptCount val="92"/>
                <c:pt idx="1">
                  <c:v>3.1819007036987179E-3</c:v>
                </c:pt>
                <c:pt idx="2">
                  <c:v>3.2206120435396904E-2</c:v>
                </c:pt>
                <c:pt idx="3">
                  <c:v>1.5914814231990759E-2</c:v>
                </c:pt>
                <c:pt idx="4">
                  <c:v>-9.8846434858932807E-3</c:v>
                </c:pt>
                <c:pt idx="5">
                  <c:v>-1.3019592144760582E-2</c:v>
                </c:pt>
                <c:pt idx="6">
                  <c:v>5.4600553399911026E-5</c:v>
                </c:pt>
                <c:pt idx="7">
                  <c:v>-1.2211742713984638E-3</c:v>
                </c:pt>
                <c:pt idx="8">
                  <c:v>2.6569504549945745E-3</c:v>
                </c:pt>
                <c:pt idx="9">
                  <c:v>3.7655055855583502E-3</c:v>
                </c:pt>
                <c:pt idx="10">
                  <c:v>1.6042256524807597E-3</c:v>
                </c:pt>
                <c:pt idx="11">
                  <c:v>2.2049587248557574E-3</c:v>
                </c:pt>
                <c:pt idx="12">
                  <c:v>2.3830689191396415E-3</c:v>
                </c:pt>
                <c:pt idx="13">
                  <c:v>1.1510022051063173E-3</c:v>
                </c:pt>
                <c:pt idx="14">
                  <c:v>5.3027041379117483E-4</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Calc.'!$BI$3:$BI$94</c:f>
              <c:numCache>
                <c:formatCode>0.0000</c:formatCode>
                <c:ptCount val="92"/>
                <c:pt idx="1">
                  <c:v>-8.2742481179658538E-3</c:v>
                </c:pt>
                <c:pt idx="2">
                  <c:v>2.0610685833255909E-2</c:v>
                </c:pt>
                <c:pt idx="3">
                  <c:v>1.1580322272981999E-2</c:v>
                </c:pt>
                <c:pt idx="4">
                  <c:v>-1.1506082346024229E-2</c:v>
                </c:pt>
                <c:pt idx="5">
                  <c:v>-1.3271735319969481E-2</c:v>
                </c:pt>
                <c:pt idx="6">
                  <c:v>-1.4004245246107465E-3</c:v>
                </c:pt>
                <c:pt idx="7">
                  <c:v>-2.205033985372497E-3</c:v>
                </c:pt>
                <c:pt idx="8">
                  <c:v>1.0745931333065414E-3</c:v>
                </c:pt>
                <c:pt idx="9">
                  <c:v>2.3945184065861133E-3</c:v>
                </c:pt>
                <c:pt idx="10">
                  <c:v>1.032344877587451E-3</c:v>
                </c:pt>
                <c:pt idx="11">
                  <c:v>2.0971955950192375E-3</c:v>
                </c:pt>
                <c:pt idx="12">
                  <c:v>2.8047887250309536E-3</c:v>
                </c:pt>
                <c:pt idx="13">
                  <c:v>1.8019581748744493E-3</c:v>
                </c:pt>
                <c:pt idx="14">
                  <c:v>1.0807103546260056E-3</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Calc.'!$BJ$3:$BJ$94</c:f>
              <c:numCache>
                <c:formatCode>0.0000</c:formatCode>
                <c:ptCount val="92"/>
                <c:pt idx="1">
                  <c:v>2.1586414968986071E-3</c:v>
                </c:pt>
                <c:pt idx="2">
                  <c:v>5.5460362564581211E-3</c:v>
                </c:pt>
                <c:pt idx="3">
                  <c:v>3.5823010596538695E-3</c:v>
                </c:pt>
                <c:pt idx="4">
                  <c:v>1.693950113503476E-3</c:v>
                </c:pt>
                <c:pt idx="5">
                  <c:v>-1.5272611857383673E-4</c:v>
                </c:pt>
                <c:pt idx="6">
                  <c:v>1.1922534653247485E-3</c:v>
                </c:pt>
                <c:pt idx="7">
                  <c:v>5.6939561763752619E-4</c:v>
                </c:pt>
                <c:pt idx="8">
                  <c:v>4.963383043019797E-4</c:v>
                </c:pt>
                <c:pt idx="9">
                  <c:v>5.3353313777578708E-4</c:v>
                </c:pt>
                <c:pt idx="10">
                  <c:v>0</c:v>
                </c:pt>
                <c:pt idx="11">
                  <c:v>0</c:v>
                </c:pt>
                <c:pt idx="12">
                  <c:v>-1.9083818631297371E-4</c:v>
                </c:pt>
                <c:pt idx="13">
                  <c:v>-3.4460042741250602E-4</c:v>
                </c:pt>
                <c:pt idx="14">
                  <c:v>-3.2043289995980335E-4</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Calc.'!$BN$3:$BN$94</c:f>
              <c:numCache>
                <c:formatCode>0.0000</c:formatCode>
                <c:ptCount val="92"/>
                <c:pt idx="1">
                  <c:v>1.8332668406086505E-2</c:v>
                </c:pt>
                <c:pt idx="2">
                  <c:v>4.0884137173281182E-2</c:v>
                </c:pt>
                <c:pt idx="3">
                  <c:v>2.2428274783841792E-2</c:v>
                </c:pt>
                <c:pt idx="4">
                  <c:v>1.0942813176784204E-2</c:v>
                </c:pt>
                <c:pt idx="5">
                  <c:v>2.1326245809434878E-3</c:v>
                </c:pt>
                <c:pt idx="6">
                  <c:v>5.5624493769372571E-3</c:v>
                </c:pt>
                <c:pt idx="7">
                  <c:v>3.5920605653111345E-3</c:v>
                </c:pt>
                <c:pt idx="8">
                  <c:v>1.603809015265205E-3</c:v>
                </c:pt>
                <c:pt idx="9">
                  <c:v>3.627993140531291E-3</c:v>
                </c:pt>
                <c:pt idx="10">
                  <c:v>-3.1037533491919128E-4</c:v>
                </c:pt>
                <c:pt idx="11">
                  <c:v>9.6731454453042315E-6</c:v>
                </c:pt>
                <c:pt idx="12">
                  <c:v>-5.2931816627183991E-4</c:v>
                </c:pt>
                <c:pt idx="13">
                  <c:v>-1.5209458160248982E-3</c:v>
                </c:pt>
                <c:pt idx="14">
                  <c:v>-7.203558100965326E-4</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Calc.'!$BQ$3:$BQ$94</c:f>
              <c:numCache>
                <c:formatCode>0.0000</c:formatCode>
                <c:ptCount val="92"/>
                <c:pt idx="1">
                  <c:v>-2.5472622807579793E-4</c:v>
                </c:pt>
                <c:pt idx="2">
                  <c:v>7.4952063609560653E-3</c:v>
                </c:pt>
                <c:pt idx="3">
                  <c:v>4.8038419113355805E-3</c:v>
                </c:pt>
                <c:pt idx="4">
                  <c:v>3.2406864174545549E-3</c:v>
                </c:pt>
                <c:pt idx="5">
                  <c:v>-7.0441425678141253E-4</c:v>
                </c:pt>
                <c:pt idx="6">
                  <c:v>2.1625227412119066E-3</c:v>
                </c:pt>
                <c:pt idx="7">
                  <c:v>1.0659544613691985E-3</c:v>
                </c:pt>
                <c:pt idx="8">
                  <c:v>1.0015659698512684E-3</c:v>
                </c:pt>
                <c:pt idx="9">
                  <c:v>1.0927371154866485E-3</c:v>
                </c:pt>
                <c:pt idx="10">
                  <c:v>1.5003117165168683E-4</c:v>
                </c:pt>
                <c:pt idx="11">
                  <c:v>1.7624399467348594E-4</c:v>
                </c:pt>
                <c:pt idx="12">
                  <c:v>-1.7089986833997693E-4</c:v>
                </c:pt>
                <c:pt idx="13">
                  <c:v>-5.2171357399173146E-4</c:v>
                </c:pt>
                <c:pt idx="14">
                  <c:v>-4.2323520832574348E-4</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Calc.'!$BD$3:$BD$94</c:f>
              <c:numCache>
                <c:formatCode>0.0000</c:formatCode>
                <c:ptCount val="92"/>
                <c:pt idx="1">
                  <c:v>-8.2688052498446265E-3</c:v>
                </c:pt>
                <c:pt idx="2">
                  <c:v>-6.3726002626850655E-3</c:v>
                </c:pt>
                <c:pt idx="3">
                  <c:v>-5.3187460605710031E-3</c:v>
                </c:pt>
                <c:pt idx="4">
                  <c:v>-6.5969066667324779E-3</c:v>
                </c:pt>
                <c:pt idx="5">
                  <c:v>-5.8510854098463945E-3</c:v>
                </c:pt>
                <c:pt idx="6">
                  <c:v>-1.0875070242539733E-3</c:v>
                </c:pt>
                <c:pt idx="7">
                  <c:v>-2.8604498629301113E-4</c:v>
                </c:pt>
                <c:pt idx="8">
                  <c:v>1.407575066138318E-3</c:v>
                </c:pt>
                <c:pt idx="9">
                  <c:v>1.8643288160769701E-3</c:v>
                </c:pt>
                <c:pt idx="10">
                  <c:v>2.5855818103164826E-4</c:v>
                </c:pt>
                <c:pt idx="11">
                  <c:v>8.1109103427665238E-4</c:v>
                </c:pt>
                <c:pt idx="12">
                  <c:v>-6.1156508434195958E-5</c:v>
                </c:pt>
                <c:pt idx="13">
                  <c:v>-1.0728775639985164E-3</c:v>
                </c:pt>
                <c:pt idx="14">
                  <c:v>-2.1247685076969951E-3</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Calc.'!$AY$3:$AY$98</c:f>
              <c:numCache>
                <c:formatCode>0.0000</c:formatCode>
                <c:ptCount val="96"/>
                <c:pt idx="1">
                  <c:v>-4.6373236393283477E-3</c:v>
                </c:pt>
                <c:pt idx="2">
                  <c:v>7.4282121260592403E-3</c:v>
                </c:pt>
                <c:pt idx="3">
                  <c:v>5.7392214211923077E-3</c:v>
                </c:pt>
                <c:pt idx="4">
                  <c:v>1.5469658690070891E-3</c:v>
                </c:pt>
                <c:pt idx="5">
                  <c:v>-4.0232876510249913E-3</c:v>
                </c:pt>
                <c:pt idx="6">
                  <c:v>-2.1532695377079534E-3</c:v>
                </c:pt>
                <c:pt idx="7">
                  <c:v>-3.4984196627097217E-3</c:v>
                </c:pt>
                <c:pt idx="8">
                  <c:v>-3.084135456862514E-3</c:v>
                </c:pt>
                <c:pt idx="9">
                  <c:v>1.4790534210987929E-3</c:v>
                </c:pt>
                <c:pt idx="10">
                  <c:v>2.0909645128322301E-3</c:v>
                </c:pt>
                <c:pt idx="11">
                  <c:v>-3.3490918766831664E-4</c:v>
                </c:pt>
                <c:pt idx="12">
                  <c:v>5.4516671198694177E-4</c:v>
                </c:pt>
                <c:pt idx="13">
                  <c:v>2.5335716306706523E-4</c:v>
                </c:pt>
                <c:pt idx="14">
                  <c:v>-2.7779842072218344E-5</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Calc.'!$AZ$3:$AZ$93</c:f>
              <c:numCache>
                <c:formatCode>0.0000</c:formatCode>
                <c:ptCount val="91"/>
                <c:pt idx="1">
                  <c:v>-8.113139221576058E-3</c:v>
                </c:pt>
                <c:pt idx="2">
                  <c:v>6.6899175509463407E-3</c:v>
                </c:pt>
                <c:pt idx="3">
                  <c:v>5.0038147126095032E-3</c:v>
                </c:pt>
                <c:pt idx="4">
                  <c:v>2.2681966663307589E-3</c:v>
                </c:pt>
                <c:pt idx="5">
                  <c:v>-1.7882688764528327E-4</c:v>
                </c:pt>
                <c:pt idx="6">
                  <c:v>1.3069160171452266E-3</c:v>
                </c:pt>
                <c:pt idx="7">
                  <c:v>4.8590345200878732E-4</c:v>
                </c:pt>
                <c:pt idx="8">
                  <c:v>5.2024850808105158E-4</c:v>
                </c:pt>
                <c:pt idx="9">
                  <c:v>5.6605690821995682E-4</c:v>
                </c:pt>
                <c:pt idx="10">
                  <c:v>3.2409231679719796E-4</c:v>
                </c:pt>
                <c:pt idx="11">
                  <c:v>1.6385863493816196E-4</c:v>
                </c:pt>
                <c:pt idx="12">
                  <c:v>-4.7338584439303335E-5</c:v>
                </c:pt>
                <c:pt idx="13">
                  <c:v>-3.1168353917514972E-4</c:v>
                </c:pt>
                <c:pt idx="14">
                  <c:v>-5.2931836484881303E-4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6" formatCode="General">
                  <c:v>0</c:v>
                </c:pt>
                <c:pt idx="17" formatCode="General">
                  <c:v>-7.6275798642896547E-2</c:v>
                </c:pt>
                <c:pt idx="18" formatCode="General">
                  <c:v>6.7525886130626642E-2</c:v>
                </c:pt>
                <c:pt idx="19" formatCode="General">
                  <c:v>7.3787039022381137E-2</c:v>
                </c:pt>
                <c:pt idx="20" formatCode="General">
                  <c:v>4.7908332507792757E-2</c:v>
                </c:pt>
                <c:pt idx="21" formatCode="General">
                  <c:v>2.7446987826710532E-2</c:v>
                </c:pt>
                <c:pt idx="22" formatCode="General">
                  <c:v>1.2622392982086726E-2</c:v>
                </c:pt>
                <c:pt idx="23" formatCode="General">
                  <c:v>3.3292085502942058E-3</c:v>
                </c:pt>
                <c:pt idx="24" formatCode="General">
                  <c:v>-1.7208527208989754E-3</c:v>
                </c:pt>
                <c:pt idx="25" formatCode="General">
                  <c:v>-4.6124712350458638E-3</c:v>
                </c:pt>
                <c:pt idx="26" formatCode="General">
                  <c:v>-6.3486445780171772E-3</c:v>
                </c:pt>
                <c:pt idx="27" formatCode="General">
                  <c:v>-6.7497745704583811E-3</c:v>
                </c:pt>
                <c:pt idx="28" formatCode="General">
                  <c:v>-5.258941973475104E-3</c:v>
                </c:pt>
                <c:pt idx="29" formatCode="General">
                  <c:v>-4.6880977643818836E-4</c:v>
                </c:pt>
                <c:pt idx="30" formatCode="General">
                  <c:v>9.8429248909746633E-3</c:v>
                </c:pt>
                <c:pt idx="31" formatCode="General">
                  <c:v>-1.1018417584221781E-2</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Calc.'!$AG$3:$AG$97</c:f>
              <c:numCache>
                <c:formatCode>0.0000</c:formatCode>
                <c:ptCount val="95"/>
                <c:pt idx="1">
                  <c:v>0.393224428049257</c:v>
                </c:pt>
                <c:pt idx="2">
                  <c:v>0.75899434566285684</c:v>
                </c:pt>
                <c:pt idx="3">
                  <c:v>0.63313437920497817</c:v>
                </c:pt>
                <c:pt idx="4">
                  <c:v>0.46017969265869496</c:v>
                </c:pt>
                <c:pt idx="5">
                  <c:v>0.31137135090554674</c:v>
                </c:pt>
                <c:pt idx="6">
                  <c:v>0.14463193275985073</c:v>
                </c:pt>
                <c:pt idx="7">
                  <c:v>1.2003421895349656E-2</c:v>
                </c:pt>
                <c:pt idx="8">
                  <c:v>-9.2762373475061458E-2</c:v>
                </c:pt>
                <c:pt idx="9">
                  <c:v>-0.15969630392353476</c:v>
                </c:pt>
                <c:pt idx="10">
                  <c:v>-0.1892714313314425</c:v>
                </c:pt>
                <c:pt idx="11">
                  <c:v>-0.16145908878332207</c:v>
                </c:pt>
                <c:pt idx="12">
                  <c:v>-7.937395892467379E-2</c:v>
                </c:pt>
                <c:pt idx="13">
                  <c:v>7.7923425941967175E-2</c:v>
                </c:pt>
                <c:pt idx="14">
                  <c:v>0.32000430569214727</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Calc.'!$F$3:$F$97</c:f>
              <c:numCache>
                <c:formatCode>0.0000</c:formatCode>
                <c:ptCount val="95"/>
                <c:pt idx="1">
                  <c:v>9.8495624353183611E-2</c:v>
                </c:pt>
                <c:pt idx="2">
                  <c:v>-7.8687591101249867E-3</c:v>
                </c:pt>
                <c:pt idx="3">
                  <c:v>-2.5597997605620416E-2</c:v>
                </c:pt>
                <c:pt idx="4">
                  <c:v>-2.3238437545949595E-2</c:v>
                </c:pt>
                <c:pt idx="5">
                  <c:v>-1.8925970705394066E-2</c:v>
                </c:pt>
                <c:pt idx="6">
                  <c:v>-1.2674397591816541E-2</c:v>
                </c:pt>
                <c:pt idx="7">
                  <c:v>-8.4957279563395785E-3</c:v>
                </c:pt>
                <c:pt idx="8">
                  <c:v>-5.624503712637602E-3</c:v>
                </c:pt>
                <c:pt idx="9">
                  <c:v>-3.1661760472056137E-3</c:v>
                </c:pt>
                <c:pt idx="10">
                  <c:v>-8.4871495735689556E-4</c:v>
                </c:pt>
                <c:pt idx="11">
                  <c:v>1.7606608390506489E-3</c:v>
                </c:pt>
                <c:pt idx="12">
                  <c:v>5.2358363026922781E-3</c:v>
                </c:pt>
                <c:pt idx="13">
                  <c:v>9.6624218897375311E-3</c:v>
                </c:pt>
                <c:pt idx="14">
                  <c:v>1.553193621611932E-2</c:v>
                </c:pt>
                <c:pt idx="16" formatCode="General">
                  <c:v>0</c:v>
                </c:pt>
                <c:pt idx="17" formatCode="General">
                  <c:v>6.8210324291244198E-2</c:v>
                </c:pt>
                <c:pt idx="18" formatCode="General">
                  <c:v>9.5480416362657642E-3</c:v>
                </c:pt>
                <c:pt idx="19" formatCode="General">
                  <c:v>-3.5288505103937384E-4</c:v>
                </c:pt>
                <c:pt idx="20" formatCode="General">
                  <c:v>9.976109249474369E-4</c:v>
                </c:pt>
                <c:pt idx="21" formatCode="General">
                  <c:v>2.9977965914798912E-3</c:v>
                </c:pt>
                <c:pt idx="22" formatCode="General">
                  <c:v>4.0465603951615999E-3</c:v>
                </c:pt>
                <c:pt idx="23" formatCode="General">
                  <c:v>4.3137949991245341E-3</c:v>
                </c:pt>
                <c:pt idx="24" formatCode="General">
                  <c:v>4.2431568526381368E-3</c:v>
                </c:pt>
                <c:pt idx="25" formatCode="General">
                  <c:v>3.967046310082694E-3</c:v>
                </c:pt>
                <c:pt idx="26" formatCode="General">
                  <c:v>3.6323570338097954E-3</c:v>
                </c:pt>
                <c:pt idx="27" formatCode="General">
                  <c:v>2.9216592443821444E-3</c:v>
                </c:pt>
                <c:pt idx="28" formatCode="General">
                  <c:v>1.6025433594633494E-3</c:v>
                </c:pt>
                <c:pt idx="29" formatCode="General">
                  <c:v>-8.4931508461067926E-4</c:v>
                </c:pt>
                <c:pt idx="30" formatCode="General">
                  <c:v>-5.0098020991669661E-3</c:v>
                </c:pt>
                <c:pt idx="31" formatCode="General">
                  <c:v>5.8660560658678447E-3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Calc.'!$O$3:$O$97</c:f>
              <c:numCache>
                <c:formatCode>0.0000</c:formatCode>
                <c:ptCount val="95"/>
                <c:pt idx="1">
                  <c:v>-1.8304527758454803E-2</c:v>
                </c:pt>
                <c:pt idx="2">
                  <c:v>-3.9208392085177558E-3</c:v>
                </c:pt>
                <c:pt idx="3">
                  <c:v>2.2712067380807719E-5</c:v>
                </c:pt>
                <c:pt idx="4">
                  <c:v>1.1647555349649226E-3</c:v>
                </c:pt>
                <c:pt idx="5">
                  <c:v>1.3314261979544132E-3</c:v>
                </c:pt>
                <c:pt idx="6">
                  <c:v>1.1554227359164143E-3</c:v>
                </c:pt>
                <c:pt idx="7">
                  <c:v>9.6996334708924689E-4</c:v>
                </c:pt>
                <c:pt idx="8">
                  <c:v>8.5463649164439499E-4</c:v>
                </c:pt>
                <c:pt idx="9">
                  <c:v>7.5138667686655233E-4</c:v>
                </c:pt>
                <c:pt idx="10">
                  <c:v>7.243922815979286E-4</c:v>
                </c:pt>
                <c:pt idx="11">
                  <c:v>6.7090079231028465E-4</c:v>
                </c:pt>
                <c:pt idx="12">
                  <c:v>6.6697774458563048E-4</c:v>
                </c:pt>
                <c:pt idx="13">
                  <c:v>5.917873141216165E-4</c:v>
                </c:pt>
                <c:pt idx="14">
                  <c:v>4.7925438508676627E-4</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Calc.'!$H$3:$H$97</c:f>
              <c:numCache>
                <c:formatCode>0.0000</c:formatCode>
                <c:ptCount val="95"/>
                <c:pt idx="1">
                  <c:v>3.3605251098454407E-2</c:v>
                </c:pt>
                <c:pt idx="2">
                  <c:v>1.4326743173083321E-3</c:v>
                </c:pt>
                <c:pt idx="3">
                  <c:v>-7.8041664401997429E-5</c:v>
                </c:pt>
                <c:pt idx="4">
                  <c:v>2.192933562696698E-3</c:v>
                </c:pt>
                <c:pt idx="5">
                  <c:v>3.7030804665030264E-3</c:v>
                </c:pt>
                <c:pt idx="6">
                  <c:v>4.3053082141014101E-3</c:v>
                </c:pt>
                <c:pt idx="7">
                  <c:v>4.2806759663201865E-3</c:v>
                </c:pt>
                <c:pt idx="8">
                  <c:v>4.126163794069348E-3</c:v>
                </c:pt>
                <c:pt idx="9">
                  <c:v>3.7189671648012765E-3</c:v>
                </c:pt>
                <c:pt idx="10">
                  <c:v>3.3720608448230905E-3</c:v>
                </c:pt>
                <c:pt idx="11">
                  <c:v>2.2929165592122111E-3</c:v>
                </c:pt>
                <c:pt idx="12">
                  <c:v>5.9009153747328371E-4</c:v>
                </c:pt>
                <c:pt idx="13">
                  <c:v>-2.6692039361311997E-3</c:v>
                </c:pt>
                <c:pt idx="14">
                  <c:v>-7.9007957299269179E-3</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Calc.'!$M$3:$M$97</c:f>
              <c:numCache>
                <c:formatCode>0.0000</c:formatCode>
                <c:ptCount val="95"/>
                <c:pt idx="1">
                  <c:v>-0.38333781517343507</c:v>
                </c:pt>
                <c:pt idx="2">
                  <c:v>-0.191712929183664</c:v>
                </c:pt>
                <c:pt idx="3">
                  <c:v>-0.10160692279135072</c:v>
                </c:pt>
                <c:pt idx="4">
                  <c:v>-4.9557787001092035E-2</c:v>
                </c:pt>
                <c:pt idx="5">
                  <c:v>-2.8607657498844776E-2</c:v>
                </c:pt>
                <c:pt idx="6">
                  <c:v>-1.3033708447694102E-2</c:v>
                </c:pt>
                <c:pt idx="7">
                  <c:v>-5.4491736343254141E-3</c:v>
                </c:pt>
                <c:pt idx="8">
                  <c:v>-8.3733967400339887E-4</c:v>
                </c:pt>
                <c:pt idx="9">
                  <c:v>2.5430596236326922E-3</c:v>
                </c:pt>
                <c:pt idx="10">
                  <c:v>6.1191617135623452E-3</c:v>
                </c:pt>
                <c:pt idx="11">
                  <c:v>9.6328750469324622E-3</c:v>
                </c:pt>
                <c:pt idx="12">
                  <c:v>1.4789556669808459E-2</c:v>
                </c:pt>
                <c:pt idx="13">
                  <c:v>2.0440164219838252E-2</c:v>
                </c:pt>
                <c:pt idx="14">
                  <c:v>2.7626848862007225E-2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Calc.'!$AV$3:$AV$94</c:f>
              <c:numCache>
                <c:formatCode>0.0000</c:formatCode>
                <c:ptCount val="92"/>
                <c:pt idx="1">
                  <c:v>-1.0439421056610038E-3</c:v>
                </c:pt>
                <c:pt idx="2">
                  <c:v>3.2048593450639416E-4</c:v>
                </c:pt>
                <c:pt idx="3">
                  <c:v>-1.2514648974732382E-3</c:v>
                </c:pt>
                <c:pt idx="4">
                  <c:v>-3.1105125959230732E-3</c:v>
                </c:pt>
                <c:pt idx="5">
                  <c:v>-5.4901592347746577E-3</c:v>
                </c:pt>
                <c:pt idx="6">
                  <c:v>-5.7660358205680251E-3</c:v>
                </c:pt>
                <c:pt idx="7">
                  <c:v>-7.3379943847124516E-3</c:v>
                </c:pt>
                <c:pt idx="8">
                  <c:v>-7.9860271945851932E-3</c:v>
                </c:pt>
                <c:pt idx="9">
                  <c:v>-4.5302069063519624E-3</c:v>
                </c:pt>
                <c:pt idx="10">
                  <c:v>-9.7877664321289776E-5</c:v>
                </c:pt>
                <c:pt idx="11">
                  <c:v>4.3175961769158369E-3</c:v>
                </c:pt>
                <c:pt idx="12">
                  <c:v>3.6501588451374844E-3</c:v>
                </c:pt>
                <c:pt idx="13">
                  <c:v>3.3114746282443125E-3</c:v>
                </c:pt>
                <c:pt idx="14">
                  <c:v>1.2941568481726065E-3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Calc.'!$BE$3:$BE$94</c:f>
              <c:numCache>
                <c:formatCode>0.0000</c:formatCode>
                <c:ptCount val="92"/>
                <c:pt idx="1">
                  <c:v>-4.859719230763735E-2</c:v>
                </c:pt>
                <c:pt idx="2">
                  <c:v>1.4034839547133856E-2</c:v>
                </c:pt>
                <c:pt idx="3">
                  <c:v>1.8315479916454883E-2</c:v>
                </c:pt>
                <c:pt idx="4">
                  <c:v>-8.9546441396814013E-3</c:v>
                </c:pt>
                <c:pt idx="5">
                  <c:v>-5.6542140444228207E-3</c:v>
                </c:pt>
                <c:pt idx="6">
                  <c:v>2.335223827699018E-4</c:v>
                </c:pt>
                <c:pt idx="7">
                  <c:v>2.4692270382677601E-3</c:v>
                </c:pt>
                <c:pt idx="8">
                  <c:v>8.1501989908489393E-4</c:v>
                </c:pt>
                <c:pt idx="9">
                  <c:v>6.3135618562396327E-4</c:v>
                </c:pt>
                <c:pt idx="10">
                  <c:v>1.6828775725175803E-4</c:v>
                </c:pt>
                <c:pt idx="11">
                  <c:v>2.9701928958270231E-4</c:v>
                </c:pt>
                <c:pt idx="12">
                  <c:v>4.2233142523291671E-4</c:v>
                </c:pt>
                <c:pt idx="13">
                  <c:v>2.0644932626779668E-4</c:v>
                </c:pt>
                <c:pt idx="14">
                  <c:v>1.3828277175878081E-4</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Calc.'!$AX$3:$AX$94</c:f>
              <c:numCache>
                <c:formatCode>0.0000</c:formatCode>
                <c:ptCount val="92"/>
                <c:pt idx="1">
                  <c:v>5.6777823093917205E-2</c:v>
                </c:pt>
                <c:pt idx="2">
                  <c:v>7.0544024018849738E-2</c:v>
                </c:pt>
                <c:pt idx="3">
                  <c:v>2.860686137264018E-2</c:v>
                </c:pt>
                <c:pt idx="4">
                  <c:v>-2.3645190333988923E-2</c:v>
                </c:pt>
                <c:pt idx="5">
                  <c:v>-2.3956488242273043E-2</c:v>
                </c:pt>
                <c:pt idx="6">
                  <c:v>6.8258821381788799E-3</c:v>
                </c:pt>
                <c:pt idx="7">
                  <c:v>4.1794664074798222E-3</c:v>
                </c:pt>
                <c:pt idx="8">
                  <c:v>1.5368519908436386E-2</c:v>
                </c:pt>
                <c:pt idx="9">
                  <c:v>4.6252189294122316E-3</c:v>
                </c:pt>
                <c:pt idx="10">
                  <c:v>-2.706709030557668E-5</c:v>
                </c:pt>
                <c:pt idx="11">
                  <c:v>-1.265921749180682E-5</c:v>
                </c:pt>
                <c:pt idx="12">
                  <c:v>8.2862212903544675E-6</c:v>
                </c:pt>
                <c:pt idx="13">
                  <c:v>3.6765724724407076E-6</c:v>
                </c:pt>
                <c:pt idx="14">
                  <c:v>9.361284852842205E-6</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Calc.'!$BC$3:$BC$94</c:f>
              <c:numCache>
                <c:formatCode>0.0000</c:formatCode>
                <c:ptCount val="92"/>
                <c:pt idx="1">
                  <c:v>-4.5252005560299947E-3</c:v>
                </c:pt>
                <c:pt idx="2">
                  <c:v>1.2422451272117238E-2</c:v>
                </c:pt>
                <c:pt idx="3">
                  <c:v>6.2444275880636224E-3</c:v>
                </c:pt>
                <c:pt idx="4">
                  <c:v>-7.9522253661194059E-2</c:v>
                </c:pt>
                <c:pt idx="5">
                  <c:v>-5.8323694975689865E-2</c:v>
                </c:pt>
                <c:pt idx="6">
                  <c:v>-2.0323141274482915E-2</c:v>
                </c:pt>
                <c:pt idx="7">
                  <c:v>-1.4863630443489359E-2</c:v>
                </c:pt>
                <c:pt idx="8">
                  <c:v>1.2651533691783012E-3</c:v>
                </c:pt>
                <c:pt idx="9">
                  <c:v>9.0977542980434558E-3</c:v>
                </c:pt>
                <c:pt idx="10">
                  <c:v>8.9981165756781688E-3</c:v>
                </c:pt>
                <c:pt idx="11">
                  <c:v>6.3214977682148872E-3</c:v>
                </c:pt>
                <c:pt idx="12">
                  <c:v>6.2609530114970573E-3</c:v>
                </c:pt>
                <c:pt idx="13">
                  <c:v>4.0839949665524063E-3</c:v>
                </c:pt>
                <c:pt idx="14">
                  <c:v>8.4310804977109075E-4</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Calc.'!$AD$3:$AD$97</c:f>
              <c:numCache>
                <c:formatCode>0.0000</c:formatCode>
                <c:ptCount val="95"/>
                <c:pt idx="1">
                  <c:v>-0.51347296105980933</c:v>
                </c:pt>
                <c:pt idx="2">
                  <c:v>-0.26106882954478955</c:v>
                </c:pt>
                <c:pt idx="3">
                  <c:v>-0.13108271690679318</c:v>
                </c:pt>
                <c:pt idx="4">
                  <c:v>-5.3864997268978726E-2</c:v>
                </c:pt>
                <c:pt idx="5">
                  <c:v>-2.1561798470042411E-2</c:v>
                </c:pt>
                <c:pt idx="6">
                  <c:v>1.332797476072671E-3</c:v>
                </c:pt>
                <c:pt idx="7">
                  <c:v>1.283532618335638E-2</c:v>
                </c:pt>
                <c:pt idx="8">
                  <c:v>2.1641558464130073E-2</c:v>
                </c:pt>
                <c:pt idx="9">
                  <c:v>2.9006073768813062E-2</c:v>
                </c:pt>
                <c:pt idx="10">
                  <c:v>4.0406910701871399E-2</c:v>
                </c:pt>
                <c:pt idx="11">
                  <c:v>5.1858090122209405E-2</c:v>
                </c:pt>
                <c:pt idx="12">
                  <c:v>7.1354376243269083E-2</c:v>
                </c:pt>
                <c:pt idx="13">
                  <c:v>9.1846650277064845E-2</c:v>
                </c:pt>
                <c:pt idx="14">
                  <c:v>0.11825308268189523</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Calc.'!$AE$3:$AE$97</c:f>
              <c:numCache>
                <c:formatCode>0.0000</c:formatCode>
                <c:ptCount val="95"/>
                <c:pt idx="1">
                  <c:v>-0.55426874955259675</c:v>
                </c:pt>
                <c:pt idx="2">
                  <c:v>-0.347872979099421</c:v>
                </c:pt>
                <c:pt idx="3">
                  <c:v>-0.20386985134802812</c:v>
                </c:pt>
                <c:pt idx="4">
                  <c:v>-0.10416012028282047</c:v>
                </c:pt>
                <c:pt idx="5">
                  <c:v>-5.9100070637074842E-2</c:v>
                </c:pt>
                <c:pt idx="6">
                  <c:v>-2.2897801399862902E-2</c:v>
                </c:pt>
                <c:pt idx="7">
                  <c:v>-3.6527273907341726E-3</c:v>
                </c:pt>
                <c:pt idx="8">
                  <c:v>9.8681591765188825E-3</c:v>
                </c:pt>
                <c:pt idx="9">
                  <c:v>2.0913216999934866E-2</c:v>
                </c:pt>
                <c:pt idx="10">
                  <c:v>3.5112114280563649E-2</c:v>
                </c:pt>
                <c:pt idx="11">
                  <c:v>4.9651475815564609E-2</c:v>
                </c:pt>
                <c:pt idx="12">
                  <c:v>7.2694612950945869E-2</c:v>
                </c:pt>
                <c:pt idx="13">
                  <c:v>9.7986117867590955E-2</c:v>
                </c:pt>
                <c:pt idx="14">
                  <c:v>0.13070619099031491</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'Post Process Calc.'!$AF$3:$AF$97</c:f>
              <c:numCache>
                <c:formatCode>0.0000</c:formatCode>
                <c:ptCount val="95"/>
                <c:pt idx="1">
                  <c:v>-3.3920248272683651</c:v>
                </c:pt>
                <c:pt idx="2">
                  <c:v>-1.3632047312722133</c:v>
                </c:pt>
                <c:pt idx="3">
                  <c:v>-0.57215002471455501</c:v>
                </c:pt>
                <c:pt idx="4">
                  <c:v>-0.18530023244466651</c:v>
                </c:pt>
                <c:pt idx="5">
                  <c:v>-4.6431613620177704E-2</c:v>
                </c:pt>
                <c:pt idx="6">
                  <c:v>3.5191474674158098E-2</c:v>
                </c:pt>
                <c:pt idx="7">
                  <c:v>6.9092212088166363E-2</c:v>
                </c:pt>
                <c:pt idx="8">
                  <c:v>9.2881469268394676E-2</c:v>
                </c:pt>
                <c:pt idx="9">
                  <c:v>0.11077669961790722</c:v>
                </c:pt>
                <c:pt idx="10">
                  <c:v>0.14172580715355881</c:v>
                </c:pt>
                <c:pt idx="11">
                  <c:v>0.17083714075404857</c:v>
                </c:pt>
                <c:pt idx="12">
                  <c:v>0.22338407839655361</c:v>
                </c:pt>
                <c:pt idx="13">
                  <c:v>0.27473663854921532</c:v>
                </c:pt>
                <c:pt idx="14">
                  <c:v>0.3395810023763684</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Calc.'!$BT$3:$BT$94</c:f>
              <c:numCache>
                <c:formatCode>0.0000</c:formatCode>
                <c:ptCount val="92"/>
                <c:pt idx="1">
                  <c:v>1.9880620099777653E-2</c:v>
                </c:pt>
                <c:pt idx="2">
                  <c:v>0.54285700135140413</c:v>
                </c:pt>
                <c:pt idx="3">
                  <c:v>0.26463574876078727</c:v>
                </c:pt>
                <c:pt idx="4">
                  <c:v>-0.23075543430101986</c:v>
                </c:pt>
                <c:pt idx="5">
                  <c:v>-0.25708845811024161</c:v>
                </c:pt>
                <c:pt idx="6">
                  <c:v>-5.3925929963428588E-3</c:v>
                </c:pt>
                <c:pt idx="7">
                  <c:v>-2.8059323511993195E-2</c:v>
                </c:pt>
                <c:pt idx="8">
                  <c:v>3.5867287649188062E-2</c:v>
                </c:pt>
                <c:pt idx="9">
                  <c:v>3.7740683035428671E-2</c:v>
                </c:pt>
                <c:pt idx="10">
                  <c:v>1.7146360867593368E-2</c:v>
                </c:pt>
                <c:pt idx="11">
                  <c:v>4.4586984806447641E-2</c:v>
                </c:pt>
                <c:pt idx="12">
                  <c:v>4.5285526291846588E-2</c:v>
                </c:pt>
                <c:pt idx="13">
                  <c:v>1.8162274926249226E-2</c:v>
                </c:pt>
                <c:pt idx="14">
                  <c:v>7.8797302956278743E-3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Calc.'!$BU$3:$BU$94</c:f>
              <c:numCache>
                <c:formatCode>0.0000</c:formatCode>
                <c:ptCount val="92"/>
                <c:pt idx="1">
                  <c:v>-6.7273849979004137E-4</c:v>
                </c:pt>
                <c:pt idx="2">
                  <c:v>0.51645403018206937</c:v>
                </c:pt>
                <c:pt idx="3">
                  <c:v>0.24611669219992527</c:v>
                </c:pt>
                <c:pt idx="4">
                  <c:v>-0.24736487305939228</c:v>
                </c:pt>
                <c:pt idx="5">
                  <c:v>-0.26934454393777896</c:v>
                </c:pt>
                <c:pt idx="6">
                  <c:v>-1.2891950606069881E-2</c:v>
                </c:pt>
                <c:pt idx="7">
                  <c:v>-3.019481993571492E-2</c:v>
                </c:pt>
                <c:pt idx="8">
                  <c:v>3.8320756989338886E-2</c:v>
                </c:pt>
                <c:pt idx="9">
                  <c:v>4.7663177714341379E-2</c:v>
                </c:pt>
                <c:pt idx="10">
                  <c:v>1.8479281901322628E-2</c:v>
                </c:pt>
                <c:pt idx="11">
                  <c:v>3.1137212244829127E-2</c:v>
                </c:pt>
                <c:pt idx="12">
                  <c:v>4.0566912475320224E-2</c:v>
                </c:pt>
                <c:pt idx="13">
                  <c:v>1.2033727029806755E-2</c:v>
                </c:pt>
                <c:pt idx="14">
                  <c:v>4.4175848718938891E-3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0.61666666675591841</c:v>
                </c:pt>
                <c:pt idx="1">
                  <c:v>21.28333333338378</c:v>
                </c:pt>
                <c:pt idx="2">
                  <c:v>48.550000000046566</c:v>
                </c:pt>
                <c:pt idx="3">
                  <c:v>71.050000000046566</c:v>
                </c:pt>
                <c:pt idx="4">
                  <c:v>95.53333333338378</c:v>
                </c:pt>
                <c:pt idx="5">
                  <c:v>115.96666666679084</c:v>
                </c:pt>
                <c:pt idx="6">
                  <c:v>141.16666666668607</c:v>
                </c:pt>
                <c:pt idx="7">
                  <c:v>164.81666666676756</c:v>
                </c:pt>
                <c:pt idx="8">
                  <c:v>189.19999999995343</c:v>
                </c:pt>
                <c:pt idx="9">
                  <c:v>213.14999999996508</c:v>
                </c:pt>
                <c:pt idx="10">
                  <c:v>238.2666666667792</c:v>
                </c:pt>
                <c:pt idx="11">
                  <c:v>261.91666666668607</c:v>
                </c:pt>
                <c:pt idx="12">
                  <c:v>284.91666666674428</c:v>
                </c:pt>
                <c:pt idx="13">
                  <c:v>308.75000000005821</c:v>
                </c:pt>
                <c:pt idx="14">
                  <c:v>333.09999999997672</c:v>
                </c:pt>
              </c:numCache>
            </c:numRef>
          </c:xVal>
          <c:yVal>
            <c:numRef>
              <c:f>'In Process Calc.'!$BV$3:$BV$94</c:f>
              <c:numCache>
                <c:formatCode>0.0000</c:formatCode>
                <c:ptCount val="92"/>
                <c:pt idx="1">
                  <c:v>-8.4829276817357371E-2</c:v>
                </c:pt>
                <c:pt idx="2">
                  <c:v>1.6786328987446084</c:v>
                </c:pt>
                <c:pt idx="3">
                  <c:v>0.87076171164056171</c:v>
                </c:pt>
                <c:pt idx="4">
                  <c:v>-0.87158881336134653</c:v>
                </c:pt>
                <c:pt idx="5">
                  <c:v>-0.97961244343925513</c:v>
                </c:pt>
                <c:pt idx="6">
                  <c:v>-9.0029837383736475E-2</c:v>
                </c:pt>
                <c:pt idx="7">
                  <c:v>-0.15222013193820552</c:v>
                </c:pt>
                <c:pt idx="8">
                  <c:v>9.0715190631273548E-2</c:v>
                </c:pt>
                <c:pt idx="9">
                  <c:v>0.17960327817007735</c:v>
                </c:pt>
                <c:pt idx="10">
                  <c:v>8.9515327559730087E-2</c:v>
                </c:pt>
                <c:pt idx="11">
                  <c:v>0.12923231168625604</c:v>
                </c:pt>
                <c:pt idx="12">
                  <c:v>0.15278055459536816</c:v>
                </c:pt>
                <c:pt idx="13">
                  <c:v>5.6213413172460834E-2</c:v>
                </c:pt>
                <c:pt idx="14">
                  <c:v>1.6706271207770129E-2</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numCache>
            </c:numRef>
          </c:xVal>
          <c:yVal>
            <c:numRef>
              <c:f>'In Process Calc.'!$Z$3:$Z$12</c:f>
              <c:numCache>
                <c:formatCode>0.0000</c:formatCode>
                <c:ptCount val="10"/>
                <c:pt idx="0" formatCode="General">
                  <c:v>0</c:v>
                </c:pt>
                <c:pt idx="1">
                  <c:v>1.268872113676732</c:v>
                </c:pt>
                <c:pt idx="2">
                  <c:v>3.5751554174067506</c:v>
                </c:pt>
                <c:pt idx="3">
                  <c:v>5.1671847246891662</c:v>
                </c:pt>
                <c:pt idx="4">
                  <c:v>8.2144760213143897</c:v>
                </c:pt>
                <c:pt idx="5">
                  <c:v>11.806875370041446</c:v>
                </c:pt>
                <c:pt idx="6">
                  <c:v>17.323070850601937</c:v>
                </c:pt>
                <c:pt idx="7">
                  <c:v>20.388424281297283</c:v>
                </c:pt>
                <c:pt idx="8">
                  <c:v>20.889226037760675</c:v>
                </c:pt>
                <c:pt idx="9">
                  <c:v>13.621934823366885</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numCache>
            </c:numRef>
          </c:xVal>
          <c:y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Calc.'!$AC$3:$AC$12</c:f>
              <c:numCache>
                <c:formatCode>0.0000</c:formatCode>
                <c:ptCount val="10"/>
                <c:pt idx="0" formatCode="General">
                  <c:v>0</c:v>
                </c:pt>
                <c:pt idx="1">
                  <c:v>2.974499999999989E-2</c:v>
                </c:pt>
                <c:pt idx="2">
                  <c:v>0.21352499999999985</c:v>
                </c:pt>
                <c:pt idx="3">
                  <c:v>0.39046099999999978</c:v>
                </c:pt>
                <c:pt idx="4">
                  <c:v>0.55279800000000001</c:v>
                </c:pt>
                <c:pt idx="5">
                  <c:v>0.53318062962962953</c:v>
                </c:pt>
                <c:pt idx="6">
                  <c:v>0.83186855555555561</c:v>
                </c:pt>
                <c:pt idx="7">
                  <c:v>1.0354489259259259</c:v>
                </c:pt>
                <c:pt idx="8">
                  <c:v>1.2833422592592592</c:v>
                </c:pt>
                <c:pt idx="9">
                  <c:v>1.6079849999999998</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Calc.'!$AI$3:$AI$93</c:f>
              <c:numCache>
                <c:formatCode>0.0000</c:formatCode>
                <c:ptCount val="91"/>
                <c:pt idx="0" formatCode="General">
                  <c:v>0</c:v>
                </c:pt>
                <c:pt idx="1">
                  <c:v>-5.9250000000001819E-3</c:v>
                </c:pt>
                <c:pt idx="2">
                  <c:v>0.27616499999999994</c:v>
                </c:pt>
                <c:pt idx="3">
                  <c:v>0.51005500000000004</c:v>
                </c:pt>
                <c:pt idx="4">
                  <c:v>0.16631799999999997</c:v>
                </c:pt>
                <c:pt idx="5">
                  <c:v>-0.36120959259259278</c:v>
                </c:pt>
                <c:pt idx="6">
                  <c:v>-0.49350233333333332</c:v>
                </c:pt>
                <c:pt idx="7">
                  <c:v>-0.7970314814814814</c:v>
                </c:pt>
                <c:pt idx="8">
                  <c:v>-0.71779159259259262</c:v>
                </c:pt>
                <c:pt idx="9">
                  <c:v>-0.34993280555555561</c:v>
                </c:pt>
                <c:pt idx="10">
                  <c:v>-0.14488841666666663</c:v>
                </c:pt>
                <c:pt idx="11">
                  <c:v>0.18244527777777791</c:v>
                </c:pt>
                <c:pt idx="12">
                  <c:v>0.64553100000000008</c:v>
                </c:pt>
                <c:pt idx="13">
                  <c:v>0.93895322222222233</c:v>
                </c:pt>
                <c:pt idx="14">
                  <c:v>1.129501888888889</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Calc.'!$AF$3:$AF$93</c:f>
              <c:numCache>
                <c:formatCode>0.0000</c:formatCode>
                <c:ptCount val="91"/>
                <c:pt idx="0" formatCode="General">
                  <c:v>0</c:v>
                </c:pt>
                <c:pt idx="1">
                  <c:v>-8.7749999999996355E-3</c:v>
                </c:pt>
                <c:pt idx="2">
                  <c:v>1.0239599999999993</c:v>
                </c:pt>
                <c:pt idx="3">
                  <c:v>1.7086209999999995</c:v>
                </c:pt>
                <c:pt idx="4">
                  <c:v>2.2534220000000009</c:v>
                </c:pt>
                <c:pt idx="5">
                  <c:v>1.8051786296296308</c:v>
                </c:pt>
                <c:pt idx="6">
                  <c:v>2.9692012222222224</c:v>
                </c:pt>
                <c:pt idx="7">
                  <c:v>3.5482247407407419</c:v>
                </c:pt>
                <c:pt idx="8">
                  <c:v>4.4561549259259268</c:v>
                </c:pt>
                <c:pt idx="9">
                  <c:v>5.65041525</c:v>
                </c:pt>
                <c:pt idx="10">
                  <c:v>5.8315533888888886</c:v>
                </c:pt>
                <c:pt idx="11">
                  <c:v>5.7157597222222227</c:v>
                </c:pt>
                <c:pt idx="12">
                  <c:v>5.760639888888889</c:v>
                </c:pt>
                <c:pt idx="13">
                  <c:v>5.0974608333333329</c:v>
                </c:pt>
                <c:pt idx="14">
                  <c:v>4.4519878888888886</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Calc.'!$V$3:$V$12</c:f>
              <c:numCache>
                <c:formatCode>0.0000</c:formatCode>
                <c:ptCount val="10"/>
                <c:pt idx="0" formatCode="General">
                  <c:v>0</c:v>
                </c:pt>
                <c:pt idx="1">
                  <c:v>-6.2354999999999564E-2</c:v>
                </c:pt>
                <c:pt idx="2">
                  <c:v>0.34929000000000088</c:v>
                </c:pt>
                <c:pt idx="3">
                  <c:v>0.65771300000000066</c:v>
                </c:pt>
                <c:pt idx="4">
                  <c:v>-6.9631749999999997</c:v>
                </c:pt>
                <c:pt idx="5">
                  <c:v>-14.454739222222221</c:v>
                </c:pt>
                <c:pt idx="6">
                  <c:v>-19.546170777777775</c:v>
                </c:pt>
                <c:pt idx="7">
                  <c:v>-24.860478259259256</c:v>
                </c:pt>
                <c:pt idx="8">
                  <c:v>-24.228604629629629</c:v>
                </c:pt>
                <c:pt idx="9">
                  <c:v>-18.69282872222222</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Calc.'!$R$3:$R$12</c:f>
              <c:numCache>
                <c:formatCode>0.0000</c:formatCode>
                <c:ptCount val="10"/>
                <c:pt idx="0" formatCode="General">
                  <c:v>0</c:v>
                </c:pt>
                <c:pt idx="1">
                  <c:v>-6.3900000000000096E-2</c:v>
                </c:pt>
                <c:pt idx="2">
                  <c:v>0.18225</c:v>
                </c:pt>
                <c:pt idx="3">
                  <c:v>0.4657199999999998</c:v>
                </c:pt>
                <c:pt idx="4">
                  <c:v>0.61397100000000004</c:v>
                </c:pt>
                <c:pt idx="5">
                  <c:v>9.7187592592592464E-2</c:v>
                </c:pt>
                <c:pt idx="6">
                  <c:v>-0.44225777777777775</c:v>
                </c:pt>
                <c:pt idx="7">
                  <c:v>-1.6930745185185176</c:v>
                </c:pt>
                <c:pt idx="8">
                  <c:v>-3.2334283703703703</c:v>
                </c:pt>
                <c:pt idx="9">
                  <c:v>-2.3334581111111117</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Calc.'!$O$3:$O$12</c:f>
              <c:numCache>
                <c:formatCode>0.0000</c:formatCode>
                <c:ptCount val="10"/>
                <c:pt idx="0" formatCode="General">
                  <c:v>0</c:v>
                </c:pt>
                <c:pt idx="1">
                  <c:v>-1.4384999999999992E-2</c:v>
                </c:pt>
                <c:pt idx="2">
                  <c:v>-3.7650000000000149E-3</c:v>
                </c:pt>
                <c:pt idx="3">
                  <c:v>-6.5576999999999969E-2</c:v>
                </c:pt>
                <c:pt idx="4">
                  <c:v>-0.36366799999999999</c:v>
                </c:pt>
                <c:pt idx="5">
                  <c:v>-1.0688681851851853</c:v>
                </c:pt>
                <c:pt idx="6">
                  <c:v>-2.5133976666666671</c:v>
                </c:pt>
                <c:pt idx="7">
                  <c:v>-5.1370069259259257</c:v>
                </c:pt>
                <c:pt idx="8">
                  <c:v>-9.1255826296296298</c:v>
                </c:pt>
                <c:pt idx="9">
                  <c:v>-11.882110166666667</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Calc.'!$Q$3:$Q$12</c:f>
              <c:numCache>
                <c:formatCode>0.0000</c:formatCode>
                <c:ptCount val="10"/>
                <c:pt idx="0" formatCode="General">
                  <c:v>0</c:v>
                </c:pt>
                <c:pt idx="1">
                  <c:v>0.78236999999999901</c:v>
                </c:pt>
                <c:pt idx="2">
                  <c:v>3.12</c:v>
                </c:pt>
                <c:pt idx="3">
                  <c:v>4.5329420000000011</c:v>
                </c:pt>
                <c:pt idx="4">
                  <c:v>2.2669429999999995</c:v>
                </c:pt>
                <c:pt idx="5">
                  <c:v>-0.81022092592592676</c:v>
                </c:pt>
                <c:pt idx="6">
                  <c:v>0.89982533333333259</c:v>
                </c:pt>
                <c:pt idx="7">
                  <c:v>2.3941419259259256</c:v>
                </c:pt>
                <c:pt idx="8">
                  <c:v>10.069861481481482</c:v>
                </c:pt>
                <c:pt idx="9">
                  <c:v>12.884201666666666</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Calc.'!$W$3:$W$12</c:f>
              <c:numCache>
                <c:formatCode>0.0000</c:formatCode>
                <c:ptCount val="10"/>
                <c:pt idx="0" formatCode="General">
                  <c:v>0</c:v>
                </c:pt>
                <c:pt idx="1">
                  <c:v>-0.11394000000000011</c:v>
                </c:pt>
                <c:pt idx="2">
                  <c:v>-0.32511000000000007</c:v>
                </c:pt>
                <c:pt idx="3">
                  <c:v>-0.587812</c:v>
                </c:pt>
                <c:pt idx="4">
                  <c:v>-1.2200160000000002</c:v>
                </c:pt>
                <c:pt idx="5">
                  <c:v>-1.9715764444444448</c:v>
                </c:pt>
                <c:pt idx="6">
                  <c:v>-2.2440228888888889</c:v>
                </c:pt>
                <c:pt idx="7">
                  <c:v>-2.3462947407407406</c:v>
                </c:pt>
                <c:pt idx="8">
                  <c:v>-1.6432894074074071</c:v>
                </c:pt>
                <c:pt idx="9">
                  <c:v>-0.50888786111111095</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Calc.'!$AG$3:$AG$12</c:f>
              <c:numCache>
                <c:formatCode>0.0000</c:formatCode>
                <c:ptCount val="10"/>
                <c:pt idx="0" formatCode="General">
                  <c:v>0</c:v>
                </c:pt>
                <c:pt idx="1">
                  <c:v>0.25261499999999976</c:v>
                </c:pt>
                <c:pt idx="2">
                  <c:v>1.6073999999999997</c:v>
                </c:pt>
                <c:pt idx="3">
                  <c:v>2.7151710000000007</c:v>
                </c:pt>
                <c:pt idx="4">
                  <c:v>3.7638580000000008</c:v>
                </c:pt>
                <c:pt idx="5">
                  <c:v>4.0377894444444449</c:v>
                </c:pt>
                <c:pt idx="6">
                  <c:v>5.4313156666666664</c:v>
                </c:pt>
                <c:pt idx="7">
                  <c:v>6.7156125555555555</c:v>
                </c:pt>
                <c:pt idx="8">
                  <c:v>7.5166258148148142</c:v>
                </c:pt>
                <c:pt idx="9">
                  <c:v>9.7241768611111112</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Calc.'!$AA$3:$AA$12</c:f>
              <c:numCache>
                <c:formatCode>0.0000</c:formatCode>
                <c:ptCount val="10"/>
                <c:pt idx="0" formatCode="General">
                  <c:v>0</c:v>
                </c:pt>
                <c:pt idx="1">
                  <c:v>4.3844999999999343E-2</c:v>
                </c:pt>
                <c:pt idx="2">
                  <c:v>1.1110650000000004</c:v>
                </c:pt>
                <c:pt idx="3">
                  <c:v>1.8971249999999991</c:v>
                </c:pt>
                <c:pt idx="4">
                  <c:v>0.94984599999999864</c:v>
                </c:pt>
                <c:pt idx="5">
                  <c:v>-0.72249507407407521</c:v>
                </c:pt>
                <c:pt idx="6">
                  <c:v>-0.70881633333333427</c:v>
                </c:pt>
                <c:pt idx="7">
                  <c:v>-1.1454321111111114</c:v>
                </c:pt>
                <c:pt idx="8">
                  <c:v>0.18156662962962922</c:v>
                </c:pt>
                <c:pt idx="9">
                  <c:v>2.4727908611111094</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Calc.'!$Y$3:$Y$12</c:f>
              <c:numCache>
                <c:formatCode>0.0000</c:formatCode>
                <c:ptCount val="10"/>
                <c:pt idx="0" formatCode="General">
                  <c:v>0</c:v>
                </c:pt>
                <c:pt idx="1">
                  <c:v>3.8924999999999273E-2</c:v>
                </c:pt>
                <c:pt idx="2">
                  <c:v>0.73707000000000067</c:v>
                </c:pt>
                <c:pt idx="3">
                  <c:v>1.2450810000000003</c:v>
                </c:pt>
                <c:pt idx="4">
                  <c:v>0.29488599999999976</c:v>
                </c:pt>
                <c:pt idx="5">
                  <c:v>-1.1376017407407406</c:v>
                </c:pt>
                <c:pt idx="6">
                  <c:v>-1.4599227777777777</c:v>
                </c:pt>
                <c:pt idx="7">
                  <c:v>-2.1961614074074065</c:v>
                </c:pt>
                <c:pt idx="8">
                  <c:v>-1.6563149259259258</c:v>
                </c:pt>
                <c:pt idx="9">
                  <c:v>-0.28179130555555498</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Calc.'!$AK$3:$AK$12</c:f>
              <c:numCache>
                <c:formatCode>0.0000</c:formatCode>
                <c:ptCount val="10"/>
                <c:pt idx="0" formatCode="General">
                  <c:v>0</c:v>
                </c:pt>
                <c:pt idx="1">
                  <c:v>-1.8195000000000617E-2</c:v>
                </c:pt>
                <c:pt idx="2">
                  <c:v>0.6733199999999997</c:v>
                </c:pt>
                <c:pt idx="3">
                  <c:v>1.2208009999999994</c:v>
                </c:pt>
                <c:pt idx="4">
                  <c:v>-1.0479150000000002</c:v>
                </c:pt>
                <c:pt idx="5">
                  <c:v>-3.9301911111111103</c:v>
                </c:pt>
                <c:pt idx="6">
                  <c:v>-5.3031476666666686</c:v>
                </c:pt>
                <c:pt idx="7">
                  <c:v>-7.2903053703703709</c:v>
                </c:pt>
                <c:pt idx="8">
                  <c:v>-6.9291575185185188</c:v>
                </c:pt>
                <c:pt idx="9">
                  <c:v>-4.8899358611111126</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Calc.'!$S$3:$S$93</c:f>
              <c:numCache>
                <c:formatCode>0.0000</c:formatCode>
                <c:ptCount val="91"/>
                <c:pt idx="0" formatCode="General">
                  <c:v>0</c:v>
                </c:pt>
                <c:pt idx="1">
                  <c:v>-0.11179499999999962</c:v>
                </c:pt>
                <c:pt idx="2">
                  <c:v>0.10989000000000032</c:v>
                </c:pt>
                <c:pt idx="3">
                  <c:v>0.35703700000000027</c:v>
                </c:pt>
                <c:pt idx="4">
                  <c:v>0.57440600000000019</c:v>
                </c:pt>
                <c:pt idx="5">
                  <c:v>0.55143603703703703</c:v>
                </c:pt>
                <c:pt idx="6">
                  <c:v>0.87884966666666675</c:v>
                </c:pt>
                <c:pt idx="7">
                  <c:v>1.0525784444444446</c:v>
                </c:pt>
                <c:pt idx="8">
                  <c:v>1.3124135925925926</c:v>
                </c:pt>
                <c:pt idx="9">
                  <c:v>1.6568463055555556</c:v>
                </c:pt>
                <c:pt idx="10">
                  <c:v>1.8842701388888889</c:v>
                </c:pt>
                <c:pt idx="11">
                  <c:v>1.9951116666666666</c:v>
                </c:pt>
                <c:pt idx="12">
                  <c:v>1.9650594444444445</c:v>
                </c:pt>
                <c:pt idx="13">
                  <c:v>1.7746770555555555</c:v>
                </c:pt>
                <c:pt idx="14">
                  <c:v>1.4601169999999999</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Calc.'!$AE$3:$AE$12</c:f>
              <c:numCache>
                <c:formatCode>0.0000</c:formatCode>
                <c:ptCount val="10"/>
                <c:pt idx="0" formatCode="General">
                  <c:v>0</c:v>
                </c:pt>
                <c:pt idx="1">
                  <c:v>-1.9964999999999691E-2</c:v>
                </c:pt>
                <c:pt idx="2">
                  <c:v>0.28645499999999996</c:v>
                </c:pt>
                <c:pt idx="3">
                  <c:v>0.51904700000000004</c:v>
                </c:pt>
                <c:pt idx="4">
                  <c:v>2.2255999999999887E-2</c:v>
                </c:pt>
                <c:pt idx="5">
                  <c:v>-0.69224218518518499</c:v>
                </c:pt>
                <c:pt idx="6">
                  <c:v>-0.87614788888888873</c:v>
                </c:pt>
                <c:pt idx="7">
                  <c:v>-1.2283965185185184</c:v>
                </c:pt>
                <c:pt idx="8">
                  <c:v>-0.88764625925925933</c:v>
                </c:pt>
                <c:pt idx="9">
                  <c:v>-0.13536619444444475</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Calc.'!$AJ$3:$AJ$12</c:f>
              <c:numCache>
                <c:formatCode>0.0000</c:formatCode>
                <c:ptCount val="10"/>
                <c:pt idx="0" formatCode="General">
                  <c:v>0</c:v>
                </c:pt>
                <c:pt idx="1">
                  <c:v>-3.5100000000002182E-3</c:v>
                </c:pt>
                <c:pt idx="2">
                  <c:v>0.24486000000000013</c:v>
                </c:pt>
                <c:pt idx="3">
                  <c:v>0.48212999999999967</c:v>
                </c:pt>
                <c:pt idx="4">
                  <c:v>0.79269599999999985</c:v>
                </c:pt>
                <c:pt idx="5">
                  <c:v>0.70221537037037018</c:v>
                </c:pt>
                <c:pt idx="6">
                  <c:v>1.243978888888889</c:v>
                </c:pt>
                <c:pt idx="7">
                  <c:v>1.6250977407407408</c:v>
                </c:pt>
                <c:pt idx="8">
                  <c:v>2.125324148148148</c:v>
                </c:pt>
                <c:pt idx="9">
                  <c:v>2.79022975</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Calc.'!$AB$3:$AB$12</c:f>
              <c:numCache>
                <c:formatCode>0.0000</c:formatCode>
                <c:ptCount val="10"/>
                <c:pt idx="0" formatCode="General">
                  <c:v>0</c:v>
                </c:pt>
                <c:pt idx="1">
                  <c:v>-0.11401499999999942</c:v>
                </c:pt>
                <c:pt idx="2">
                  <c:v>0.56896500000000105</c:v>
                </c:pt>
                <c:pt idx="3">
                  <c:v>1.1409370000000008</c:v>
                </c:pt>
                <c:pt idx="4">
                  <c:v>3.827000000000047E-2</c:v>
                </c:pt>
                <c:pt idx="5">
                  <c:v>-1.6664583703703701</c:v>
                </c:pt>
                <c:pt idx="6">
                  <c:v>-2.0172981111111112</c:v>
                </c:pt>
                <c:pt idx="7">
                  <c:v>-2.8056807777777779</c:v>
                </c:pt>
                <c:pt idx="8">
                  <c:v>-2.2689813703703714</c:v>
                </c:pt>
                <c:pt idx="9">
                  <c:v>-0.811971555555556</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Calc.'!$X$3:$X$12</c:f>
              <c:numCache>
                <c:formatCode>0.0000</c:formatCode>
                <c:ptCount val="10"/>
                <c:pt idx="0" formatCode="General">
                  <c:v>0</c:v>
                </c:pt>
                <c:pt idx="1">
                  <c:v>-0.66964499999999993</c:v>
                </c:pt>
                <c:pt idx="2">
                  <c:v>-0.20457000000000014</c:v>
                </c:pt>
                <c:pt idx="3">
                  <c:v>0.7000630000000001</c:v>
                </c:pt>
                <c:pt idx="4">
                  <c:v>-0.15809099999999987</c:v>
                </c:pt>
                <c:pt idx="5">
                  <c:v>-0.88436370370370376</c:v>
                </c:pt>
                <c:pt idx="6">
                  <c:v>-0.82586077777777789</c:v>
                </c:pt>
                <c:pt idx="7">
                  <c:v>5.6980851851851644E-2</c:v>
                </c:pt>
                <c:pt idx="8">
                  <c:v>0.46403788888888903</c:v>
                </c:pt>
                <c:pt idx="9">
                  <c:v>0.84820372222222207</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Calc.'!$P$3:$P$12</c:f>
              <c:numCache>
                <c:formatCode>0.0000</c:formatCode>
                <c:ptCount val="10"/>
                <c:pt idx="0" formatCode="General">
                  <c:v>0</c:v>
                </c:pt>
                <c:pt idx="1">
                  <c:v>0.19453500000000032</c:v>
                </c:pt>
                <c:pt idx="2">
                  <c:v>1.1333100000000005</c:v>
                </c:pt>
                <c:pt idx="3">
                  <c:v>1.1213310000000003</c:v>
                </c:pt>
                <c:pt idx="4">
                  <c:v>0.37249000000000088</c:v>
                </c:pt>
                <c:pt idx="5">
                  <c:v>-0.8294693703703695</c:v>
                </c:pt>
                <c:pt idx="6">
                  <c:v>-1.0411961111111112</c:v>
                </c:pt>
                <c:pt idx="7">
                  <c:v>-2.0895218518518512</c:v>
                </c:pt>
                <c:pt idx="8">
                  <c:v>-1.9321040370370364</c:v>
                </c:pt>
                <c:pt idx="9">
                  <c:v>-1.0961921944444437</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numCache>
            </c:numRef>
          </c:xVal>
          <c:yVal>
            <c:numRef>
              <c:f>'In Process Calc.'!$AH$3:$AH$12</c:f>
              <c:numCache>
                <c:formatCode>0.0000</c:formatCode>
                <c:ptCount val="10"/>
                <c:pt idx="0" formatCode="General">
                  <c:v>0</c:v>
                </c:pt>
                <c:pt idx="1">
                  <c:v>-7.1955000000000838E-2</c:v>
                </c:pt>
                <c:pt idx="2">
                  <c:v>0.58188000000000006</c:v>
                </c:pt>
                <c:pt idx="3">
                  <c:v>1.0819769999999989</c:v>
                </c:pt>
                <c:pt idx="4">
                  <c:v>1.538875</c:v>
                </c:pt>
                <c:pt idx="5">
                  <c:v>1.4363408148148147</c:v>
                </c:pt>
                <c:pt idx="6">
                  <c:v>2.3977358888888878</c:v>
                </c:pt>
                <c:pt idx="7">
                  <c:v>3.1271970370370363</c:v>
                </c:pt>
                <c:pt idx="8">
                  <c:v>4.2374001851851846</c:v>
                </c:pt>
                <c:pt idx="9">
                  <c:v>5.5080714444444432</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xVal>
          <c:yVal>
            <c:numRef>
              <c:f>'In Process Calc.'!$AD$3:$AD$93</c:f>
              <c:numCache>
                <c:formatCode>0.0000</c:formatCode>
                <c:ptCount val="91"/>
                <c:pt idx="0" formatCode="General">
                  <c:v>0</c:v>
                </c:pt>
                <c:pt idx="1">
                  <c:v>-0.29759999999999992</c:v>
                </c:pt>
                <c:pt idx="2">
                  <c:v>-1.1619000000000002</c:v>
                </c:pt>
                <c:pt idx="3">
                  <c:v>-2.1384000000000003</c:v>
                </c:pt>
                <c:pt idx="4">
                  <c:v>-4.0282300000000006</c:v>
                </c:pt>
                <c:pt idx="5">
                  <c:v>-6.3077003703703713</c:v>
                </c:pt>
                <c:pt idx="6">
                  <c:v>-9.6309977777777789</c:v>
                </c:pt>
                <c:pt idx="7">
                  <c:v>-13.018127407407407</c:v>
                </c:pt>
                <c:pt idx="8">
                  <c:v>-15.781331851851853</c:v>
                </c:pt>
                <c:pt idx="9">
                  <c:v>-12.50024777777778</c:v>
                </c:pt>
                <c:pt idx="10">
                  <c:v>-11.633586388888892</c:v>
                </c:pt>
                <c:pt idx="11">
                  <c:v>-17.811011111111114</c:v>
                </c:pt>
                <c:pt idx="12">
                  <c:v>-18.48930444444445</c:v>
                </c:pt>
                <c:pt idx="13">
                  <c:v>-20.210027777777785</c:v>
                </c:pt>
                <c:pt idx="14">
                  <c:v>-21.498406666666675</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-0.63246000000000002</c:v>
                </c:pt>
                <c:pt idx="3">
                  <c:v>-0.66785600000000001</c:v>
                </c:pt>
                <c:pt idx="4">
                  <c:v>-1.1817350000000002</c:v>
                </c:pt>
                <c:pt idx="5">
                  <c:v>-2.0054276666666668</c:v>
                </c:pt>
                <c:pt idx="6">
                  <c:v>-3.0366497777777783</c:v>
                </c:pt>
                <c:pt idx="7">
                  <c:v>-4.8020989259259261</c:v>
                </c:pt>
                <c:pt idx="8">
                  <c:v>-7.5052022962962965</c:v>
                </c:pt>
                <c:pt idx="9">
                  <c:v>-9.7245065555555552</c:v>
                </c:pt>
                <c:pt idx="10">
                  <c:v>-10.960747888888891</c:v>
                </c:pt>
                <c:pt idx="11">
                  <c:v>-8.1997708333333339</c:v>
                </c:pt>
                <c:pt idx="12">
                  <c:v>-4.3867471111111112</c:v>
                </c:pt>
                <c:pt idx="13">
                  <c:v>-4.1148538333333331</c:v>
                </c:pt>
                <c:pt idx="14">
                  <c:v>-3.6778540000000004</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1.5792750255105248</c:v>
                </c:pt>
                <c:pt idx="2">
                  <c:v>2.7049895639962189</c:v>
                </c:pt>
                <c:pt idx="3">
                  <c:v>5.3259832690662527</c:v>
                </c:pt>
                <c:pt idx="4">
                  <c:v>8.6667970104279455</c:v>
                </c:pt>
                <c:pt idx="5">
                  <c:v>13.450461816251424</c:v>
                </c:pt>
                <c:pt idx="6">
                  <c:v>21.06940013986409</c:v>
                </c:pt>
                <c:pt idx="7">
                  <c:v>30.113780010844337</c:v>
                </c:pt>
                <c:pt idx="8">
                  <c:v>41.34882051236805</c:v>
                </c:pt>
                <c:pt idx="9">
                  <c:v>53.032254089398172</c:v>
                </c:pt>
                <c:pt idx="10">
                  <c:v>62.980321981010789</c:v>
                </c:pt>
                <c:pt idx="11">
                  <c:v>76.351001640459856</c:v>
                </c:pt>
                <c:pt idx="12">
                  <c:v>92.722816786932441</c:v>
                </c:pt>
                <c:pt idx="13">
                  <c:v>108.72893640756354</c:v>
                </c:pt>
                <c:pt idx="14">
                  <c:v>124.64949700428625</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115</v>
      </c>
      <c r="B1" s="206"/>
      <c r="C1" s="206"/>
      <c r="D1" s="207"/>
      <c r="E1" s="207"/>
      <c r="F1" s="206"/>
      <c r="G1" s="206"/>
      <c r="H1" s="206"/>
      <c r="I1" s="206"/>
      <c r="J1" s="206"/>
      <c r="K1" s="206"/>
    </row>
    <row r="2" spans="1:11" ht="18">
      <c r="A2" s="232" t="s">
        <v>372</v>
      </c>
      <c r="B2" s="210"/>
      <c r="C2" s="210"/>
      <c r="D2" s="211"/>
      <c r="E2" s="211"/>
      <c r="F2" s="210"/>
      <c r="J2" s="210"/>
      <c r="K2" s="210"/>
    </row>
    <row r="3" spans="1:11" ht="18">
      <c r="A3" s="232" t="s">
        <v>373</v>
      </c>
      <c r="B3" s="210"/>
      <c r="C3" s="210"/>
      <c r="D3" s="211"/>
      <c r="E3" s="211"/>
      <c r="F3" s="210"/>
      <c r="K3" s="210"/>
    </row>
    <row r="4" spans="1:11" ht="18">
      <c r="A4" s="232"/>
      <c r="B4" s="210"/>
      <c r="C4" s="210"/>
      <c r="D4" s="211"/>
      <c r="E4" s="211"/>
      <c r="F4" s="210"/>
      <c r="K4" s="210"/>
    </row>
    <row r="5" spans="1:11" ht="18">
      <c r="A5" s="212" t="s">
        <v>116</v>
      </c>
      <c r="B5" s="210"/>
      <c r="C5" s="210"/>
      <c r="D5" s="211"/>
      <c r="E5" s="211"/>
      <c r="F5" s="210"/>
      <c r="G5" s="210"/>
      <c r="H5" s="210"/>
      <c r="I5" s="2"/>
      <c r="J5" s="210"/>
      <c r="K5" s="210"/>
    </row>
    <row r="6" spans="1:11" ht="18">
      <c r="A6" s="212" t="s">
        <v>117</v>
      </c>
      <c r="B6" s="210"/>
      <c r="C6" s="210"/>
      <c r="D6" s="211"/>
      <c r="E6" s="211"/>
      <c r="F6" s="210"/>
      <c r="G6" s="210"/>
      <c r="H6" s="210"/>
      <c r="I6" s="2"/>
      <c r="J6" s="210"/>
      <c r="K6" s="210"/>
    </row>
    <row r="7" spans="1:11" ht="18">
      <c r="A7" s="212" t="s">
        <v>118</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431</v>
      </c>
      <c r="B9" s="210"/>
      <c r="C9" s="210"/>
      <c r="D9" s="211"/>
      <c r="E9" s="211"/>
      <c r="F9" s="210"/>
      <c r="G9" s="210"/>
      <c r="H9" s="210"/>
      <c r="I9" s="2"/>
      <c r="J9" s="210"/>
      <c r="K9" s="210"/>
    </row>
    <row r="10" spans="1:11" ht="18">
      <c r="A10" s="213" t="s">
        <v>463</v>
      </c>
      <c r="B10" s="210"/>
      <c r="C10" s="210"/>
      <c r="D10" s="211"/>
      <c r="E10" s="211"/>
      <c r="F10" s="210"/>
      <c r="G10" s="210"/>
      <c r="H10" s="210"/>
      <c r="I10" s="2"/>
      <c r="J10" s="210"/>
      <c r="K10" s="210"/>
    </row>
    <row r="11" spans="1:11" ht="18">
      <c r="A11" s="213" t="s">
        <v>432</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119</v>
      </c>
      <c r="B13" s="213"/>
      <c r="C13" s="213"/>
      <c r="D13" s="215"/>
      <c r="E13" s="215"/>
      <c r="F13" s="213"/>
      <c r="G13" s="213"/>
      <c r="H13" s="213"/>
      <c r="I13" s="213"/>
      <c r="J13" s="213"/>
      <c r="K13" s="213"/>
    </row>
    <row r="14" spans="1:11" ht="18">
      <c r="A14" s="214" t="s">
        <v>120</v>
      </c>
      <c r="B14" s="213"/>
      <c r="C14" s="213"/>
      <c r="D14" s="215"/>
      <c r="E14" s="215"/>
      <c r="F14" s="213"/>
      <c r="G14" s="213"/>
      <c r="H14" s="213"/>
      <c r="I14" s="213"/>
      <c r="J14" s="213"/>
      <c r="K14" s="213"/>
    </row>
    <row r="15" spans="1:11" ht="18">
      <c r="A15" s="214" t="s">
        <v>121</v>
      </c>
      <c r="B15" s="213"/>
      <c r="C15" s="213"/>
      <c r="D15" s="215"/>
      <c r="E15" s="215"/>
      <c r="F15" s="213"/>
      <c r="G15" s="213"/>
      <c r="H15" s="213"/>
      <c r="I15" s="213"/>
      <c r="J15" s="213"/>
      <c r="K15" s="213"/>
    </row>
    <row r="16" spans="1:11" ht="18">
      <c r="A16" s="214" t="s">
        <v>122</v>
      </c>
      <c r="B16" s="213"/>
      <c r="C16" s="213"/>
      <c r="D16" s="215"/>
      <c r="E16" s="215"/>
      <c r="F16" s="213"/>
      <c r="G16" s="213"/>
      <c r="H16" s="213"/>
      <c r="I16" s="213"/>
      <c r="J16" s="213"/>
      <c r="K16" s="213"/>
    </row>
    <row r="17" spans="1:12" ht="18">
      <c r="A17" s="214" t="s">
        <v>123</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124</v>
      </c>
      <c r="B19" s="213"/>
      <c r="C19" s="213"/>
      <c r="D19" s="215"/>
      <c r="E19" s="215"/>
      <c r="F19" s="213"/>
      <c r="G19" s="213"/>
      <c r="H19" s="213"/>
      <c r="I19" s="213"/>
      <c r="J19" s="213"/>
      <c r="K19" s="213"/>
    </row>
    <row r="20" spans="1:12" ht="18">
      <c r="A20" s="214" t="s">
        <v>125</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126</v>
      </c>
      <c r="F22" s="213" t="s">
        <v>127</v>
      </c>
      <c r="I22" s="217"/>
    </row>
    <row r="23" spans="1:12" ht="21">
      <c r="A23" s="210"/>
      <c r="B23" s="210"/>
      <c r="C23" s="211"/>
      <c r="D23" s="211"/>
      <c r="E23" s="216" t="s">
        <v>436</v>
      </c>
      <c r="F23" s="213" t="s">
        <v>437</v>
      </c>
      <c r="I23" s="217"/>
    </row>
    <row r="24" spans="1:12" ht="20">
      <c r="A24" s="210"/>
      <c r="B24" s="210"/>
      <c r="C24" s="211"/>
      <c r="D24" s="211"/>
      <c r="E24" s="216" t="s">
        <v>128</v>
      </c>
      <c r="F24" s="213" t="s">
        <v>438</v>
      </c>
      <c r="I24" s="217"/>
    </row>
    <row r="25" spans="1:12" ht="21">
      <c r="A25" s="210"/>
      <c r="B25" s="210"/>
      <c r="C25" s="211"/>
      <c r="D25" s="211"/>
      <c r="E25" s="216" t="s">
        <v>439</v>
      </c>
      <c r="F25" s="213" t="s">
        <v>440</v>
      </c>
      <c r="I25" s="217"/>
    </row>
    <row r="26" spans="1:12" ht="21">
      <c r="A26" s="210"/>
      <c r="B26" s="210"/>
      <c r="C26" s="211"/>
      <c r="D26" s="211"/>
      <c r="E26" s="216" t="s">
        <v>441</v>
      </c>
      <c r="F26" s="213" t="s">
        <v>442</v>
      </c>
      <c r="I26" s="217"/>
    </row>
    <row r="27" spans="1:12" ht="18">
      <c r="A27" s="210"/>
      <c r="B27" s="210"/>
      <c r="C27" s="211"/>
      <c r="D27" s="211"/>
      <c r="E27" s="216" t="s">
        <v>129</v>
      </c>
      <c r="F27" s="213" t="s">
        <v>130</v>
      </c>
      <c r="I27" s="217"/>
    </row>
    <row r="28" spans="1:12" ht="20">
      <c r="A28" s="210"/>
      <c r="B28" s="210"/>
      <c r="C28" s="211"/>
      <c r="D28" s="211"/>
      <c r="E28" s="216" t="s">
        <v>443</v>
      </c>
      <c r="F28" s="213" t="s">
        <v>131</v>
      </c>
      <c r="I28" s="217"/>
    </row>
    <row r="29" spans="1:12" ht="20">
      <c r="A29" s="210"/>
      <c r="B29" s="210"/>
      <c r="C29" s="211"/>
      <c r="D29" s="211"/>
      <c r="E29" s="216" t="s">
        <v>132</v>
      </c>
      <c r="F29" s="213" t="s">
        <v>444</v>
      </c>
      <c r="I29" s="217"/>
    </row>
    <row r="30" spans="1:12" ht="18">
      <c r="A30" s="210"/>
      <c r="B30" s="210"/>
      <c r="C30" s="211"/>
      <c r="D30" s="211"/>
      <c r="E30" s="216" t="s">
        <v>133</v>
      </c>
      <c r="F30" s="213" t="s">
        <v>134</v>
      </c>
      <c r="I30" s="217"/>
    </row>
    <row r="32" spans="1:12" ht="23">
      <c r="A32" s="218" t="s">
        <v>135</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445</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446</v>
      </c>
      <c r="D36" s="219"/>
      <c r="E36" s="219"/>
      <c r="F36" s="219"/>
      <c r="G36" s="219"/>
      <c r="H36" s="220"/>
      <c r="I36" s="220"/>
      <c r="J36" s="221"/>
      <c r="K36" s="222"/>
      <c r="L36" s="219"/>
    </row>
    <row r="37" spans="1:12" ht="20">
      <c r="A37" s="219"/>
      <c r="B37" s="219"/>
      <c r="C37" s="225" t="s">
        <v>447</v>
      </c>
      <c r="D37" s="219"/>
      <c r="E37" s="219"/>
      <c r="F37" s="219"/>
      <c r="G37" s="219"/>
      <c r="H37" s="220"/>
      <c r="I37" s="220"/>
      <c r="J37" s="221"/>
      <c r="K37" s="222"/>
      <c r="L37" s="219"/>
    </row>
    <row r="38" spans="1:12" ht="20">
      <c r="A38" s="223"/>
      <c r="B38" s="219"/>
      <c r="C38" s="225" t="s">
        <v>448</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449</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136</v>
      </c>
      <c r="B42" s="219"/>
      <c r="C42" s="226"/>
      <c r="D42" s="226"/>
      <c r="E42" s="226"/>
      <c r="F42" s="226"/>
      <c r="G42" s="219"/>
      <c r="H42" s="220"/>
      <c r="I42" s="220"/>
      <c r="J42" s="221"/>
      <c r="K42" s="222"/>
      <c r="L42" s="219"/>
    </row>
    <row r="43" spans="1:12" ht="18">
      <c r="A43" s="224" t="s">
        <v>137</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138</v>
      </c>
      <c r="B48" s="224"/>
      <c r="C48" s="224"/>
      <c r="D48" s="224"/>
      <c r="E48" s="224"/>
      <c r="F48" s="224"/>
      <c r="G48" s="224"/>
      <c r="H48" s="220"/>
      <c r="I48" s="220"/>
      <c r="J48" s="221"/>
      <c r="K48" s="222"/>
      <c r="L48" s="219"/>
    </row>
    <row r="49" spans="1:12" ht="18">
      <c r="A49" s="224" t="s">
        <v>264</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464</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139</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450</v>
      </c>
      <c r="B59" s="224"/>
      <c r="C59" s="224"/>
      <c r="D59" s="224"/>
      <c r="E59" s="224"/>
      <c r="F59" s="224"/>
      <c r="G59" s="224"/>
      <c r="H59" s="224"/>
      <c r="I59" s="224"/>
      <c r="J59" s="224"/>
      <c r="K59" s="224"/>
    </row>
    <row r="60" spans="1:12" ht="18">
      <c r="A60" s="224" t="s">
        <v>140</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141</v>
      </c>
      <c r="B62" s="224"/>
      <c r="C62" s="224"/>
      <c r="D62" s="224"/>
      <c r="E62" s="224"/>
      <c r="F62" s="224"/>
      <c r="G62" s="224"/>
      <c r="H62" s="224"/>
      <c r="I62" s="224"/>
      <c r="J62" s="224"/>
      <c r="K62" s="224"/>
    </row>
    <row r="63" spans="1:12" ht="18">
      <c r="A63" s="224" t="s">
        <v>451</v>
      </c>
      <c r="B63" s="224"/>
      <c r="C63" s="224"/>
      <c r="D63" s="224"/>
      <c r="E63" s="224"/>
      <c r="F63" s="224"/>
      <c r="G63" s="224"/>
      <c r="H63" s="224"/>
      <c r="I63" s="224"/>
      <c r="J63" s="224"/>
      <c r="K63" s="224"/>
    </row>
    <row r="64" spans="1:12" ht="18">
      <c r="A64" s="224" t="s">
        <v>465</v>
      </c>
      <c r="B64" s="224"/>
      <c r="C64" s="224"/>
      <c r="D64" s="224"/>
      <c r="E64" s="224"/>
      <c r="F64" s="224"/>
      <c r="G64" s="224"/>
      <c r="H64" s="224"/>
      <c r="I64" s="224"/>
      <c r="J64" s="224"/>
      <c r="K64" s="224"/>
    </row>
    <row r="67" spans="1:11" ht="18">
      <c r="A67" s="225" t="s">
        <v>452</v>
      </c>
      <c r="B67" s="224"/>
      <c r="C67" s="224"/>
      <c r="D67" s="224"/>
      <c r="E67" s="224"/>
      <c r="F67" s="224"/>
      <c r="G67" s="224"/>
      <c r="H67" s="224"/>
      <c r="I67" s="224"/>
      <c r="J67" s="224"/>
      <c r="K67" s="224"/>
    </row>
    <row r="68" spans="1:11" ht="18">
      <c r="A68" s="224" t="s">
        <v>142</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453</v>
      </c>
      <c r="B73" s="224"/>
      <c r="C73" s="224"/>
      <c r="D73" s="224"/>
      <c r="E73" s="224"/>
      <c r="F73" s="224"/>
      <c r="G73" s="224"/>
      <c r="H73" s="224"/>
      <c r="I73" s="224"/>
      <c r="J73" s="224"/>
      <c r="K73" s="224"/>
    </row>
    <row r="74" spans="1:11" ht="20">
      <c r="A74" s="224" t="s">
        <v>454</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455</v>
      </c>
      <c r="B76" s="219"/>
      <c r="C76" s="219"/>
      <c r="D76" s="219"/>
      <c r="E76" s="219"/>
      <c r="F76" s="219"/>
      <c r="G76" s="219"/>
      <c r="H76" s="219"/>
      <c r="I76" s="219"/>
      <c r="J76" s="219"/>
      <c r="K76" s="219"/>
    </row>
    <row r="77" spans="1:11" ht="18">
      <c r="A77" s="224" t="s">
        <v>456</v>
      </c>
      <c r="B77" s="219"/>
      <c r="C77" s="219"/>
      <c r="D77" s="219"/>
      <c r="E77" s="219"/>
      <c r="F77" s="219"/>
      <c r="G77" s="219"/>
      <c r="H77" s="219"/>
      <c r="I77" s="219"/>
      <c r="J77" s="219"/>
      <c r="K77" s="219"/>
    </row>
    <row r="78" spans="1:11" ht="18">
      <c r="A78" s="224" t="s">
        <v>457</v>
      </c>
      <c r="B78" s="219"/>
      <c r="C78" s="219"/>
      <c r="D78" s="219"/>
      <c r="E78" s="219"/>
      <c r="F78" s="219"/>
      <c r="G78" s="219"/>
      <c r="H78" s="219"/>
      <c r="I78" s="219"/>
      <c r="J78" s="219"/>
      <c r="K78" s="219"/>
    </row>
    <row r="79" spans="1:11" ht="18">
      <c r="A79" s="224" t="s">
        <v>458</v>
      </c>
      <c r="B79" s="219"/>
      <c r="C79" s="219"/>
      <c r="D79" s="219"/>
      <c r="E79" s="219"/>
      <c r="F79" s="219"/>
      <c r="G79" s="219"/>
      <c r="H79" s="219"/>
      <c r="I79" s="219"/>
      <c r="J79" s="219"/>
      <c r="K79" s="219"/>
    </row>
    <row r="80" spans="1:11" ht="18">
      <c r="A80" s="224" t="s">
        <v>324</v>
      </c>
      <c r="B80" s="219"/>
      <c r="C80" s="219"/>
      <c r="D80" s="219"/>
      <c r="E80" s="219"/>
      <c r="F80" s="219"/>
      <c r="G80" s="219"/>
      <c r="H80" s="219"/>
      <c r="I80" s="219"/>
      <c r="J80" s="219"/>
      <c r="K80" s="219"/>
    </row>
    <row r="81" spans="1:11" ht="18">
      <c r="A81" s="224" t="s">
        <v>332</v>
      </c>
    </row>
    <row r="82" spans="1:11" ht="20" customHeight="1">
      <c r="B82" s="219"/>
      <c r="C82" s="219"/>
      <c r="D82" s="219"/>
      <c r="E82" s="219"/>
      <c r="F82" s="219"/>
      <c r="G82" s="219"/>
      <c r="H82" s="219"/>
      <c r="I82" s="219"/>
      <c r="J82" s="219"/>
      <c r="K82" s="219"/>
    </row>
    <row r="83" spans="1:11" ht="18">
      <c r="A83" s="233" t="s">
        <v>459</v>
      </c>
      <c r="B83" s="219"/>
      <c r="C83" s="219"/>
      <c r="D83" s="219"/>
      <c r="E83" s="219"/>
      <c r="F83" s="219"/>
      <c r="G83" s="219"/>
      <c r="H83" s="219"/>
      <c r="I83" s="219"/>
      <c r="J83" s="219"/>
      <c r="K83" s="219"/>
    </row>
    <row r="84" spans="1:11" s="233" customFormat="1" ht="18">
      <c r="A84" s="233" t="s">
        <v>460</v>
      </c>
      <c r="B84" s="224"/>
      <c r="C84" s="224"/>
      <c r="D84" s="224"/>
      <c r="E84" s="224"/>
      <c r="F84" s="224"/>
      <c r="G84" s="224"/>
      <c r="H84" s="224"/>
      <c r="I84" s="224"/>
      <c r="J84" s="224"/>
      <c r="K84" s="224"/>
    </row>
    <row r="85" spans="1:11" ht="18">
      <c r="A85" s="233" t="s">
        <v>461</v>
      </c>
      <c r="B85" s="219"/>
      <c r="C85" s="219"/>
      <c r="D85" s="219"/>
      <c r="E85" s="219"/>
      <c r="F85" s="219"/>
      <c r="G85" s="219"/>
      <c r="H85" s="219"/>
      <c r="I85" s="219"/>
      <c r="J85" s="219"/>
      <c r="K85" s="219"/>
    </row>
    <row r="86" spans="1:11" ht="18">
      <c r="A86" s="233" t="s">
        <v>462</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3" t="s">
        <v>240</v>
      </c>
      <c r="F1" s="524"/>
      <c r="G1" s="515" t="s">
        <v>326</v>
      </c>
      <c r="H1" s="516"/>
    </row>
    <row r="2" spans="1:8" s="29" customFormat="1" ht="18">
      <c r="A2" s="10"/>
      <c r="B2" s="10"/>
      <c r="C2" s="10"/>
      <c r="D2" s="11"/>
      <c r="E2" s="513"/>
      <c r="F2" s="514"/>
      <c r="G2" s="517"/>
      <c r="H2" s="518"/>
    </row>
    <row r="3" spans="1:8" s="29" customFormat="1" ht="18">
      <c r="A3" s="10"/>
      <c r="B3" s="25" t="s">
        <v>227</v>
      </c>
      <c r="C3" s="10"/>
      <c r="D3" s="11"/>
      <c r="E3" s="525" t="s">
        <v>594</v>
      </c>
      <c r="F3" s="526"/>
      <c r="G3" s="519" t="s">
        <v>595</v>
      </c>
      <c r="H3" s="520"/>
    </row>
    <row r="4" spans="1:8" s="29" customFormat="1" ht="18">
      <c r="A4" s="10"/>
      <c r="B4" s="10" t="s">
        <v>228</v>
      </c>
      <c r="C4" s="10"/>
      <c r="D4" s="11"/>
      <c r="E4" s="521"/>
      <c r="F4" s="522"/>
      <c r="G4" s="521"/>
      <c r="H4" s="522"/>
    </row>
    <row r="5" spans="1:8" ht="42" customHeight="1">
      <c r="A5" s="30"/>
      <c r="B5" s="31" t="s">
        <v>145</v>
      </c>
      <c r="C5" s="31" t="s">
        <v>146</v>
      </c>
      <c r="D5" s="32" t="s">
        <v>225</v>
      </c>
      <c r="E5" s="275" t="s">
        <v>147</v>
      </c>
      <c r="F5" s="276" t="s">
        <v>148</v>
      </c>
      <c r="G5" s="259" t="s">
        <v>147</v>
      </c>
      <c r="H5" s="260" t="s">
        <v>148</v>
      </c>
    </row>
    <row r="6" spans="1:8" ht="18">
      <c r="A6" s="33" t="s">
        <v>149</v>
      </c>
      <c r="B6" s="33"/>
      <c r="C6" s="33"/>
      <c r="D6" s="34"/>
      <c r="E6" s="78"/>
      <c r="F6" s="277"/>
      <c r="G6" s="78"/>
      <c r="H6" s="261"/>
    </row>
    <row r="7" spans="1:8" ht="18">
      <c r="A7" s="12"/>
      <c r="B7" s="12" t="s">
        <v>150</v>
      </c>
      <c r="C7" s="12"/>
      <c r="D7" s="13">
        <v>89.1</v>
      </c>
      <c r="E7" s="79"/>
      <c r="F7" s="278">
        <f>E7/$D7</f>
        <v>0</v>
      </c>
      <c r="G7" s="79">
        <v>0</v>
      </c>
      <c r="H7" s="262">
        <f>G7/$D7</f>
        <v>0</v>
      </c>
    </row>
    <row r="8" spans="1:8" ht="18">
      <c r="A8" s="12"/>
      <c r="B8" s="12" t="s">
        <v>151</v>
      </c>
      <c r="C8" s="12"/>
      <c r="D8" s="13">
        <v>174.2</v>
      </c>
      <c r="E8" s="79"/>
      <c r="F8" s="278">
        <f t="shared" ref="F8:F31" si="0">E8/$D8</f>
        <v>0</v>
      </c>
      <c r="G8" s="79">
        <v>0</v>
      </c>
      <c r="H8" s="262">
        <f t="shared" ref="H8:H31" si="1">G8/$D8</f>
        <v>0</v>
      </c>
    </row>
    <row r="9" spans="1:8" ht="18">
      <c r="A9" s="12"/>
      <c r="B9" s="12" t="s">
        <v>152</v>
      </c>
      <c r="C9" s="12"/>
      <c r="D9" s="13">
        <v>210.65299999999999</v>
      </c>
      <c r="E9" s="80">
        <v>675.68</v>
      </c>
      <c r="F9" s="278">
        <f t="shared" si="0"/>
        <v>3.207549856873626</v>
      </c>
      <c r="G9" s="80">
        <v>2609</v>
      </c>
      <c r="H9" s="262">
        <f t="shared" si="1"/>
        <v>12.385297147441527</v>
      </c>
    </row>
    <row r="10" spans="1:8" ht="18">
      <c r="A10" s="12"/>
      <c r="B10" s="12" t="s">
        <v>229</v>
      </c>
      <c r="C10" s="12"/>
      <c r="D10" s="13">
        <v>150.1</v>
      </c>
      <c r="E10" s="79">
        <v>1100.3</v>
      </c>
      <c r="F10" s="278">
        <f t="shared" si="0"/>
        <v>7.3304463690872748</v>
      </c>
      <c r="G10" s="79">
        <v>2500</v>
      </c>
      <c r="H10" s="262">
        <f t="shared" si="1"/>
        <v>16.655562958027982</v>
      </c>
    </row>
    <row r="11" spans="1:8" ht="18">
      <c r="A11" s="12"/>
      <c r="B11" s="12" t="s">
        <v>153</v>
      </c>
      <c r="C11" s="12"/>
      <c r="D11" s="13">
        <v>133.1</v>
      </c>
      <c r="E11" s="79">
        <v>289.32</v>
      </c>
      <c r="F11" s="278">
        <f t="shared" si="0"/>
        <v>2.1737039819684449</v>
      </c>
      <c r="G11" s="79">
        <v>500</v>
      </c>
      <c r="H11" s="262">
        <f t="shared" si="1"/>
        <v>3.7565740045078888</v>
      </c>
    </row>
    <row r="12" spans="1:8" ht="18">
      <c r="A12" s="12"/>
      <c r="B12" s="12" t="s">
        <v>154</v>
      </c>
      <c r="C12" s="12"/>
      <c r="D12" s="13">
        <v>121.16</v>
      </c>
      <c r="E12" s="79"/>
      <c r="F12" s="278">
        <f t="shared" si="0"/>
        <v>0</v>
      </c>
      <c r="G12" s="79">
        <v>0</v>
      </c>
      <c r="H12" s="262">
        <f t="shared" si="1"/>
        <v>0</v>
      </c>
    </row>
    <row r="13" spans="1:8" ht="18">
      <c r="A13" s="12"/>
      <c r="B13" s="12" t="s">
        <v>230</v>
      </c>
      <c r="C13" s="12"/>
      <c r="D13" s="13">
        <v>175.65299999999999</v>
      </c>
      <c r="E13" s="79">
        <v>219.74</v>
      </c>
      <c r="F13" s="278">
        <f t="shared" si="0"/>
        <v>1.2509891661400603</v>
      </c>
      <c r="G13" s="79">
        <v>2500</v>
      </c>
      <c r="H13" s="262">
        <f t="shared" si="1"/>
        <v>14.232606331801906</v>
      </c>
    </row>
    <row r="14" spans="1:8" ht="18">
      <c r="A14" s="12"/>
      <c r="B14" s="12" t="s">
        <v>155</v>
      </c>
      <c r="C14" s="12"/>
      <c r="D14" s="13">
        <v>313.10599999999999</v>
      </c>
      <c r="E14" s="79"/>
      <c r="F14" s="278">
        <f t="shared" si="0"/>
        <v>0</v>
      </c>
      <c r="G14" s="79">
        <v>0</v>
      </c>
      <c r="H14" s="262">
        <f t="shared" si="1"/>
        <v>0</v>
      </c>
    </row>
    <row r="15" spans="1:8" ht="18">
      <c r="A15" s="12"/>
      <c r="B15" s="12" t="s">
        <v>156</v>
      </c>
      <c r="C15" s="12"/>
      <c r="D15" s="13">
        <v>147.1</v>
      </c>
      <c r="E15" s="79">
        <v>155.5</v>
      </c>
      <c r="F15" s="278">
        <f t="shared" si="0"/>
        <v>1.0571040108769545</v>
      </c>
      <c r="G15" s="79">
        <v>1700</v>
      </c>
      <c r="H15" s="262">
        <f t="shared" si="1"/>
        <v>11.556764106050306</v>
      </c>
    </row>
    <row r="16" spans="1:8" ht="18">
      <c r="A16" s="12"/>
      <c r="B16" s="12" t="s">
        <v>157</v>
      </c>
      <c r="C16" s="12"/>
      <c r="D16" s="13">
        <v>146.1</v>
      </c>
      <c r="E16" s="80">
        <v>492.8</v>
      </c>
      <c r="F16" s="278">
        <f t="shared" si="0"/>
        <v>3.3730321697467489</v>
      </c>
      <c r="G16" s="80">
        <v>0</v>
      </c>
      <c r="H16" s="262">
        <f t="shared" si="1"/>
        <v>0</v>
      </c>
    </row>
    <row r="17" spans="1:8" ht="18">
      <c r="A17" s="12"/>
      <c r="B17" s="12" t="s">
        <v>158</v>
      </c>
      <c r="C17" s="12"/>
      <c r="D17" s="13">
        <v>75.099999999999994</v>
      </c>
      <c r="E17" s="79">
        <v>192.12</v>
      </c>
      <c r="F17" s="278">
        <f t="shared" si="0"/>
        <v>2.5581890812250334</v>
      </c>
      <c r="G17" s="79">
        <v>0</v>
      </c>
      <c r="H17" s="262">
        <f t="shared" si="1"/>
        <v>0</v>
      </c>
    </row>
    <row r="18" spans="1:8" ht="18">
      <c r="A18" s="12"/>
      <c r="B18" s="12" t="s">
        <v>159</v>
      </c>
      <c r="C18" s="12"/>
      <c r="D18" s="13">
        <v>155.16</v>
      </c>
      <c r="E18" s="79"/>
      <c r="F18" s="278">
        <f t="shared" si="0"/>
        <v>0</v>
      </c>
      <c r="G18" s="79">
        <v>0</v>
      </c>
      <c r="H18" s="262">
        <f t="shared" si="1"/>
        <v>0</v>
      </c>
    </row>
    <row r="19" spans="1:8" ht="18">
      <c r="A19" s="12"/>
      <c r="B19" s="12" t="s">
        <v>231</v>
      </c>
      <c r="C19" s="12"/>
      <c r="D19" s="13">
        <v>209.65299999999999</v>
      </c>
      <c r="E19" s="79">
        <v>196.86</v>
      </c>
      <c r="F19" s="278">
        <f t="shared" si="0"/>
        <v>0.93898012430063016</v>
      </c>
      <c r="G19" s="79">
        <v>1395</v>
      </c>
      <c r="H19" s="262">
        <f t="shared" si="1"/>
        <v>6.6538518408990095</v>
      </c>
    </row>
    <row r="20" spans="1:8" ht="18">
      <c r="A20" s="12"/>
      <c r="B20" s="12" t="s">
        <v>160</v>
      </c>
      <c r="C20" s="12"/>
      <c r="D20" s="13">
        <v>131.13</v>
      </c>
      <c r="E20" s="79"/>
      <c r="F20" s="278">
        <f t="shared" si="0"/>
        <v>0</v>
      </c>
      <c r="G20" s="79">
        <v>0</v>
      </c>
      <c r="H20" s="262">
        <f t="shared" si="1"/>
        <v>0</v>
      </c>
    </row>
    <row r="21" spans="1:8" ht="18">
      <c r="A21" s="12"/>
      <c r="B21" s="12" t="s">
        <v>161</v>
      </c>
      <c r="C21" s="12"/>
      <c r="D21" s="13">
        <v>131.19999999999999</v>
      </c>
      <c r="E21" s="79">
        <v>305.89</v>
      </c>
      <c r="F21" s="278">
        <f t="shared" si="0"/>
        <v>2.3314786585365854</v>
      </c>
      <c r="G21" s="79">
        <v>1868.1226001313196</v>
      </c>
      <c r="H21" s="262">
        <f t="shared" si="1"/>
        <v>14.238739330269205</v>
      </c>
    </row>
    <row r="22" spans="1:8" ht="18">
      <c r="A22" s="12"/>
      <c r="B22" s="12" t="s">
        <v>162</v>
      </c>
      <c r="C22" s="12"/>
      <c r="D22" s="13">
        <v>131.19999999999999</v>
      </c>
      <c r="E22" s="79">
        <v>547.02</v>
      </c>
      <c r="F22" s="278">
        <f t="shared" si="0"/>
        <v>4.1693597560975615</v>
      </c>
      <c r="G22" s="79">
        <v>3525.7738673670378</v>
      </c>
      <c r="H22" s="262">
        <f t="shared" si="1"/>
        <v>26.873276428102425</v>
      </c>
    </row>
    <row r="23" spans="1:8" ht="18">
      <c r="A23" s="12"/>
      <c r="B23" s="12" t="s">
        <v>163</v>
      </c>
      <c r="C23" s="12"/>
      <c r="D23" s="13">
        <v>182.65299999999999</v>
      </c>
      <c r="E23" s="79">
        <v>755.43</v>
      </c>
      <c r="F23" s="278">
        <f t="shared" si="0"/>
        <v>4.1358751293436189</v>
      </c>
      <c r="G23" s="79">
        <v>3047.654652659226</v>
      </c>
      <c r="H23" s="262">
        <f t="shared" si="1"/>
        <v>16.685489166119506</v>
      </c>
    </row>
    <row r="24" spans="1:8" ht="18">
      <c r="A24" s="12"/>
      <c r="B24" s="12" t="s">
        <v>164</v>
      </c>
      <c r="C24" s="12"/>
      <c r="D24" s="13">
        <v>149.19999999999999</v>
      </c>
      <c r="E24" s="79">
        <v>187.06</v>
      </c>
      <c r="F24" s="278">
        <f t="shared" si="0"/>
        <v>1.2537533512064345</v>
      </c>
      <c r="G24" s="79">
        <v>807</v>
      </c>
      <c r="H24" s="262">
        <f t="shared" si="1"/>
        <v>5.4088471849865956</v>
      </c>
    </row>
    <row r="25" spans="1:8" ht="18">
      <c r="A25" s="12"/>
      <c r="B25" s="12" t="s">
        <v>165</v>
      </c>
      <c r="C25" s="12"/>
      <c r="D25" s="13">
        <v>165.2</v>
      </c>
      <c r="E25" s="79">
        <v>170.16</v>
      </c>
      <c r="F25" s="278">
        <f t="shared" si="0"/>
        <v>1.0300242130750605</v>
      </c>
      <c r="G25" s="79">
        <v>2243</v>
      </c>
      <c r="H25" s="262">
        <f t="shared" si="1"/>
        <v>13.577481840193705</v>
      </c>
    </row>
    <row r="26" spans="1:8" ht="18">
      <c r="A26" s="12"/>
      <c r="B26" s="12" t="s">
        <v>166</v>
      </c>
      <c r="C26" s="12"/>
      <c r="D26" s="13">
        <v>115.1</v>
      </c>
      <c r="E26" s="79">
        <v>226.77</v>
      </c>
      <c r="F26" s="278">
        <f t="shared" si="0"/>
        <v>1.970199826238054</v>
      </c>
      <c r="G26" s="79">
        <v>2187.2174130006565</v>
      </c>
      <c r="H26" s="262">
        <f t="shared" si="1"/>
        <v>19.002757715036115</v>
      </c>
    </row>
    <row r="27" spans="1:8" ht="18">
      <c r="A27" s="12"/>
      <c r="B27" s="12" t="s">
        <v>167</v>
      </c>
      <c r="C27" s="12"/>
      <c r="D27" s="13">
        <v>105.1</v>
      </c>
      <c r="E27" s="79">
        <v>577.64</v>
      </c>
      <c r="F27" s="278">
        <f t="shared" si="0"/>
        <v>5.4960989533777358</v>
      </c>
      <c r="G27" s="79">
        <v>3816</v>
      </c>
      <c r="H27" s="262">
        <f t="shared" si="1"/>
        <v>36.308277830637493</v>
      </c>
    </row>
    <row r="28" spans="1:8" ht="18">
      <c r="A28" s="12"/>
      <c r="B28" s="12" t="s">
        <v>168</v>
      </c>
      <c r="C28" s="12"/>
      <c r="D28" s="13">
        <v>119.1</v>
      </c>
      <c r="E28" s="79">
        <v>525.35</v>
      </c>
      <c r="F28" s="278">
        <f t="shared" si="0"/>
        <v>4.4109991603694381</v>
      </c>
      <c r="G28" s="79">
        <v>2461</v>
      </c>
      <c r="H28" s="262">
        <f t="shared" si="1"/>
        <v>20.663308144416458</v>
      </c>
    </row>
    <row r="29" spans="1:8" ht="18">
      <c r="A29" s="12"/>
      <c r="B29" s="12" t="s">
        <v>169</v>
      </c>
      <c r="C29" s="12"/>
      <c r="D29" s="13">
        <v>204.2</v>
      </c>
      <c r="E29" s="79">
        <v>120.92</v>
      </c>
      <c r="F29" s="278">
        <f t="shared" si="0"/>
        <v>0.59216454456415279</v>
      </c>
      <c r="G29" s="79">
        <v>906</v>
      </c>
      <c r="H29" s="262">
        <f t="shared" si="1"/>
        <v>4.4368266405484817</v>
      </c>
    </row>
    <row r="30" spans="1:8" ht="18">
      <c r="A30" s="12"/>
      <c r="B30" s="12" t="s">
        <v>338</v>
      </c>
      <c r="C30" s="12"/>
      <c r="D30" s="13">
        <v>181.19</v>
      </c>
      <c r="E30" s="79">
        <v>200</v>
      </c>
      <c r="F30" s="278">
        <f t="shared" si="0"/>
        <v>1.1038136762514488</v>
      </c>
      <c r="G30" s="79">
        <v>0</v>
      </c>
      <c r="H30" s="262">
        <f t="shared" si="1"/>
        <v>0</v>
      </c>
    </row>
    <row r="31" spans="1:8" ht="18">
      <c r="A31" s="12"/>
      <c r="B31" s="12" t="s">
        <v>170</v>
      </c>
      <c r="C31" s="12"/>
      <c r="D31" s="13">
        <v>117.1</v>
      </c>
      <c r="E31" s="79">
        <v>275.33999999999997</v>
      </c>
      <c r="F31" s="279">
        <f t="shared" si="0"/>
        <v>2.3513236549957299</v>
      </c>
      <c r="G31" s="79">
        <v>2841.7701904136575</v>
      </c>
      <c r="H31" s="263">
        <f t="shared" si="1"/>
        <v>24.26789231779383</v>
      </c>
    </row>
    <row r="32" spans="1:8" ht="18">
      <c r="A32" s="22" t="s">
        <v>171</v>
      </c>
      <c r="B32" s="14"/>
      <c r="C32" s="14"/>
      <c r="D32" s="15"/>
      <c r="E32" s="81"/>
      <c r="F32" s="280"/>
      <c r="G32" s="81"/>
      <c r="H32" s="264"/>
    </row>
    <row r="33" spans="1:8" ht="18">
      <c r="A33" s="16"/>
      <c r="B33" s="16" t="s">
        <v>172</v>
      </c>
      <c r="C33" s="16"/>
      <c r="D33" s="17">
        <v>180</v>
      </c>
      <c r="E33" s="82">
        <v>5400</v>
      </c>
      <c r="F33" s="281">
        <f>E33/$D33</f>
        <v>30</v>
      </c>
      <c r="G33" s="82">
        <v>72000</v>
      </c>
      <c r="H33" s="265">
        <f>G33/$D33</f>
        <v>400</v>
      </c>
    </row>
    <row r="34" spans="1:8" ht="18">
      <c r="A34" s="33" t="s">
        <v>173</v>
      </c>
      <c r="B34" s="33"/>
      <c r="C34" s="33"/>
      <c r="D34" s="13"/>
      <c r="E34" s="79"/>
      <c r="F34" s="282"/>
      <c r="G34" s="79"/>
      <c r="H34" s="266"/>
    </row>
    <row r="35" spans="1:8" ht="18">
      <c r="A35" s="12"/>
      <c r="B35" s="12" t="s">
        <v>174</v>
      </c>
      <c r="C35" s="12"/>
      <c r="D35" s="13">
        <v>176.13</v>
      </c>
      <c r="E35" s="79"/>
      <c r="F35" s="278"/>
      <c r="G35" s="79"/>
      <c r="H35" s="262"/>
    </row>
    <row r="36" spans="1:8" ht="18">
      <c r="A36" s="12"/>
      <c r="B36" s="12" t="s">
        <v>175</v>
      </c>
      <c r="C36" s="12"/>
      <c r="D36" s="18">
        <v>1355</v>
      </c>
      <c r="E36" s="83"/>
      <c r="F36" s="283">
        <f>E36/$D36</f>
        <v>0</v>
      </c>
      <c r="G36" s="83"/>
      <c r="H36" s="267">
        <f>G36/$D36</f>
        <v>0</v>
      </c>
    </row>
    <row r="37" spans="1:8" ht="18">
      <c r="A37" s="12"/>
      <c r="B37" s="12" t="s">
        <v>176</v>
      </c>
      <c r="C37" s="12"/>
      <c r="D37" s="13">
        <v>244</v>
      </c>
      <c r="E37" s="83"/>
      <c r="F37" s="283">
        <f t="shared" ref="F37:H54" si="2">E37/$D37</f>
        <v>0</v>
      </c>
      <c r="G37" s="83"/>
      <c r="H37" s="267">
        <f t="shared" si="2"/>
        <v>0</v>
      </c>
    </row>
    <row r="38" spans="1:8" ht="18">
      <c r="A38" s="12"/>
      <c r="B38" s="12" t="s">
        <v>177</v>
      </c>
      <c r="C38" s="12"/>
      <c r="D38" s="13">
        <v>140</v>
      </c>
      <c r="E38" s="79"/>
      <c r="F38" s="283">
        <f t="shared" si="2"/>
        <v>0</v>
      </c>
      <c r="G38" s="79"/>
      <c r="H38" s="267">
        <f t="shared" si="2"/>
        <v>0</v>
      </c>
    </row>
    <row r="39" spans="1:8" ht="18">
      <c r="A39" s="12"/>
      <c r="B39" s="12" t="s">
        <v>178</v>
      </c>
      <c r="C39" s="12"/>
      <c r="D39" s="13">
        <v>396.66</v>
      </c>
      <c r="E39" s="79"/>
      <c r="F39" s="283">
        <f>E39/$D39</f>
        <v>0</v>
      </c>
      <c r="G39" s="79"/>
      <c r="H39" s="267">
        <f t="shared" si="2"/>
        <v>0</v>
      </c>
    </row>
    <row r="40" spans="1:8" ht="18">
      <c r="A40" s="12"/>
      <c r="B40" s="12" t="s">
        <v>179</v>
      </c>
      <c r="C40" s="12"/>
      <c r="D40" s="13">
        <v>441</v>
      </c>
      <c r="E40" s="79"/>
      <c r="F40" s="283">
        <f>E40/$D40</f>
        <v>0</v>
      </c>
      <c r="G40" s="79"/>
      <c r="H40" s="267">
        <f t="shared" si="2"/>
        <v>0</v>
      </c>
    </row>
    <row r="41" spans="1:8" ht="18">
      <c r="A41" s="12"/>
      <c r="B41" s="12" t="s">
        <v>180</v>
      </c>
      <c r="C41" s="12"/>
      <c r="D41" s="13">
        <v>180</v>
      </c>
      <c r="E41" s="79"/>
      <c r="F41" s="283">
        <f>E41/$D41</f>
        <v>0</v>
      </c>
      <c r="G41" s="79"/>
      <c r="H41" s="267">
        <f t="shared" si="2"/>
        <v>0</v>
      </c>
    </row>
    <row r="42" spans="1:8" ht="18">
      <c r="A42" s="12"/>
      <c r="B42" s="12" t="s">
        <v>181</v>
      </c>
      <c r="C42" s="12"/>
      <c r="D42" s="13"/>
      <c r="E42" s="79"/>
      <c r="F42" s="283"/>
      <c r="G42" s="79"/>
      <c r="H42" s="267"/>
    </row>
    <row r="43" spans="1:8" ht="18">
      <c r="A43" s="12"/>
      <c r="B43" s="12" t="s">
        <v>182</v>
      </c>
      <c r="C43" s="12"/>
      <c r="D43" s="13">
        <v>122</v>
      </c>
      <c r="E43" s="79"/>
      <c r="F43" s="283">
        <f t="shared" si="2"/>
        <v>0</v>
      </c>
      <c r="G43" s="79"/>
      <c r="H43" s="267">
        <f t="shared" si="2"/>
        <v>0</v>
      </c>
    </row>
    <row r="44" spans="1:8" ht="18">
      <c r="A44" s="12"/>
      <c r="B44" s="12" t="s">
        <v>183</v>
      </c>
      <c r="C44" s="12"/>
      <c r="D44" s="13">
        <v>477</v>
      </c>
      <c r="E44" s="79"/>
      <c r="F44" s="283">
        <f t="shared" si="2"/>
        <v>0</v>
      </c>
      <c r="G44" s="79"/>
      <c r="H44" s="267">
        <f t="shared" si="2"/>
        <v>0</v>
      </c>
    </row>
    <row r="45" spans="1:8" ht="18">
      <c r="A45" s="12"/>
      <c r="B45" s="12" t="s">
        <v>184</v>
      </c>
      <c r="C45" s="12"/>
      <c r="D45" s="13">
        <v>204</v>
      </c>
      <c r="E45" s="79"/>
      <c r="F45" s="283">
        <f t="shared" si="2"/>
        <v>0</v>
      </c>
      <c r="G45" s="79"/>
      <c r="H45" s="267">
        <f t="shared" si="2"/>
        <v>0</v>
      </c>
    </row>
    <row r="46" spans="1:8" ht="18">
      <c r="A46" s="12"/>
      <c r="B46" s="12" t="s">
        <v>185</v>
      </c>
      <c r="C46" s="12"/>
      <c r="D46" s="13">
        <v>206</v>
      </c>
      <c r="E46" s="79"/>
      <c r="F46" s="283">
        <f t="shared" si="2"/>
        <v>0</v>
      </c>
      <c r="G46" s="79"/>
      <c r="H46" s="267">
        <f t="shared" si="2"/>
        <v>0</v>
      </c>
    </row>
    <row r="47" spans="1:8" ht="18">
      <c r="A47" s="12"/>
      <c r="B47" s="12" t="s">
        <v>186</v>
      </c>
      <c r="C47" s="12"/>
      <c r="D47" s="13">
        <v>376</v>
      </c>
      <c r="E47" s="79"/>
      <c r="F47" s="283">
        <f t="shared" si="2"/>
        <v>0</v>
      </c>
      <c r="G47" s="79"/>
      <c r="H47" s="267">
        <f t="shared" si="2"/>
        <v>0</v>
      </c>
    </row>
    <row r="48" spans="1:8" ht="18">
      <c r="A48" s="12"/>
      <c r="B48" s="12" t="s">
        <v>187</v>
      </c>
      <c r="C48" s="12"/>
      <c r="D48" s="13">
        <v>337</v>
      </c>
      <c r="E48" s="79"/>
      <c r="F48" s="283">
        <f t="shared" si="2"/>
        <v>0</v>
      </c>
      <c r="G48" s="79"/>
      <c r="H48" s="267">
        <f t="shared" si="2"/>
        <v>0</v>
      </c>
    </row>
    <row r="49" spans="1:8" ht="18">
      <c r="A49" s="12"/>
      <c r="B49" s="12" t="s">
        <v>188</v>
      </c>
      <c r="C49" s="12"/>
      <c r="D49" s="13">
        <v>242.23</v>
      </c>
      <c r="E49" s="79"/>
      <c r="F49" s="283">
        <f t="shared" si="2"/>
        <v>0</v>
      </c>
      <c r="G49" s="79"/>
      <c r="H49" s="267">
        <f t="shared" si="2"/>
        <v>0</v>
      </c>
    </row>
    <row r="50" spans="1:8" ht="18">
      <c r="A50" s="12"/>
      <c r="B50" s="12" t="s">
        <v>189</v>
      </c>
      <c r="C50" s="12"/>
      <c r="D50" s="13">
        <v>88.15</v>
      </c>
      <c r="E50" s="79"/>
      <c r="F50" s="283">
        <f t="shared" si="2"/>
        <v>0</v>
      </c>
      <c r="G50" s="79"/>
      <c r="H50" s="267">
        <f t="shared" si="2"/>
        <v>0</v>
      </c>
    </row>
    <row r="51" spans="1:8" ht="18">
      <c r="A51" s="12"/>
      <c r="B51" s="12" t="s">
        <v>190</v>
      </c>
      <c r="C51" s="12"/>
      <c r="D51" s="13">
        <v>110</v>
      </c>
      <c r="E51" s="79"/>
      <c r="F51" s="283">
        <f t="shared" si="2"/>
        <v>0</v>
      </c>
      <c r="G51" s="79"/>
      <c r="H51" s="267">
        <f t="shared" si="2"/>
        <v>0</v>
      </c>
    </row>
    <row r="52" spans="1:8" ht="18">
      <c r="A52" s="12"/>
      <c r="B52" s="19" t="s">
        <v>211</v>
      </c>
      <c r="C52" s="12"/>
      <c r="D52" s="13"/>
      <c r="E52" s="79"/>
      <c r="F52" s="283"/>
      <c r="G52" s="79"/>
      <c r="H52" s="267"/>
    </row>
    <row r="53" spans="1:8" ht="18">
      <c r="A53" s="12"/>
      <c r="B53" s="12" t="s">
        <v>191</v>
      </c>
      <c r="C53" s="12"/>
      <c r="D53" s="13">
        <v>206</v>
      </c>
      <c r="E53" s="79"/>
      <c r="F53" s="283">
        <f t="shared" si="2"/>
        <v>0</v>
      </c>
      <c r="G53" s="79"/>
      <c r="H53" s="267">
        <f t="shared" si="2"/>
        <v>0</v>
      </c>
    </row>
    <row r="54" spans="1:8" ht="18">
      <c r="A54" s="12"/>
      <c r="B54" s="12" t="s">
        <v>192</v>
      </c>
      <c r="C54" s="12"/>
      <c r="D54" s="13">
        <v>280.48</v>
      </c>
      <c r="E54" s="79"/>
      <c r="F54" s="283">
        <f t="shared" si="2"/>
        <v>0</v>
      </c>
      <c r="G54" s="79"/>
      <c r="H54" s="267">
        <f t="shared" si="2"/>
        <v>0</v>
      </c>
    </row>
    <row r="55" spans="1:8" ht="18">
      <c r="A55" s="12"/>
      <c r="B55" s="12" t="s">
        <v>193</v>
      </c>
      <c r="C55" s="12"/>
      <c r="D55" s="13"/>
      <c r="E55" s="79"/>
      <c r="F55" s="278"/>
      <c r="G55" s="79"/>
      <c r="H55" s="262"/>
    </row>
    <row r="56" spans="1:8" ht="18">
      <c r="A56" s="12"/>
      <c r="B56" s="12" t="s">
        <v>194</v>
      </c>
      <c r="C56" s="12"/>
      <c r="D56" s="13"/>
      <c r="E56" s="79"/>
      <c r="F56" s="279"/>
      <c r="G56" s="79"/>
      <c r="H56" s="263"/>
    </row>
    <row r="57" spans="1:8" ht="18">
      <c r="A57" s="22" t="s">
        <v>195</v>
      </c>
      <c r="B57" s="14"/>
      <c r="C57" s="14"/>
      <c r="D57" s="15"/>
      <c r="E57" s="81"/>
      <c r="F57" s="280"/>
      <c r="G57" s="81"/>
      <c r="H57" s="264"/>
    </row>
    <row r="58" spans="1:8" ht="18">
      <c r="A58" s="20"/>
      <c r="B58" s="20" t="s">
        <v>327</v>
      </c>
      <c r="C58" s="20"/>
      <c r="D58" s="21">
        <v>95.21</v>
      </c>
      <c r="E58" s="79"/>
      <c r="F58" s="278">
        <f t="shared" ref="F58:F67" si="3">E58/$D58</f>
        <v>0</v>
      </c>
      <c r="G58" s="79"/>
      <c r="H58" s="262">
        <f t="shared" ref="H58:H67" si="4">G58/$D58</f>
        <v>0</v>
      </c>
    </row>
    <row r="59" spans="1:8" ht="18">
      <c r="A59" s="20"/>
      <c r="B59" s="20" t="s">
        <v>196</v>
      </c>
      <c r="C59" s="20"/>
      <c r="D59" s="21">
        <v>120.4</v>
      </c>
      <c r="E59" s="79"/>
      <c r="F59" s="278">
        <f t="shared" si="3"/>
        <v>0</v>
      </c>
      <c r="G59" s="79"/>
      <c r="H59" s="262">
        <f t="shared" si="4"/>
        <v>0</v>
      </c>
    </row>
    <row r="60" spans="1:8" ht="18">
      <c r="A60" s="20"/>
      <c r="B60" s="20" t="s">
        <v>197</v>
      </c>
      <c r="C60" s="20"/>
      <c r="D60" s="21">
        <v>74.55</v>
      </c>
      <c r="E60" s="79"/>
      <c r="F60" s="278">
        <f t="shared" si="3"/>
        <v>0</v>
      </c>
      <c r="G60" s="79"/>
      <c r="H60" s="262">
        <f t="shared" si="4"/>
        <v>0</v>
      </c>
    </row>
    <row r="61" spans="1:8" ht="20">
      <c r="A61" s="20"/>
      <c r="B61" s="20" t="s">
        <v>198</v>
      </c>
      <c r="C61" s="20" t="s">
        <v>212</v>
      </c>
      <c r="D61" s="21">
        <v>142</v>
      </c>
      <c r="E61" s="79"/>
      <c r="F61" s="278">
        <f t="shared" si="3"/>
        <v>0</v>
      </c>
      <c r="G61" s="79"/>
      <c r="H61" s="262">
        <f t="shared" si="4"/>
        <v>0</v>
      </c>
    </row>
    <row r="62" spans="1:8" ht="20">
      <c r="A62" s="20"/>
      <c r="B62" s="20" t="s">
        <v>213</v>
      </c>
      <c r="C62" s="20"/>
      <c r="D62" s="21">
        <v>160</v>
      </c>
      <c r="E62" s="79"/>
      <c r="F62" s="278">
        <f t="shared" si="3"/>
        <v>0</v>
      </c>
      <c r="G62" s="79"/>
      <c r="H62" s="262">
        <f t="shared" si="4"/>
        <v>0</v>
      </c>
    </row>
    <row r="63" spans="1:8" ht="18">
      <c r="A63" s="20"/>
      <c r="B63" s="20" t="s">
        <v>199</v>
      </c>
      <c r="C63" s="20" t="s">
        <v>200</v>
      </c>
      <c r="D63" s="21">
        <v>58.44</v>
      </c>
      <c r="E63" s="79"/>
      <c r="F63" s="278">
        <f t="shared" si="3"/>
        <v>0</v>
      </c>
      <c r="G63" s="79"/>
      <c r="H63" s="262">
        <f t="shared" si="4"/>
        <v>0</v>
      </c>
    </row>
    <row r="64" spans="1:8" ht="20">
      <c r="A64" s="20"/>
      <c r="B64" s="20" t="s">
        <v>214</v>
      </c>
      <c r="C64" s="20" t="s">
        <v>215</v>
      </c>
      <c r="D64" s="21">
        <v>120</v>
      </c>
      <c r="E64" s="79"/>
      <c r="F64" s="278">
        <f t="shared" si="3"/>
        <v>0</v>
      </c>
      <c r="G64" s="79"/>
      <c r="H64" s="262">
        <f t="shared" si="4"/>
        <v>0</v>
      </c>
    </row>
    <row r="65" spans="1:8" ht="20">
      <c r="A65" s="20"/>
      <c r="B65" s="20" t="s">
        <v>201</v>
      </c>
      <c r="C65" s="20" t="s">
        <v>216</v>
      </c>
      <c r="D65" s="21">
        <v>111</v>
      </c>
      <c r="E65" s="79"/>
      <c r="F65" s="278">
        <f t="shared" si="3"/>
        <v>0</v>
      </c>
      <c r="G65" s="79"/>
      <c r="H65" s="262">
        <f t="shared" si="4"/>
        <v>0</v>
      </c>
    </row>
    <row r="66" spans="1:8" ht="20">
      <c r="A66" s="20"/>
      <c r="B66" s="20" t="s">
        <v>217</v>
      </c>
      <c r="C66" s="20" t="s">
        <v>232</v>
      </c>
      <c r="D66" s="21">
        <f>40+2*(14+3*16)+4*18</f>
        <v>236</v>
      </c>
      <c r="E66" s="79"/>
      <c r="F66" s="278">
        <f t="shared" si="3"/>
        <v>0</v>
      </c>
      <c r="G66" s="79"/>
      <c r="H66" s="262">
        <f t="shared" si="4"/>
        <v>0</v>
      </c>
    </row>
    <row r="67" spans="1:8" ht="20">
      <c r="A67" s="20"/>
      <c r="B67" s="20" t="s">
        <v>202</v>
      </c>
      <c r="C67" s="20" t="s">
        <v>218</v>
      </c>
      <c r="D67" s="21">
        <v>84.01</v>
      </c>
      <c r="E67" s="79"/>
      <c r="F67" s="278">
        <f t="shared" si="3"/>
        <v>0</v>
      </c>
      <c r="G67" s="79"/>
      <c r="H67" s="262">
        <f t="shared" si="4"/>
        <v>0</v>
      </c>
    </row>
    <row r="68" spans="1:8" ht="18">
      <c r="A68" s="16"/>
      <c r="B68" s="16" t="s">
        <v>203</v>
      </c>
      <c r="C68" s="16"/>
      <c r="D68" s="17"/>
      <c r="E68" s="84"/>
      <c r="F68" s="279"/>
      <c r="G68" s="79"/>
      <c r="H68" s="263"/>
    </row>
    <row r="69" spans="1:8" ht="18">
      <c r="A69" s="22" t="s">
        <v>204</v>
      </c>
      <c r="B69" s="14"/>
      <c r="C69" s="14"/>
      <c r="D69" s="15"/>
      <c r="E69" s="81"/>
      <c r="F69" s="280"/>
      <c r="G69" s="81"/>
      <c r="H69" s="264"/>
    </row>
    <row r="70" spans="1:8" ht="20">
      <c r="A70" s="20"/>
      <c r="B70" s="20" t="s">
        <v>219</v>
      </c>
      <c r="C70" s="20"/>
      <c r="D70" s="21">
        <v>249.7</v>
      </c>
      <c r="E70" s="83"/>
      <c r="F70" s="283">
        <f>E70/$D70</f>
        <v>0</v>
      </c>
      <c r="G70" s="83"/>
      <c r="H70" s="267">
        <f>G70/$D70</f>
        <v>0</v>
      </c>
    </row>
    <row r="71" spans="1:8" ht="20">
      <c r="A71" s="20"/>
      <c r="B71" s="20" t="s">
        <v>220</v>
      </c>
      <c r="C71" s="20"/>
      <c r="D71" s="21">
        <v>278</v>
      </c>
      <c r="E71" s="79"/>
      <c r="F71" s="283">
        <f>E71/$D71</f>
        <v>0</v>
      </c>
      <c r="G71" s="79"/>
      <c r="H71" s="267">
        <f>G71/$D71</f>
        <v>0</v>
      </c>
    </row>
    <row r="72" spans="1:8" ht="20">
      <c r="A72" s="20"/>
      <c r="B72" s="20" t="s">
        <v>221</v>
      </c>
      <c r="C72" s="20"/>
      <c r="D72" s="21">
        <v>101.1</v>
      </c>
      <c r="E72" s="79"/>
      <c r="F72" s="283">
        <f>E72/$D72</f>
        <v>0</v>
      </c>
      <c r="G72" s="79"/>
      <c r="H72" s="267">
        <f>G72/$D72</f>
        <v>0</v>
      </c>
    </row>
    <row r="73" spans="1:8" ht="18">
      <c r="A73" s="20"/>
      <c r="B73" s="20" t="s">
        <v>205</v>
      </c>
      <c r="C73" s="20"/>
      <c r="D73" s="21">
        <v>287.5</v>
      </c>
      <c r="E73" s="79"/>
      <c r="F73" s="283">
        <f>E73/$D73</f>
        <v>0</v>
      </c>
      <c r="G73" s="79"/>
      <c r="H73" s="267">
        <f>G73/$D73</f>
        <v>0</v>
      </c>
    </row>
    <row r="74" spans="1:8" ht="20">
      <c r="A74" s="20"/>
      <c r="B74" s="20" t="s">
        <v>222</v>
      </c>
      <c r="C74" s="20"/>
      <c r="D74" s="21"/>
      <c r="E74" s="79"/>
      <c r="F74" s="278"/>
      <c r="G74" s="79"/>
      <c r="H74" s="262"/>
    </row>
    <row r="75" spans="1:8" ht="20">
      <c r="A75" s="16"/>
      <c r="B75" s="16" t="s">
        <v>223</v>
      </c>
      <c r="C75" s="16"/>
      <c r="D75" s="17"/>
      <c r="E75" s="84"/>
      <c r="F75" s="279"/>
      <c r="G75" s="79"/>
      <c r="H75" s="263"/>
    </row>
    <row r="76" spans="1:8" ht="18">
      <c r="A76" s="22" t="s">
        <v>206</v>
      </c>
      <c r="B76" s="14"/>
      <c r="C76" s="14"/>
      <c r="D76" s="15"/>
      <c r="E76" s="81"/>
      <c r="F76" s="284"/>
      <c r="G76" s="81"/>
      <c r="H76" s="268"/>
    </row>
    <row r="77" spans="1:8" ht="18">
      <c r="A77" s="20"/>
      <c r="B77" s="20" t="s">
        <v>207</v>
      </c>
      <c r="C77" s="20"/>
      <c r="D77" s="21"/>
      <c r="E77" s="79"/>
      <c r="F77" s="285"/>
      <c r="G77" s="79"/>
      <c r="H77" s="269"/>
    </row>
    <row r="78" spans="1:8" ht="18">
      <c r="A78" s="20"/>
      <c r="B78" s="20" t="s">
        <v>208</v>
      </c>
      <c r="C78" s="20"/>
      <c r="D78" s="21"/>
      <c r="E78" s="79"/>
      <c r="F78" s="285"/>
      <c r="G78" s="79"/>
      <c r="H78" s="269"/>
    </row>
    <row r="79" spans="1:8" ht="18">
      <c r="A79" s="20"/>
      <c r="B79" s="20" t="s">
        <v>209</v>
      </c>
      <c r="C79" s="20"/>
      <c r="D79" s="21"/>
      <c r="E79" s="79"/>
      <c r="F79" s="285"/>
      <c r="G79" s="79"/>
      <c r="H79" s="269"/>
    </row>
    <row r="80" spans="1:8" ht="18">
      <c r="A80" s="23"/>
      <c r="B80" s="16" t="s">
        <v>210</v>
      </c>
      <c r="C80" s="16"/>
      <c r="D80" s="16"/>
      <c r="E80" s="84"/>
      <c r="F80" s="286"/>
      <c r="G80" s="79"/>
      <c r="H80" s="270"/>
    </row>
    <row r="81" spans="1:8" ht="17.75" customHeight="1">
      <c r="A81" s="512" t="s">
        <v>233</v>
      </c>
      <c r="B81" s="512"/>
      <c r="C81" s="28"/>
      <c r="D81" s="28"/>
      <c r="E81" s="41"/>
      <c r="F81" s="287"/>
      <c r="G81" s="44"/>
      <c r="H81" s="271"/>
    </row>
    <row r="82" spans="1:8" ht="17.75" customHeight="1">
      <c r="A82" s="29"/>
      <c r="B82" s="20" t="s">
        <v>234</v>
      </c>
      <c r="C82" s="29"/>
      <c r="D82" s="29"/>
      <c r="E82" s="42"/>
      <c r="F82" s="288"/>
      <c r="G82" s="85"/>
      <c r="H82" s="272"/>
    </row>
    <row r="83" spans="1:8" ht="17.75" customHeight="1">
      <c r="A83" s="29"/>
      <c r="B83" s="20" t="s">
        <v>235</v>
      </c>
      <c r="C83" s="29"/>
      <c r="D83" s="29"/>
      <c r="E83" s="42"/>
      <c r="F83" s="288"/>
      <c r="G83" s="85"/>
      <c r="H83" s="273"/>
    </row>
    <row r="84" spans="1:8" ht="17.75" customHeight="1">
      <c r="A84" s="29"/>
      <c r="B84" s="20" t="s">
        <v>236</v>
      </c>
      <c r="C84" s="29"/>
      <c r="D84" s="29"/>
      <c r="E84" s="42"/>
      <c r="F84" s="288"/>
      <c r="G84" s="85"/>
      <c r="H84" s="272"/>
    </row>
    <row r="85" spans="1:8" ht="17.75" customHeight="1">
      <c r="A85" s="29"/>
      <c r="B85" s="20" t="s">
        <v>237</v>
      </c>
      <c r="C85" s="29"/>
      <c r="D85" s="29"/>
      <c r="E85" s="42"/>
      <c r="F85" s="288"/>
      <c r="G85" s="85"/>
      <c r="H85" s="272"/>
    </row>
    <row r="86" spans="1:8" ht="17.75" customHeight="1">
      <c r="A86" s="29"/>
      <c r="B86" s="20" t="s">
        <v>238</v>
      </c>
      <c r="C86" s="29"/>
      <c r="D86" s="29"/>
      <c r="E86" s="42"/>
      <c r="F86" s="288"/>
      <c r="G86" s="85"/>
      <c r="H86" s="272"/>
    </row>
    <row r="87" spans="1:8" ht="17.75" customHeight="1">
      <c r="A87" s="38"/>
      <c r="B87" s="16" t="s">
        <v>239</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zoomScale="130" zoomScaleNormal="130" workbookViewId="0">
      <pane ySplit="6" topLeftCell="A7" activePane="bottomLeft" state="frozen"/>
      <selection pane="bottomLeft" activeCell="C6" sqref="C6"/>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112</v>
      </c>
      <c r="B1" s="86" t="s">
        <v>582</v>
      </c>
      <c r="C1" s="300"/>
    </row>
    <row r="2" spans="1:68" s="253" customFormat="1" ht="13.25" customHeight="1">
      <c r="A2" s="253" t="s">
        <v>113</v>
      </c>
      <c r="B2" s="86" t="s">
        <v>592</v>
      </c>
      <c r="C2" s="300"/>
    </row>
    <row r="3" spans="1:68" s="253" customFormat="1" ht="13.25" customHeight="1">
      <c r="A3" s="253" t="s">
        <v>114</v>
      </c>
      <c r="B3" s="86" t="s">
        <v>700</v>
      </c>
      <c r="C3" s="300"/>
    </row>
    <row r="4" spans="1:68" s="253" customFormat="1" ht="13.25" customHeight="1">
      <c r="A4" s="253" t="s">
        <v>263</v>
      </c>
      <c r="B4" s="87">
        <v>1935</v>
      </c>
      <c r="C4" s="300"/>
    </row>
    <row r="5" spans="1:68" s="254" customFormat="1" ht="13.25" customHeight="1">
      <c r="B5" s="301"/>
      <c r="C5" s="302"/>
      <c r="T5" s="527" t="s">
        <v>482</v>
      </c>
      <c r="U5" s="528"/>
      <c r="V5" s="528"/>
      <c r="W5" s="528"/>
      <c r="X5" s="528"/>
      <c r="Y5" s="528"/>
      <c r="Z5" s="528"/>
      <c r="AA5" s="528"/>
      <c r="AB5" s="528"/>
      <c r="AC5" s="528"/>
      <c r="AD5" s="528"/>
      <c r="AE5" s="528"/>
      <c r="AF5" s="528"/>
      <c r="AG5" s="528"/>
      <c r="AH5" s="528"/>
      <c r="AI5" s="528"/>
      <c r="AJ5" s="528"/>
      <c r="AK5" s="528"/>
      <c r="AL5" s="528"/>
      <c r="AM5" s="528"/>
      <c r="AN5" s="528"/>
      <c r="AO5" s="528"/>
      <c r="AP5" s="529"/>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602</v>
      </c>
      <c r="C6" s="305" t="s">
        <v>1</v>
      </c>
      <c r="D6" s="256" t="s">
        <v>3</v>
      </c>
      <c r="E6" s="256" t="s">
        <v>466</v>
      </c>
      <c r="F6" s="256" t="s">
        <v>593</v>
      </c>
      <c r="G6" s="256" t="s">
        <v>468</v>
      </c>
      <c r="H6" s="256" t="s">
        <v>486</v>
      </c>
      <c r="I6" s="256" t="s">
        <v>487</v>
      </c>
      <c r="J6" s="256" t="s">
        <v>722</v>
      </c>
      <c r="K6" s="256" t="s">
        <v>5</v>
      </c>
      <c r="L6" s="256" t="s">
        <v>45</v>
      </c>
      <c r="M6" s="256" t="s">
        <v>101</v>
      </c>
      <c r="N6" s="256" t="s">
        <v>407</v>
      </c>
      <c r="O6" s="256" t="s">
        <v>339</v>
      </c>
      <c r="P6" s="256" t="s">
        <v>299</v>
      </c>
      <c r="Q6" s="256" t="s">
        <v>6</v>
      </c>
      <c r="R6" s="256" t="s">
        <v>10</v>
      </c>
      <c r="S6" s="256" t="s">
        <v>378</v>
      </c>
      <c r="T6" s="503" t="s">
        <v>701</v>
      </c>
      <c r="U6" s="258" t="s">
        <v>17</v>
      </c>
      <c r="V6" s="258" t="s">
        <v>713</v>
      </c>
      <c r="W6" s="258" t="s">
        <v>13</v>
      </c>
      <c r="X6" s="258" t="s">
        <v>11</v>
      </c>
      <c r="Y6" s="258" t="s">
        <v>340</v>
      </c>
      <c r="Z6" s="258" t="s">
        <v>7</v>
      </c>
      <c r="AA6" s="258" t="s">
        <v>720</v>
      </c>
      <c r="AB6" s="258" t="s">
        <v>12</v>
      </c>
      <c r="AC6" s="258" t="s">
        <v>16</v>
      </c>
      <c r="AD6" s="258" t="s">
        <v>15</v>
      </c>
      <c r="AE6" s="258" t="s">
        <v>714</v>
      </c>
      <c r="AF6" s="258" t="s">
        <v>8</v>
      </c>
      <c r="AG6" s="258" t="s">
        <v>716</v>
      </c>
      <c r="AH6" s="258" t="s">
        <v>715</v>
      </c>
      <c r="AI6" s="258" t="s">
        <v>19</v>
      </c>
      <c r="AJ6" s="258" t="s">
        <v>488</v>
      </c>
      <c r="AK6" s="258" t="s">
        <v>412</v>
      </c>
      <c r="AL6" s="258" t="s">
        <v>341</v>
      </c>
      <c r="AM6" s="258" t="s">
        <v>14</v>
      </c>
      <c r="AN6" s="258" t="s">
        <v>717</v>
      </c>
      <c r="AO6" s="258" t="s">
        <v>342</v>
      </c>
      <c r="AP6" s="258" t="s">
        <v>718</v>
      </c>
      <c r="AQ6" s="258" t="s">
        <v>719</v>
      </c>
      <c r="AR6" s="258" t="s">
        <v>44</v>
      </c>
      <c r="AS6" s="258" t="s">
        <v>29</v>
      </c>
      <c r="AT6" s="258" t="s">
        <v>28</v>
      </c>
      <c r="AU6" s="258" t="s">
        <v>22</v>
      </c>
      <c r="AV6" s="258" t="s">
        <v>20</v>
      </c>
      <c r="AW6" s="258" t="s">
        <v>343</v>
      </c>
      <c r="AX6" s="258" t="s">
        <v>328</v>
      </c>
      <c r="AY6" s="258" t="s">
        <v>24</v>
      </c>
      <c r="AZ6" s="258" t="s">
        <v>21</v>
      </c>
      <c r="BA6" s="258" t="s">
        <v>26</v>
      </c>
      <c r="BB6" s="258" t="s">
        <v>25</v>
      </c>
      <c r="BC6" s="258" t="s">
        <v>42</v>
      </c>
      <c r="BD6" s="258" t="s">
        <v>596</v>
      </c>
      <c r="BE6" s="258" t="s">
        <v>32</v>
      </c>
      <c r="BF6" s="258" t="s">
        <v>33</v>
      </c>
      <c r="BG6" s="258" t="s">
        <v>30</v>
      </c>
      <c r="BH6" s="258" t="s">
        <v>597</v>
      </c>
      <c r="BI6" s="258" t="s">
        <v>64</v>
      </c>
      <c r="BJ6" s="258" t="s">
        <v>344</v>
      </c>
      <c r="BK6" s="258" t="s">
        <v>23</v>
      </c>
      <c r="BL6" s="258" t="s">
        <v>27</v>
      </c>
      <c r="BM6" s="258" t="s">
        <v>345</v>
      </c>
      <c r="BN6" s="258" t="s">
        <v>721</v>
      </c>
      <c r="BO6" s="258" t="s">
        <v>31</v>
      </c>
      <c r="BP6" s="258" t="s">
        <v>43</v>
      </c>
    </row>
    <row r="7" spans="1:68" ht="13.25" customHeight="1">
      <c r="A7" s="251">
        <v>0</v>
      </c>
      <c r="B7" s="472">
        <v>2.5694444448163267E-2</v>
      </c>
      <c r="C7">
        <v>0.61666666675591841</v>
      </c>
      <c r="D7" s="413">
        <v>20</v>
      </c>
      <c r="E7" s="64"/>
      <c r="F7" s="299"/>
      <c r="G7"/>
      <c r="H7" s="65">
        <v>0.26</v>
      </c>
      <c r="I7" s="307">
        <f>J7-H7</f>
        <v>1.0441767068273267E-3</v>
      </c>
      <c r="J7" s="307">
        <f>H7/K7*100</f>
        <v>0.26104417670682734</v>
      </c>
      <c r="K7" s="325">
        <v>99.6</v>
      </c>
      <c r="L7" s="326"/>
      <c r="M7" s="64"/>
      <c r="N7" s="298"/>
      <c r="O7" s="298"/>
      <c r="P7" s="64"/>
      <c r="Q7" s="64"/>
      <c r="R7" s="297">
        <v>335</v>
      </c>
      <c r="S7" s="65"/>
      <c r="T7" s="100">
        <v>0</v>
      </c>
      <c r="U7" s="479">
        <v>6.5000000000000002E-2</v>
      </c>
      <c r="V7" s="479">
        <v>2.2170000000000001</v>
      </c>
      <c r="W7" s="479">
        <v>6.718</v>
      </c>
      <c r="X7" s="479">
        <v>1.8839999999999999</v>
      </c>
      <c r="Y7" s="479">
        <v>1.123</v>
      </c>
      <c r="Z7" s="65">
        <v>34.08157374719687</v>
      </c>
      <c r="AA7" s="479">
        <v>0</v>
      </c>
      <c r="AB7" s="479">
        <v>2.4990000000000001</v>
      </c>
      <c r="AC7" s="479">
        <v>0.21199999999999999</v>
      </c>
      <c r="AD7" s="479">
        <v>1.3089999999999999</v>
      </c>
      <c r="AE7" s="479">
        <v>2.9790000000000001</v>
      </c>
      <c r="AF7" s="65">
        <v>0.6660746003552398</v>
      </c>
      <c r="AG7" s="479">
        <v>4.5869999999999997</v>
      </c>
      <c r="AH7" s="479">
        <v>3.5350000000000001</v>
      </c>
      <c r="AI7" s="479">
        <v>0.83099999999999996</v>
      </c>
      <c r="AJ7" s="477">
        <v>0.64</v>
      </c>
      <c r="AK7" s="479">
        <v>1.357</v>
      </c>
      <c r="AL7" s="479">
        <v>5.3029999999999999</v>
      </c>
      <c r="AM7" s="479">
        <v>5.1929999999999996</v>
      </c>
      <c r="AN7" s="479">
        <v>3.2669999999999999</v>
      </c>
      <c r="AO7" s="479">
        <v>1.141</v>
      </c>
      <c r="AP7" s="479">
        <v>1.5580000000000001</v>
      </c>
      <c r="AQ7" s="479">
        <v>3.2669999999999999</v>
      </c>
      <c r="AR7" s="65">
        <v>0</v>
      </c>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row>
    <row r="8" spans="1:68" ht="13.25" customHeight="1">
      <c r="A8" s="251">
        <f t="shared" ref="A8:A21" si="0">A7+1</f>
        <v>1</v>
      </c>
      <c r="B8" s="472">
        <v>0.8868055555576575</v>
      </c>
      <c r="C8">
        <v>21.28333333338378</v>
      </c>
      <c r="D8" s="413">
        <v>20</v>
      </c>
      <c r="E8" s="64"/>
      <c r="F8" s="299"/>
      <c r="G8"/>
      <c r="H8" s="65">
        <v>0.43249998817443841</v>
      </c>
      <c r="I8" s="307">
        <f t="shared" ref="I8:I21" si="1">J8-H8</f>
        <v>2.5590320804282363E-3</v>
      </c>
      <c r="J8" s="307">
        <f t="shared" ref="J8:J21" si="2">H8/K8*100</f>
        <v>0.43505902025486665</v>
      </c>
      <c r="K8" s="325">
        <v>99.411796569824219</v>
      </c>
      <c r="L8" s="326"/>
      <c r="M8" s="64"/>
      <c r="N8" s="298"/>
      <c r="O8" s="298"/>
      <c r="P8" s="64"/>
      <c r="Q8" s="64"/>
      <c r="R8" s="297">
        <v>330</v>
      </c>
      <c r="S8" s="65"/>
      <c r="T8" s="102">
        <v>1.5792750255105248</v>
      </c>
      <c r="U8" s="479">
        <v>7.2999999999999995E-2</v>
      </c>
      <c r="V8" s="479">
        <v>2.133</v>
      </c>
      <c r="W8" s="479">
        <v>6.3630000000000004</v>
      </c>
      <c r="X8" s="479">
        <v>1.9319999999999999</v>
      </c>
      <c r="Y8" s="479">
        <v>1.19</v>
      </c>
      <c r="Z8" s="65">
        <v>32.860409867004151</v>
      </c>
      <c r="AA8" s="479">
        <v>0</v>
      </c>
      <c r="AB8" s="479">
        <v>2.5510000000000002</v>
      </c>
      <c r="AC8" s="479">
        <v>0.27300000000000002</v>
      </c>
      <c r="AD8" s="479">
        <v>1.6679999999999999</v>
      </c>
      <c r="AE8" s="479">
        <v>2.9820000000000002</v>
      </c>
      <c r="AF8" s="65">
        <v>1.3321492007104796</v>
      </c>
      <c r="AG8" s="479">
        <v>4.5999999999999996</v>
      </c>
      <c r="AH8" s="479">
        <v>3.6219999999999999</v>
      </c>
      <c r="AI8" s="479">
        <v>0.82199999999999995</v>
      </c>
      <c r="AJ8" s="477">
        <v>0.8</v>
      </c>
      <c r="AK8" s="479">
        <v>1.3779999999999999</v>
      </c>
      <c r="AL8" s="479">
        <v>5.3490000000000002</v>
      </c>
      <c r="AM8" s="479">
        <v>5.1020000000000003</v>
      </c>
      <c r="AN8" s="479">
        <v>3.33</v>
      </c>
      <c r="AO8" s="479">
        <v>1.153</v>
      </c>
      <c r="AP8" s="479">
        <v>1.5720000000000001</v>
      </c>
      <c r="AQ8" s="479">
        <v>3.302</v>
      </c>
      <c r="AR8" s="65">
        <v>0</v>
      </c>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row>
    <row r="9" spans="1:68" ht="13.25" customHeight="1">
      <c r="A9" s="251">
        <f t="shared" si="0"/>
        <v>2</v>
      </c>
      <c r="B9" s="472">
        <v>2.0229166666686069</v>
      </c>
      <c r="C9">
        <v>48.550000000046566</v>
      </c>
      <c r="D9" s="413">
        <v>20</v>
      </c>
      <c r="E9" s="64"/>
      <c r="F9" s="299"/>
      <c r="G9"/>
      <c r="H9" s="65">
        <v>0.84</v>
      </c>
      <c r="I9" s="307">
        <f t="shared" si="1"/>
        <v>1.1063829787234081E-2</v>
      </c>
      <c r="J9" s="307">
        <f t="shared" si="2"/>
        <v>0.85106382978723405</v>
      </c>
      <c r="K9" s="325">
        <v>98.7</v>
      </c>
      <c r="L9" s="326"/>
      <c r="M9" s="64"/>
      <c r="N9" s="298"/>
      <c r="O9" s="298"/>
      <c r="P9" s="64"/>
      <c r="Q9" s="64"/>
      <c r="R9" s="297">
        <v>335</v>
      </c>
      <c r="S9" s="65"/>
      <c r="T9" s="102">
        <v>2.7049895639962189</v>
      </c>
      <c r="U9" s="479">
        <v>6.8000000000000005E-2</v>
      </c>
      <c r="V9" s="479">
        <v>1.657</v>
      </c>
      <c r="W9" s="479">
        <v>5.1859999999999999</v>
      </c>
      <c r="X9" s="479">
        <v>1.8180000000000001</v>
      </c>
      <c r="Y9" s="479">
        <v>1.083</v>
      </c>
      <c r="Z9" s="65">
        <v>32.083305579608783</v>
      </c>
      <c r="AA9" s="479">
        <v>0.33200000000000002</v>
      </c>
      <c r="AB9" s="479">
        <v>2.355</v>
      </c>
      <c r="AC9" s="479">
        <v>0.38600000000000001</v>
      </c>
      <c r="AD9" s="479">
        <v>1.4370000000000001</v>
      </c>
      <c r="AE9" s="479">
        <v>2.6389999999999998</v>
      </c>
      <c r="AF9" s="65">
        <v>2.5532859680284195</v>
      </c>
      <c r="AG9" s="479">
        <v>4.0759999999999996</v>
      </c>
      <c r="AH9" s="479">
        <v>3.2919999999999998</v>
      </c>
      <c r="AI9" s="479">
        <v>0.73199999999999998</v>
      </c>
      <c r="AJ9" s="477">
        <v>1.26</v>
      </c>
      <c r="AK9" s="479">
        <v>1.228</v>
      </c>
      <c r="AL9" s="479">
        <v>4.8490000000000002</v>
      </c>
      <c r="AM9" s="479">
        <v>4.431</v>
      </c>
      <c r="AN9" s="479">
        <v>3.0129999999999999</v>
      </c>
      <c r="AO9" s="479">
        <v>1.014</v>
      </c>
      <c r="AP9" s="479">
        <v>1.454</v>
      </c>
      <c r="AQ9" s="479">
        <v>2.9649999999999999</v>
      </c>
      <c r="AR9" s="65">
        <v>0</v>
      </c>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row>
    <row r="10" spans="1:68" ht="13.25" customHeight="1">
      <c r="A10" s="251">
        <f t="shared" si="0"/>
        <v>3</v>
      </c>
      <c r="B10" s="472">
        <v>2.9604166666686069</v>
      </c>
      <c r="C10">
        <v>71.050000000046566</v>
      </c>
      <c r="D10" s="413">
        <v>20</v>
      </c>
      <c r="E10" s="64"/>
      <c r="F10" s="299"/>
      <c r="G10"/>
      <c r="H10" s="65">
        <v>1.4873000217437744</v>
      </c>
      <c r="I10" s="307">
        <f t="shared" si="1"/>
        <v>1.7401904409480418E-2</v>
      </c>
      <c r="J10" s="307">
        <f t="shared" si="2"/>
        <v>1.5047019261532548</v>
      </c>
      <c r="K10" s="325">
        <v>98.843498229980469</v>
      </c>
      <c r="L10" s="326"/>
      <c r="M10" s="64"/>
      <c r="N10" s="298"/>
      <c r="O10" s="298"/>
      <c r="P10" s="64"/>
      <c r="Q10" s="64"/>
      <c r="R10" s="297">
        <v>323</v>
      </c>
      <c r="S10" s="65"/>
      <c r="T10" s="102">
        <v>5.3259832690662527</v>
      </c>
      <c r="U10" s="479">
        <v>0.10199999999999999</v>
      </c>
      <c r="V10" s="479">
        <v>1.6890000000000001</v>
      </c>
      <c r="W10" s="479">
        <v>4.5129999999999999</v>
      </c>
      <c r="X10" s="479">
        <v>1.6950000000000001</v>
      </c>
      <c r="Y10" s="479">
        <v>0.96799999999999997</v>
      </c>
      <c r="Z10" s="65">
        <v>29.807500166522345</v>
      </c>
      <c r="AA10" s="479">
        <v>0.35599999999999998</v>
      </c>
      <c r="AB10" s="479">
        <v>2.2269999999999999</v>
      </c>
      <c r="AC10" s="479">
        <v>0.53200000000000003</v>
      </c>
      <c r="AD10" s="479">
        <v>0.97699999999999998</v>
      </c>
      <c r="AE10" s="479">
        <v>2.4089999999999998</v>
      </c>
      <c r="AF10" s="65">
        <v>3.4413854351687392</v>
      </c>
      <c r="AG10" s="479">
        <v>3.72</v>
      </c>
      <c r="AH10" s="479">
        <v>3.0379999999999998</v>
      </c>
      <c r="AI10" s="479">
        <v>0.64900000000000002</v>
      </c>
      <c r="AJ10" s="477">
        <v>1.8</v>
      </c>
      <c r="AK10" s="479">
        <v>1.123</v>
      </c>
      <c r="AL10" s="479">
        <v>4.5590000000000002</v>
      </c>
      <c r="AM10" s="479">
        <v>3.9089999999999998</v>
      </c>
      <c r="AN10" s="479">
        <v>2.7930000000000001</v>
      </c>
      <c r="AO10" s="479">
        <v>0.90500000000000003</v>
      </c>
      <c r="AP10" s="479">
        <v>1.35</v>
      </c>
      <c r="AQ10" s="479">
        <v>2.7189999999999999</v>
      </c>
      <c r="AR10" s="65">
        <v>0</v>
      </c>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row>
    <row r="11" spans="1:68" ht="13.25" customHeight="1">
      <c r="A11" s="251">
        <f t="shared" si="0"/>
        <v>4</v>
      </c>
      <c r="B11" s="472">
        <v>3.9805555555576575</v>
      </c>
      <c r="C11">
        <v>95.53333333338378</v>
      </c>
      <c r="D11" s="413">
        <v>20</v>
      </c>
      <c r="E11" s="64"/>
      <c r="F11" s="299"/>
      <c r="G11"/>
      <c r="H11" s="65">
        <v>2.7073000503540041</v>
      </c>
      <c r="I11" s="307">
        <f t="shared" si="1"/>
        <v>2.5588091386322009E-2</v>
      </c>
      <c r="J11" s="307">
        <f t="shared" si="2"/>
        <v>2.7328881417403261</v>
      </c>
      <c r="K11" s="325">
        <v>99.063697814941406</v>
      </c>
      <c r="L11" s="326"/>
      <c r="M11" s="64"/>
      <c r="N11" s="298"/>
      <c r="O11" s="298"/>
      <c r="P11" s="64"/>
      <c r="Q11" s="64"/>
      <c r="R11" s="297">
        <v>355</v>
      </c>
      <c r="S11" s="65">
        <v>28.09</v>
      </c>
      <c r="T11" s="102">
        <v>8.6667970104279455</v>
      </c>
      <c r="U11" s="479">
        <v>0.26300000000000001</v>
      </c>
      <c r="V11" s="479">
        <v>2.105</v>
      </c>
      <c r="W11" s="479">
        <v>5.7670000000000003</v>
      </c>
      <c r="X11" s="479">
        <v>1.629</v>
      </c>
      <c r="Y11" s="479">
        <v>0.85899999999999999</v>
      </c>
      <c r="Z11" s="65">
        <v>33.193454561602174</v>
      </c>
      <c r="AA11" s="479">
        <v>0.63500000000000001</v>
      </c>
      <c r="AB11" s="479">
        <v>6.34</v>
      </c>
      <c r="AC11" s="479">
        <v>0.876</v>
      </c>
      <c r="AD11" s="479">
        <v>1.446</v>
      </c>
      <c r="AE11" s="479">
        <v>2.9390000000000001</v>
      </c>
      <c r="AF11" s="65">
        <v>5.1065719360568389</v>
      </c>
      <c r="AG11" s="479">
        <v>4.2590000000000003</v>
      </c>
      <c r="AH11" s="479">
        <v>3.6549999999999998</v>
      </c>
      <c r="AI11" s="479">
        <v>0.56699999999999995</v>
      </c>
      <c r="AJ11" s="477">
        <v>2.83</v>
      </c>
      <c r="AK11" s="479">
        <v>1.399</v>
      </c>
      <c r="AL11" s="479">
        <v>4.3029999999999999</v>
      </c>
      <c r="AM11" s="479">
        <v>3.3769999999999998</v>
      </c>
      <c r="AN11" s="479">
        <v>2.57</v>
      </c>
      <c r="AO11" s="479">
        <v>1.097</v>
      </c>
      <c r="AP11" s="479">
        <v>1.194</v>
      </c>
      <c r="AQ11" s="479">
        <v>3.96</v>
      </c>
      <c r="AR11" s="65">
        <v>0</v>
      </c>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row>
    <row r="12" spans="1:68" ht="13.25" customHeight="1">
      <c r="A12" s="251">
        <f t="shared" si="0"/>
        <v>5</v>
      </c>
      <c r="B12" s="481">
        <v>4.8319444444496185</v>
      </c>
      <c r="C12" s="482">
        <v>115.96666666679084</v>
      </c>
      <c r="D12" s="488">
        <v>35</v>
      </c>
      <c r="E12" s="64"/>
      <c r="F12" s="299"/>
      <c r="G12"/>
      <c r="H12" s="65">
        <v>4.0235999656677244</v>
      </c>
      <c r="I12" s="307">
        <f t="shared" si="1"/>
        <v>3.531265124853622E-2</v>
      </c>
      <c r="J12" s="307">
        <f t="shared" si="2"/>
        <v>4.0589126169162606</v>
      </c>
      <c r="K12" s="325">
        <v>99.129997253417969</v>
      </c>
      <c r="L12" s="326"/>
      <c r="M12" s="64"/>
      <c r="N12" s="298"/>
      <c r="O12" s="298"/>
      <c r="P12" s="64"/>
      <c r="Q12" s="64"/>
      <c r="R12" s="297">
        <v>374</v>
      </c>
      <c r="S12" s="65">
        <v>87.16</v>
      </c>
      <c r="T12" s="102">
        <v>13.450461816251424</v>
      </c>
      <c r="U12" s="479">
        <v>0.63800000000000001</v>
      </c>
      <c r="V12" s="479">
        <v>2.734</v>
      </c>
      <c r="W12" s="479">
        <v>7.375</v>
      </c>
      <c r="X12" s="479">
        <v>1.895</v>
      </c>
      <c r="Y12" s="479">
        <v>0.86599999999999999</v>
      </c>
      <c r="Z12" s="65">
        <v>34.470125890894558</v>
      </c>
      <c r="AA12" s="479">
        <v>1.071</v>
      </c>
      <c r="AB12" s="479">
        <v>10.302</v>
      </c>
      <c r="AC12" s="479">
        <v>1.272</v>
      </c>
      <c r="AD12" s="479">
        <v>1.825</v>
      </c>
      <c r="AE12" s="479">
        <v>3.6859999999999999</v>
      </c>
      <c r="AF12" s="65">
        <v>6.9937833037300177</v>
      </c>
      <c r="AG12" s="479">
        <v>5.1260000000000003</v>
      </c>
      <c r="AH12" s="479">
        <v>4.5430000000000001</v>
      </c>
      <c r="AI12" s="479">
        <v>0.57399999999999995</v>
      </c>
      <c r="AJ12" s="486">
        <v>4.03</v>
      </c>
      <c r="AK12" s="479">
        <v>1.772</v>
      </c>
      <c r="AL12" s="479">
        <v>4.516</v>
      </c>
      <c r="AM12" s="479">
        <v>3.21</v>
      </c>
      <c r="AN12" s="479">
        <v>2.609</v>
      </c>
      <c r="AO12" s="479">
        <v>1.3720000000000001</v>
      </c>
      <c r="AP12" s="479">
        <v>1.2350000000000001</v>
      </c>
      <c r="AQ12" s="479">
        <v>5.4749999999999996</v>
      </c>
      <c r="AR12" s="65">
        <v>0</v>
      </c>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row>
    <row r="13" spans="1:68" ht="13.25" customHeight="1">
      <c r="A13" s="251">
        <f t="shared" si="0"/>
        <v>6</v>
      </c>
      <c r="B13" s="472">
        <v>5.8819444444452529</v>
      </c>
      <c r="C13">
        <v>141.16666666668607</v>
      </c>
      <c r="D13" s="413">
        <v>20</v>
      </c>
      <c r="E13" s="64"/>
      <c r="F13" s="299"/>
      <c r="G13"/>
      <c r="H13" s="65">
        <v>6.555300099945069</v>
      </c>
      <c r="I13" s="307">
        <f t="shared" si="1"/>
        <v>5.4244639370184977E-2</v>
      </c>
      <c r="J13" s="307">
        <f t="shared" si="2"/>
        <v>6.609544739315254</v>
      </c>
      <c r="K13" s="325">
        <v>99.179298400878906</v>
      </c>
      <c r="L13" s="326"/>
      <c r="M13" s="64"/>
      <c r="N13" s="298"/>
      <c r="O13" s="298"/>
      <c r="P13" s="64"/>
      <c r="Q13" s="64"/>
      <c r="R13" s="297">
        <v>388</v>
      </c>
      <c r="S13" s="65">
        <v>213.63</v>
      </c>
      <c r="T13" s="102">
        <v>21.06940013986409</v>
      </c>
      <c r="U13" s="479">
        <v>1.401</v>
      </c>
      <c r="V13" s="479">
        <v>2.83</v>
      </c>
      <c r="W13" s="479">
        <v>6.423</v>
      </c>
      <c r="X13" s="479">
        <v>2.17</v>
      </c>
      <c r="Y13" s="479">
        <v>0.68700000000000006</v>
      </c>
      <c r="Z13" s="65">
        <v>33.859543950798198</v>
      </c>
      <c r="AA13" s="479">
        <v>1.6120000000000001</v>
      </c>
      <c r="AB13" s="479">
        <v>12.943</v>
      </c>
      <c r="AC13" s="479">
        <v>1.409</v>
      </c>
      <c r="AD13" s="479">
        <v>1.7829999999999999</v>
      </c>
      <c r="AE13" s="479">
        <v>3.835</v>
      </c>
      <c r="AF13" s="65">
        <v>9.8801065719360572</v>
      </c>
      <c r="AG13" s="479">
        <v>5.0880000000000001</v>
      </c>
      <c r="AH13" s="479">
        <v>4.702</v>
      </c>
      <c r="AI13" s="479">
        <v>0.41199999999999998</v>
      </c>
      <c r="AJ13" s="477">
        <v>5.77</v>
      </c>
      <c r="AK13" s="479">
        <v>1.859</v>
      </c>
      <c r="AL13" s="479">
        <v>3.871</v>
      </c>
      <c r="AM13" s="479">
        <v>2.4510000000000001</v>
      </c>
      <c r="AN13" s="479">
        <v>2.0830000000000002</v>
      </c>
      <c r="AO13" s="479">
        <v>1.4339999999999999</v>
      </c>
      <c r="AP13" s="479">
        <v>0.94</v>
      </c>
      <c r="AQ13" s="479">
        <v>6.1710000000000003</v>
      </c>
      <c r="AR13" s="65">
        <v>0</v>
      </c>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row>
    <row r="14" spans="1:68" s="310" customFormat="1" ht="13.25" customHeight="1">
      <c r="A14" s="251">
        <f t="shared" si="0"/>
        <v>7</v>
      </c>
      <c r="B14" s="472">
        <v>6.867361111115315</v>
      </c>
      <c r="C14">
        <v>164.81666666676756</v>
      </c>
      <c r="D14" s="413">
        <v>20</v>
      </c>
      <c r="E14" s="64"/>
      <c r="F14" s="299"/>
      <c r="G14"/>
      <c r="H14" s="65">
        <v>9.4350002838134763</v>
      </c>
      <c r="I14" s="307">
        <f t="shared" si="1"/>
        <v>7.062644689919928E-2</v>
      </c>
      <c r="J14" s="307">
        <f t="shared" si="2"/>
        <v>9.5056267307126756</v>
      </c>
      <c r="K14" s="325">
        <v>99.257003784179688</v>
      </c>
      <c r="L14" s="326"/>
      <c r="M14" s="64"/>
      <c r="N14" s="298"/>
      <c r="O14" s="298"/>
      <c r="P14" s="64"/>
      <c r="Q14" s="64"/>
      <c r="R14" s="297">
        <v>405</v>
      </c>
      <c r="S14" s="65">
        <v>410.59</v>
      </c>
      <c r="T14" s="102">
        <v>30.113780010844337</v>
      </c>
      <c r="U14" s="479">
        <v>2.7759999999999998</v>
      </c>
      <c r="V14" s="479">
        <v>3.3650000000000002</v>
      </c>
      <c r="W14" s="479">
        <v>5.5940000000000003</v>
      </c>
      <c r="X14" s="479">
        <v>2.8159999999999998</v>
      </c>
      <c r="Y14" s="479">
        <v>0.59099999999999997</v>
      </c>
      <c r="Z14" s="65">
        <v>31.417216190412752</v>
      </c>
      <c r="AA14" s="479">
        <v>2.5329999999999999</v>
      </c>
      <c r="AB14" s="479">
        <v>15.664</v>
      </c>
      <c r="AC14" s="479">
        <v>1.454</v>
      </c>
      <c r="AD14" s="479">
        <v>1.306</v>
      </c>
      <c r="AE14" s="479">
        <v>4.1989999999999998</v>
      </c>
      <c r="AF14" s="65">
        <v>11.434280639431616</v>
      </c>
      <c r="AG14" s="479">
        <v>5.2859999999999996</v>
      </c>
      <c r="AH14" s="479">
        <v>5.0880000000000001</v>
      </c>
      <c r="AI14" s="479">
        <v>0.30199999999999999</v>
      </c>
      <c r="AJ14" s="477">
        <v>7.52</v>
      </c>
      <c r="AK14" s="479">
        <v>2.0329999999999999</v>
      </c>
      <c r="AL14" s="479">
        <v>3.5409999999999999</v>
      </c>
      <c r="AM14" s="479">
        <v>1.758</v>
      </c>
      <c r="AN14" s="479">
        <v>1.6850000000000001</v>
      </c>
      <c r="AO14" s="479">
        <v>1.585</v>
      </c>
      <c r="AP14" s="479">
        <v>0.73299999999999998</v>
      </c>
      <c r="AQ14" s="479">
        <v>7.18</v>
      </c>
      <c r="AR14" s="65">
        <v>0</v>
      </c>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row>
    <row r="15" spans="1:68" s="310" customFormat="1" ht="13.25" customHeight="1">
      <c r="A15" s="251">
        <f t="shared" si="0"/>
        <v>8</v>
      </c>
      <c r="B15" s="472">
        <v>7.8833333333313931</v>
      </c>
      <c r="C15">
        <v>189.19999999995343</v>
      </c>
      <c r="D15" s="413">
        <v>20</v>
      </c>
      <c r="E15" s="64"/>
      <c r="F15" s="299"/>
      <c r="G15"/>
      <c r="H15" s="65">
        <v>12.014300210571289</v>
      </c>
      <c r="I15" s="307">
        <f t="shared" si="1"/>
        <v>0.10234978773979186</v>
      </c>
      <c r="J15" s="307">
        <f t="shared" si="2"/>
        <v>12.116649998311081</v>
      </c>
      <c r="K15" s="325">
        <v>99.155296325683594</v>
      </c>
      <c r="L15" s="326"/>
      <c r="M15" s="64"/>
      <c r="N15" s="298"/>
      <c r="O15" s="298"/>
      <c r="P15" s="250"/>
      <c r="Q15" s="250"/>
      <c r="R15" s="297">
        <v>383</v>
      </c>
      <c r="S15" s="65">
        <v>737.5</v>
      </c>
      <c r="T15" s="102">
        <v>41.34882051236805</v>
      </c>
      <c r="U15" s="479">
        <v>4.8159999999999998</v>
      </c>
      <c r="V15" s="479">
        <v>3.2389999999999999</v>
      </c>
      <c r="W15" s="479">
        <v>1.5249999999999999</v>
      </c>
      <c r="X15" s="479">
        <v>3.581</v>
      </c>
      <c r="Y15" s="479">
        <v>0.44800000000000001</v>
      </c>
      <c r="Z15" s="65">
        <v>22.313994538067004</v>
      </c>
      <c r="AA15" s="479">
        <v>3.907</v>
      </c>
      <c r="AB15" s="479">
        <v>15.13</v>
      </c>
      <c r="AC15" s="479">
        <v>1.069</v>
      </c>
      <c r="AD15" s="479">
        <v>1.077</v>
      </c>
      <c r="AE15" s="479">
        <v>3.863</v>
      </c>
      <c r="AF15" s="65">
        <v>11.545293072824157</v>
      </c>
      <c r="AG15" s="479">
        <v>4.5259999999999998</v>
      </c>
      <c r="AH15" s="479">
        <v>4.742</v>
      </c>
      <c r="AI15" s="479">
        <v>0.16900000000000001</v>
      </c>
      <c r="AJ15" s="477">
        <v>8.86</v>
      </c>
      <c r="AK15" s="479">
        <v>1.829</v>
      </c>
      <c r="AL15" s="479">
        <v>3.0219999999999998</v>
      </c>
      <c r="AM15" s="479">
        <v>1.3180000000000001</v>
      </c>
      <c r="AN15" s="479">
        <v>1.085</v>
      </c>
      <c r="AO15" s="479">
        <v>1.5229999999999999</v>
      </c>
      <c r="AP15" s="479">
        <v>0.46300000000000002</v>
      </c>
      <c r="AQ15" s="479">
        <v>6.8979999999999997</v>
      </c>
      <c r="AR15" s="65">
        <v>0</v>
      </c>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row>
    <row r="16" spans="1:68" s="310" customFormat="1" ht="13.25" customHeight="1">
      <c r="A16" s="251">
        <f t="shared" si="0"/>
        <v>9</v>
      </c>
      <c r="B16" s="472">
        <v>8.8812499999985448</v>
      </c>
      <c r="C16">
        <v>213.14999999996508</v>
      </c>
      <c r="D16" s="413">
        <v>20</v>
      </c>
      <c r="E16" s="64"/>
      <c r="F16" s="299"/>
      <c r="G16"/>
      <c r="H16" s="65">
        <v>14.453400476074219</v>
      </c>
      <c r="I16" s="307">
        <f t="shared" si="1"/>
        <v>0.12589256020654993</v>
      </c>
      <c r="J16" s="307">
        <f t="shared" si="2"/>
        <v>14.579293036280768</v>
      </c>
      <c r="K16" s="325">
        <v>99.136497497558594</v>
      </c>
      <c r="L16" s="326"/>
      <c r="M16" s="64"/>
      <c r="N16" s="298"/>
      <c r="O16" s="298"/>
      <c r="P16" s="250"/>
      <c r="Q16" s="250"/>
      <c r="R16" s="297">
        <v>376</v>
      </c>
      <c r="S16" s="65">
        <v>1175.25</v>
      </c>
      <c r="T16" s="102">
        <v>53.032254089398172</v>
      </c>
      <c r="U16" s="479">
        <v>6.258</v>
      </c>
      <c r="V16" s="479">
        <v>2.8069999999999999</v>
      </c>
      <c r="W16" s="479">
        <v>0.06</v>
      </c>
      <c r="X16" s="479">
        <v>3.1160000000000001</v>
      </c>
      <c r="Y16" s="479">
        <v>0.26900000000000002</v>
      </c>
      <c r="Z16" s="65">
        <v>10.87946002353516</v>
      </c>
      <c r="AA16" s="479">
        <v>5.0679999999999996</v>
      </c>
      <c r="AB16" s="479">
        <v>12.262</v>
      </c>
      <c r="AC16" s="479">
        <v>0.47899999999999998</v>
      </c>
      <c r="AD16" s="479">
        <v>0.878</v>
      </c>
      <c r="AE16" s="479">
        <v>3.1509999999999998</v>
      </c>
      <c r="AF16" s="65">
        <v>7.7708703374777972</v>
      </c>
      <c r="AG16" s="479">
        <v>3.3370000000000002</v>
      </c>
      <c r="AH16" s="479">
        <v>3.988</v>
      </c>
      <c r="AI16" s="479">
        <v>0</v>
      </c>
      <c r="AJ16" s="477">
        <v>7.16</v>
      </c>
      <c r="AK16" s="479">
        <v>1.4390000000000001</v>
      </c>
      <c r="AL16" s="479">
        <v>2.403</v>
      </c>
      <c r="AM16" s="479">
        <v>0.16900000000000001</v>
      </c>
      <c r="AN16" s="479">
        <v>0.42399999999999999</v>
      </c>
      <c r="AO16" s="479">
        <v>1.333</v>
      </c>
      <c r="AP16" s="479">
        <v>0.11700000000000001</v>
      </c>
      <c r="AQ16" s="479">
        <v>5.843</v>
      </c>
      <c r="AR16" s="65">
        <v>0</v>
      </c>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row>
    <row r="17" spans="1:68" s="310" customFormat="1" ht="13.25" customHeight="1">
      <c r="A17" s="251">
        <f t="shared" si="0"/>
        <v>10</v>
      </c>
      <c r="B17" s="472">
        <v>9.9277777777824667</v>
      </c>
      <c r="C17">
        <v>238.2666666667792</v>
      </c>
      <c r="D17" s="413">
        <v>46</v>
      </c>
      <c r="E17" s="64"/>
      <c r="F17" s="299"/>
      <c r="G17"/>
      <c r="H17" s="65">
        <v>15.10840020904541</v>
      </c>
      <c r="I17" s="307">
        <f t="shared" si="1"/>
        <v>0.30194983824502941</v>
      </c>
      <c r="J17" s="307">
        <f t="shared" si="2"/>
        <v>15.410350047290439</v>
      </c>
      <c r="K17" s="325">
        <v>98.040603637695312</v>
      </c>
      <c r="L17" s="326"/>
      <c r="M17" s="64"/>
      <c r="N17" s="298"/>
      <c r="O17" s="298"/>
      <c r="P17" s="250"/>
      <c r="Q17" s="250"/>
      <c r="R17" s="297">
        <v>373</v>
      </c>
      <c r="S17" s="65">
        <v>1432.7</v>
      </c>
      <c r="T17" s="102">
        <v>62.980321981010789</v>
      </c>
      <c r="U17" s="479">
        <v>6.4829999999999997</v>
      </c>
      <c r="V17" s="479">
        <v>2.6680000000000001</v>
      </c>
      <c r="W17" s="479">
        <v>7.1999999999999995E-2</v>
      </c>
      <c r="X17" s="479">
        <v>2.4220000000000002</v>
      </c>
      <c r="Y17" s="479">
        <v>0.155</v>
      </c>
      <c r="Z17" s="65">
        <v>5.6617598081662557</v>
      </c>
      <c r="AA17" s="479">
        <v>5.8840000000000003</v>
      </c>
      <c r="AB17" s="479">
        <v>9.2409999999999997</v>
      </c>
      <c r="AC17" s="479">
        <v>0.39600000000000002</v>
      </c>
      <c r="AD17" s="479">
        <v>0.84099999999999997</v>
      </c>
      <c r="AE17" s="479">
        <v>2.9380000000000002</v>
      </c>
      <c r="AF17" s="65">
        <v>3.4413854351687392</v>
      </c>
      <c r="AG17" s="479">
        <v>2.8330000000000002</v>
      </c>
      <c r="AH17" s="479">
        <v>3.7189999999999999</v>
      </c>
      <c r="AI17" s="479">
        <v>0</v>
      </c>
      <c r="AJ17" s="477">
        <v>6.91</v>
      </c>
      <c r="AK17" s="479">
        <v>1.2949999999999999</v>
      </c>
      <c r="AL17" s="479">
        <v>2.3780000000000001</v>
      </c>
      <c r="AM17" s="479">
        <v>0.29099999999999998</v>
      </c>
      <c r="AN17" s="479">
        <v>0.28299999999999997</v>
      </c>
      <c r="AO17" s="479">
        <v>1.2629999999999999</v>
      </c>
      <c r="AP17" s="479">
        <v>6.4000000000000001E-2</v>
      </c>
      <c r="AQ17" s="479">
        <v>5.3680000000000003</v>
      </c>
      <c r="AR17" s="65">
        <v>0</v>
      </c>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row>
    <row r="18" spans="1:68" s="310" customFormat="1" ht="13.25" customHeight="1">
      <c r="A18" s="251">
        <f t="shared" si="0"/>
        <v>11</v>
      </c>
      <c r="B18" s="472">
        <v>10.913194444445253</v>
      </c>
      <c r="C18">
        <v>261.91666666668607</v>
      </c>
      <c r="D18" s="413">
        <v>20</v>
      </c>
      <c r="E18" s="64"/>
      <c r="F18" s="299"/>
      <c r="G18"/>
      <c r="H18" s="65">
        <v>15.682599885559082</v>
      </c>
      <c r="I18" s="307">
        <f t="shared" si="1"/>
        <v>0.30603863333221781</v>
      </c>
      <c r="J18" s="307">
        <f t="shared" si="2"/>
        <v>15.9886385188913</v>
      </c>
      <c r="K18" s="325">
        <v>98.085899353027344</v>
      </c>
      <c r="L18" s="326"/>
      <c r="M18" s="64"/>
      <c r="N18" s="298"/>
      <c r="O18" s="298"/>
      <c r="P18" s="250"/>
      <c r="Q18" s="250"/>
      <c r="R18" s="297">
        <v>381</v>
      </c>
      <c r="S18" s="65">
        <v>1767.66</v>
      </c>
      <c r="T18" s="102">
        <v>76.351001640459856</v>
      </c>
      <c r="U18" s="479">
        <v>4.9409999999999998</v>
      </c>
      <c r="V18" s="479">
        <v>2.3540000000000001</v>
      </c>
      <c r="W18" s="479">
        <v>7.6999999999999999E-2</v>
      </c>
      <c r="X18" s="479">
        <v>2.5569999999999999</v>
      </c>
      <c r="Y18" s="479">
        <v>9.6000000000000002E-2</v>
      </c>
      <c r="Z18" s="65">
        <v>6.605386442860631</v>
      </c>
      <c r="AA18" s="479">
        <v>4.4249999999999998</v>
      </c>
      <c r="AB18" s="479">
        <v>6.9820000000000002</v>
      </c>
      <c r="AC18" s="479">
        <v>0.10199999999999999</v>
      </c>
      <c r="AD18" s="479">
        <v>0.73699999999999999</v>
      </c>
      <c r="AE18" s="479">
        <v>2.7440000000000002</v>
      </c>
      <c r="AF18" s="65">
        <v>3.2193605683836588</v>
      </c>
      <c r="AG18" s="479">
        <v>2.0430000000000001</v>
      </c>
      <c r="AH18" s="479">
        <v>2.9729999999999999</v>
      </c>
      <c r="AI18" s="479">
        <v>0</v>
      </c>
      <c r="AJ18" s="477">
        <v>10.28</v>
      </c>
      <c r="AK18" s="479">
        <v>0.94799999999999995</v>
      </c>
      <c r="AL18" s="479">
        <v>2.4529999999999998</v>
      </c>
      <c r="AM18" s="479">
        <v>0.28899999999999998</v>
      </c>
      <c r="AN18" s="479">
        <v>0.155</v>
      </c>
      <c r="AO18" s="479">
        <v>1.093</v>
      </c>
      <c r="AP18" s="479">
        <v>0</v>
      </c>
      <c r="AQ18" s="479">
        <v>4.3899999999999997</v>
      </c>
      <c r="AR18" s="65">
        <v>0</v>
      </c>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row>
    <row r="19" spans="1:68" s="310" customFormat="1" ht="13.25" customHeight="1">
      <c r="A19" s="251">
        <f t="shared" si="0"/>
        <v>12</v>
      </c>
      <c r="B19" s="472">
        <v>11.871527777781012</v>
      </c>
      <c r="C19">
        <v>284.91666666674428</v>
      </c>
      <c r="D19" s="413">
        <v>20</v>
      </c>
      <c r="E19" s="64"/>
      <c r="F19" s="299"/>
      <c r="G19"/>
      <c r="H19" s="65">
        <v>14.457500321960449</v>
      </c>
      <c r="I19" s="307">
        <f t="shared" si="1"/>
        <v>0.73796771021654628</v>
      </c>
      <c r="J19" s="307">
        <f t="shared" si="2"/>
        <v>15.195468032176995</v>
      </c>
      <c r="K19" s="325">
        <v>95.143501281738281</v>
      </c>
      <c r="L19" s="326"/>
      <c r="M19" s="64"/>
      <c r="N19" s="298"/>
      <c r="O19" s="298"/>
      <c r="P19" s="250"/>
      <c r="Q19" s="250"/>
      <c r="R19" s="297">
        <v>396</v>
      </c>
      <c r="S19" s="65">
        <v>2174.88</v>
      </c>
      <c r="T19" s="102">
        <v>92.722816786932441</v>
      </c>
      <c r="U19" s="479">
        <v>3.782</v>
      </c>
      <c r="V19" s="479">
        <v>1.83</v>
      </c>
      <c r="W19" s="479">
        <v>7.5999999999999998E-2</v>
      </c>
      <c r="X19" s="479">
        <v>2.4289999999999998</v>
      </c>
      <c r="Y19" s="479">
        <v>0.115</v>
      </c>
      <c r="Z19" s="65">
        <v>7.2714758320566615</v>
      </c>
      <c r="AA19" s="479">
        <v>2.4260000000000002</v>
      </c>
      <c r="AB19" s="479">
        <v>4.9569999999999999</v>
      </c>
      <c r="AC19" s="479">
        <v>0.126</v>
      </c>
      <c r="AD19" s="479">
        <v>0.60699999999999998</v>
      </c>
      <c r="AE19" s="479">
        <v>2.4630000000000001</v>
      </c>
      <c r="AF19" s="65">
        <v>3.4413854351687392</v>
      </c>
      <c r="AG19" s="479">
        <v>1.2569999999999999</v>
      </c>
      <c r="AH19" s="479">
        <v>2.0619999999999998</v>
      </c>
      <c r="AI19" s="479">
        <v>6.7000000000000004E-2</v>
      </c>
      <c r="AJ19" s="477">
        <v>10.91</v>
      </c>
      <c r="AK19" s="479">
        <v>0.54200000000000004</v>
      </c>
      <c r="AL19" s="479">
        <v>2.4889999999999999</v>
      </c>
      <c r="AM19" s="479">
        <v>0.48199999999999998</v>
      </c>
      <c r="AN19" s="479">
        <v>9.2999999999999999E-2</v>
      </c>
      <c r="AO19" s="479">
        <v>0.86399999999999999</v>
      </c>
      <c r="AP19" s="479">
        <v>0.06</v>
      </c>
      <c r="AQ19" s="479">
        <v>3.2240000000000002</v>
      </c>
      <c r="AR19" s="65">
        <v>0</v>
      </c>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row>
    <row r="20" spans="1:68" s="310" customFormat="1" ht="13.25" customHeight="1">
      <c r="A20" s="251">
        <f t="shared" si="0"/>
        <v>13</v>
      </c>
      <c r="B20" s="472">
        <v>12.864583333335759</v>
      </c>
      <c r="C20">
        <v>308.75000000005821</v>
      </c>
      <c r="D20" s="413">
        <v>20</v>
      </c>
      <c r="E20" s="290"/>
      <c r="F20" s="290"/>
      <c r="G20" s="250"/>
      <c r="H20" s="250">
        <v>13.934400422668457</v>
      </c>
      <c r="I20" s="307">
        <f t="shared" si="1"/>
        <v>1.1412409589211983</v>
      </c>
      <c r="J20" s="307">
        <f t="shared" si="2"/>
        <v>15.075641381589655</v>
      </c>
      <c r="K20" s="314">
        <v>92.429901123046875</v>
      </c>
      <c r="L20" s="250"/>
      <c r="M20" s="250"/>
      <c r="N20" s="250"/>
      <c r="O20" s="250"/>
      <c r="P20" s="250"/>
      <c r="Q20" s="250"/>
      <c r="R20" s="297">
        <v>425</v>
      </c>
      <c r="S20" s="65">
        <v>2489.4699999999998</v>
      </c>
      <c r="T20" s="102">
        <v>108.72893640756354</v>
      </c>
      <c r="U20" s="479">
        <v>2.6720000000000002</v>
      </c>
      <c r="V20" s="479">
        <v>1.5760000000000001</v>
      </c>
      <c r="W20" s="479">
        <v>7.4999999999999997E-2</v>
      </c>
      <c r="X20" s="479">
        <v>2.351</v>
      </c>
      <c r="Y20" s="479">
        <v>0.221</v>
      </c>
      <c r="Z20" s="250">
        <v>11.878594107329203</v>
      </c>
      <c r="AA20" s="479">
        <v>2.2829999999999999</v>
      </c>
      <c r="AB20" s="479">
        <v>3.589</v>
      </c>
      <c r="AC20" s="479">
        <v>0.49</v>
      </c>
      <c r="AD20" s="479">
        <v>0.53900000000000003</v>
      </c>
      <c r="AE20" s="479">
        <v>2.444</v>
      </c>
      <c r="AF20" s="250">
        <v>2.4422735346358793</v>
      </c>
      <c r="AG20" s="479">
        <v>0.871</v>
      </c>
      <c r="AH20" s="479">
        <v>1.458</v>
      </c>
      <c r="AI20" s="479">
        <v>0.184</v>
      </c>
      <c r="AJ20" s="477">
        <v>11.9</v>
      </c>
      <c r="AK20" s="479">
        <v>0.26600000000000001</v>
      </c>
      <c r="AL20" s="479">
        <v>2.8650000000000002</v>
      </c>
      <c r="AM20" s="479">
        <v>0.999</v>
      </c>
      <c r="AN20" s="479">
        <v>0.27100000000000002</v>
      </c>
      <c r="AO20" s="479">
        <v>0.70399999999999996</v>
      </c>
      <c r="AP20" s="479">
        <v>0.23699999999999999</v>
      </c>
      <c r="AQ20" s="479">
        <v>2.4350000000000001</v>
      </c>
      <c r="AR20" s="65">
        <v>0</v>
      </c>
    </row>
    <row r="21" spans="1:68" s="310" customFormat="1" ht="13.25" customHeight="1">
      <c r="A21" s="251">
        <f t="shared" si="0"/>
        <v>14</v>
      </c>
      <c r="B21" s="481">
        <v>13.879166666665697</v>
      </c>
      <c r="C21" s="482">
        <v>333.09999999997672</v>
      </c>
      <c r="D21" s="488">
        <v>20</v>
      </c>
      <c r="E21" s="250"/>
      <c r="F21" s="250"/>
      <c r="G21" s="250"/>
      <c r="H21" s="250">
        <v>13.162699563598633</v>
      </c>
      <c r="I21" s="307">
        <f t="shared" si="1"/>
        <v>1.918113984665073</v>
      </c>
      <c r="J21" s="307">
        <f t="shared" si="2"/>
        <v>15.080813548263706</v>
      </c>
      <c r="K21" s="314">
        <v>87.281097412109375</v>
      </c>
      <c r="L21" s="250"/>
      <c r="M21" s="250"/>
      <c r="N21" s="250"/>
      <c r="O21" s="250"/>
      <c r="P21" s="250"/>
      <c r="Q21" s="250"/>
      <c r="R21" s="297">
        <v>431</v>
      </c>
      <c r="S21" s="65">
        <v>2723.92</v>
      </c>
      <c r="T21" s="102">
        <v>124.64949700428625</v>
      </c>
      <c r="U21" s="479">
        <v>2.2480000000000002</v>
      </c>
      <c r="V21" s="479">
        <v>1.3819999999999999</v>
      </c>
      <c r="W21" s="479">
        <v>7.1999999999999995E-2</v>
      </c>
      <c r="X21" s="479">
        <v>2.363</v>
      </c>
      <c r="Y21" s="479">
        <v>0.39600000000000002</v>
      </c>
      <c r="Z21" s="250">
        <v>11.823086658229533</v>
      </c>
      <c r="AA21" s="479">
        <v>2.0430000000000001</v>
      </c>
      <c r="AB21" s="479">
        <v>3.3149999999999999</v>
      </c>
      <c r="AC21" s="479">
        <v>1.1919999999999999</v>
      </c>
      <c r="AD21" s="479">
        <v>0.49399999999999999</v>
      </c>
      <c r="AE21" s="479">
        <v>2.4489999999999998</v>
      </c>
      <c r="AF21" s="250">
        <v>4.6625222024866781</v>
      </c>
      <c r="AG21" s="479">
        <v>0.69699999999999995</v>
      </c>
      <c r="AH21" s="479">
        <v>1.103</v>
      </c>
      <c r="AI21" s="479">
        <v>0.28999999999999998</v>
      </c>
      <c r="AJ21" s="486">
        <v>12.63</v>
      </c>
      <c r="AK21" s="479">
        <v>0.105</v>
      </c>
      <c r="AL21" s="479">
        <v>3.2269999999999999</v>
      </c>
      <c r="AM21" s="479">
        <v>1.238</v>
      </c>
      <c r="AN21" s="479">
        <v>0.45800000000000002</v>
      </c>
      <c r="AO21" s="479">
        <v>0.59899999999999998</v>
      </c>
      <c r="AP21" s="479">
        <v>0.377</v>
      </c>
      <c r="AQ21" s="479">
        <v>1.91</v>
      </c>
      <c r="AR21" s="65">
        <v>0</v>
      </c>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600</v>
      </c>
      <c r="B1" s="327" t="s">
        <v>601</v>
      </c>
      <c r="C1" s="328" t="s">
        <v>602</v>
      </c>
      <c r="D1" s="328" t="s">
        <v>603</v>
      </c>
      <c r="E1" s="328" t="s">
        <v>604</v>
      </c>
      <c r="F1" s="327" t="s">
        <v>605</v>
      </c>
      <c r="G1" s="327" t="s">
        <v>606</v>
      </c>
      <c r="H1" s="327" t="s">
        <v>607</v>
      </c>
      <c r="I1" s="327" t="s">
        <v>608</v>
      </c>
      <c r="J1" s="327" t="s">
        <v>609</v>
      </c>
      <c r="K1" s="327" t="s">
        <v>610</v>
      </c>
      <c r="L1" s="327" t="s">
        <v>611</v>
      </c>
      <c r="M1" s="327" t="s">
        <v>612</v>
      </c>
      <c r="N1" s="327" t="s">
        <v>613</v>
      </c>
      <c r="O1" s="327" t="s">
        <v>614</v>
      </c>
      <c r="P1" s="327" t="s">
        <v>615</v>
      </c>
      <c r="Q1" s="327" t="s">
        <v>616</v>
      </c>
      <c r="R1" s="327" t="s">
        <v>617</v>
      </c>
      <c r="S1" s="327" t="s">
        <v>618</v>
      </c>
      <c r="T1" s="327" t="s">
        <v>619</v>
      </c>
      <c r="U1" s="328" t="s">
        <v>620</v>
      </c>
      <c r="V1" s="329" t="s">
        <v>621</v>
      </c>
      <c r="W1" s="329" t="s">
        <v>622</v>
      </c>
      <c r="X1" s="329" t="s">
        <v>623</v>
      </c>
      <c r="Y1" s="329" t="s">
        <v>624</v>
      </c>
      <c r="Z1" s="327" t="s">
        <v>625</v>
      </c>
      <c r="AA1" s="327" t="s">
        <v>626</v>
      </c>
      <c r="AB1" s="327" t="s">
        <v>627</v>
      </c>
      <c r="AC1" s="327" t="s">
        <v>628</v>
      </c>
      <c r="AD1" s="327" t="s">
        <v>629</v>
      </c>
      <c r="AE1" s="327" t="s">
        <v>630</v>
      </c>
      <c r="AF1" s="327" t="s">
        <v>631</v>
      </c>
      <c r="AG1" s="327" t="s">
        <v>632</v>
      </c>
      <c r="AH1" s="330" t="s">
        <v>633</v>
      </c>
      <c r="AI1" s="330" t="s">
        <v>634</v>
      </c>
      <c r="AJ1" s="331" t="s">
        <v>635</v>
      </c>
      <c r="AK1" s="332" t="s">
        <v>636</v>
      </c>
      <c r="AL1" s="333" t="s">
        <v>637</v>
      </c>
      <c r="AM1" s="332" t="s">
        <v>638</v>
      </c>
      <c r="AN1" s="332" t="s">
        <v>639</v>
      </c>
      <c r="AO1" s="333" t="s">
        <v>640</v>
      </c>
      <c r="AP1" s="333" t="s">
        <v>641</v>
      </c>
      <c r="AQ1" s="333" t="s">
        <v>642</v>
      </c>
      <c r="AR1" s="333" t="s">
        <v>643</v>
      </c>
      <c r="AS1" s="333" t="s">
        <v>644</v>
      </c>
      <c r="AT1" s="332" t="s">
        <v>645</v>
      </c>
      <c r="AU1" s="332" t="s">
        <v>646</v>
      </c>
      <c r="AV1" s="333" t="s">
        <v>647</v>
      </c>
      <c r="AW1" s="333" t="s">
        <v>648</v>
      </c>
      <c r="AX1" s="333" t="s">
        <v>649</v>
      </c>
      <c r="AY1" s="333" t="s">
        <v>650</v>
      </c>
      <c r="AZ1" s="333" t="s">
        <v>651</v>
      </c>
      <c r="BA1" s="333" t="s">
        <v>652</v>
      </c>
      <c r="BB1" s="333" t="s">
        <v>653</v>
      </c>
      <c r="BC1" s="333" t="s">
        <v>654</v>
      </c>
      <c r="BD1" s="333" t="s">
        <v>655</v>
      </c>
      <c r="BE1" s="333" t="s">
        <v>656</v>
      </c>
      <c r="BF1" s="333" t="s">
        <v>657</v>
      </c>
      <c r="BG1" s="333" t="s">
        <v>658</v>
      </c>
      <c r="BH1" s="334" t="s">
        <v>659</v>
      </c>
      <c r="BI1" s="334" t="s">
        <v>660</v>
      </c>
      <c r="BJ1" t="s">
        <v>661</v>
      </c>
      <c r="BK1" t="s">
        <v>662</v>
      </c>
      <c r="BL1" t="s">
        <v>663</v>
      </c>
      <c r="BM1" t="s">
        <v>664</v>
      </c>
      <c r="BN1" t="s">
        <v>665</v>
      </c>
      <c r="BO1" t="s">
        <v>666</v>
      </c>
      <c r="BP1" t="s">
        <v>667</v>
      </c>
      <c r="BQ1" t="s">
        <v>668</v>
      </c>
      <c r="BR1" t="s">
        <v>669</v>
      </c>
      <c r="BS1" t="s">
        <v>670</v>
      </c>
      <c r="BT1" t="s">
        <v>671</v>
      </c>
      <c r="BU1" t="s">
        <v>672</v>
      </c>
      <c r="BV1" t="s">
        <v>673</v>
      </c>
      <c r="BW1" t="s">
        <v>674</v>
      </c>
      <c r="BX1" t="s">
        <v>675</v>
      </c>
      <c r="BY1" t="s">
        <v>676</v>
      </c>
      <c r="BZ1" t="s">
        <v>677</v>
      </c>
      <c r="CA1" t="s">
        <v>678</v>
      </c>
      <c r="CB1" t="s">
        <v>679</v>
      </c>
      <c r="CC1" t="s">
        <v>680</v>
      </c>
    </row>
    <row r="2" spans="1:81" ht="14" customHeight="1" thickBot="1">
      <c r="A2" s="336">
        <v>327595</v>
      </c>
      <c r="B2" s="336" t="s">
        <v>681</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681</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681</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681</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681</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681</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681</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681</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681</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681</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681</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681</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681</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681</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681</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682</v>
      </c>
      <c r="AY16" s="363">
        <v>2.57</v>
      </c>
      <c r="AZ16" s="364" t="s">
        <v>682</v>
      </c>
      <c r="BA16" s="363">
        <v>0.68</v>
      </c>
      <c r="BB16" s="363">
        <v>0.49</v>
      </c>
      <c r="BC16" s="363">
        <v>0.25</v>
      </c>
      <c r="BD16" s="363">
        <v>20.059999999999999</v>
      </c>
      <c r="BE16" s="363">
        <v>7.59</v>
      </c>
      <c r="BF16" s="364" t="s">
        <v>682</v>
      </c>
      <c r="BG16" s="364" t="s">
        <v>682</v>
      </c>
      <c r="BH16" s="365">
        <f>(2*AY16+BB16+BC16+BD16+BE16)/(2*(SUM(AV16:BG16)))</f>
        <v>0.17593661454507292</v>
      </c>
      <c r="BI16" s="365">
        <f>SUM(BD16:BE16,AY16,AW16)/SUM(AV16:BG16)</f>
        <v>0.9636897890649595</v>
      </c>
    </row>
    <row r="17" spans="1:61" ht="14.5" customHeight="1" thickBot="1">
      <c r="A17" s="336" t="s">
        <v>683</v>
      </c>
      <c r="B17" s="336" t="s">
        <v>681</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683</v>
      </c>
      <c r="B18" s="336" t="s">
        <v>681</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683</v>
      </c>
      <c r="B19" s="336" t="s">
        <v>681</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683</v>
      </c>
      <c r="B20" s="336" t="s">
        <v>681</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683</v>
      </c>
      <c r="B21" s="336" t="s">
        <v>681</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683</v>
      </c>
      <c r="B22" s="336" t="s">
        <v>681</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683</v>
      </c>
      <c r="B23" s="336" t="s">
        <v>681</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683</v>
      </c>
      <c r="B24" s="336" t="s">
        <v>681</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683</v>
      </c>
      <c r="B25" s="336" t="s">
        <v>681</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683</v>
      </c>
      <c r="B26" s="336" t="s">
        <v>681</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683</v>
      </c>
      <c r="B27" s="336" t="s">
        <v>681</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683</v>
      </c>
      <c r="B28" s="336" t="s">
        <v>681</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683</v>
      </c>
      <c r="B29" s="336" t="s">
        <v>681</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683</v>
      </c>
      <c r="B30" s="336" t="s">
        <v>681</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683</v>
      </c>
      <c r="B31" s="336" t="s">
        <v>681</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684</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685</v>
      </c>
      <c r="B32" s="336" t="s">
        <v>681</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685</v>
      </c>
      <c r="B33" s="336" t="s">
        <v>681</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685</v>
      </c>
      <c r="B34" s="336" t="s">
        <v>681</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685</v>
      </c>
      <c r="B35" s="336" t="s">
        <v>681</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685</v>
      </c>
      <c r="B36" s="336" t="s">
        <v>681</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685</v>
      </c>
      <c r="B37" s="336" t="s">
        <v>681</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685</v>
      </c>
      <c r="B38" s="336" t="s">
        <v>681</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685</v>
      </c>
      <c r="B39" s="336" t="s">
        <v>681</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685</v>
      </c>
      <c r="B40" s="336" t="s">
        <v>681</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685</v>
      </c>
      <c r="B41" s="336" t="s">
        <v>681</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685</v>
      </c>
      <c r="B42" s="336" t="s">
        <v>681</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685</v>
      </c>
      <c r="B43" s="336" t="s">
        <v>681</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685</v>
      </c>
      <c r="B44" s="336" t="s">
        <v>681</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685</v>
      </c>
      <c r="B45" s="336" t="s">
        <v>681</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685</v>
      </c>
      <c r="B46" s="336" t="s">
        <v>681</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682</v>
      </c>
      <c r="AY46" s="363">
        <v>2.2000000000000002</v>
      </c>
      <c r="AZ46" s="364" t="s">
        <v>682</v>
      </c>
      <c r="BA46" s="363">
        <v>0.7</v>
      </c>
      <c r="BB46" s="363">
        <v>0.4</v>
      </c>
      <c r="BC46" s="363">
        <v>0.2</v>
      </c>
      <c r="BD46" s="363">
        <v>17.600000000000001</v>
      </c>
      <c r="BE46" s="363">
        <v>7.2</v>
      </c>
      <c r="BF46" s="364" t="s">
        <v>682</v>
      </c>
      <c r="BG46" s="364" t="s">
        <v>682</v>
      </c>
      <c r="BH46" s="365">
        <f>(2*AY46+BB46+BC46+BD46+BE46)/(2*(SUM(AV46:BG46)))</f>
        <v>0.15537017726798746</v>
      </c>
      <c r="BI46" s="365">
        <f>SUM(BD46:BE46,AY46,AW46)/SUM(AV46:BG46)</f>
        <v>0.96246089676746593</v>
      </c>
    </row>
    <row r="47" spans="1:61" ht="14" customHeight="1" thickBot="1">
      <c r="A47" s="331" t="s">
        <v>686</v>
      </c>
      <c r="B47" s="336" t="s">
        <v>681</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686</v>
      </c>
      <c r="B48" s="336" t="s">
        <v>681</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686</v>
      </c>
      <c r="B49" s="336" t="s">
        <v>681</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686</v>
      </c>
      <c r="B50" s="336" t="s">
        <v>681</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686</v>
      </c>
      <c r="B51" s="336" t="s">
        <v>681</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686</v>
      </c>
      <c r="B52" s="336" t="s">
        <v>681</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686</v>
      </c>
      <c r="B53" s="336" t="s">
        <v>681</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686</v>
      </c>
      <c r="B54" s="336" t="s">
        <v>681</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686</v>
      </c>
      <c r="B55" s="336" t="s">
        <v>681</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686</v>
      </c>
      <c r="B56" s="336" t="s">
        <v>681</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686</v>
      </c>
      <c r="B57" s="336" t="s">
        <v>681</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686</v>
      </c>
      <c r="B58" s="336" t="s">
        <v>681</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686</v>
      </c>
      <c r="B59" s="336" t="s">
        <v>681</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686</v>
      </c>
      <c r="B60" s="336" t="s">
        <v>681</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686</v>
      </c>
      <c r="B61" s="336" t="s">
        <v>681</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682</v>
      </c>
      <c r="AY61" s="363">
        <v>2.78</v>
      </c>
      <c r="AZ61" s="364" t="s">
        <v>682</v>
      </c>
      <c r="BA61" s="363">
        <v>0.72</v>
      </c>
      <c r="BB61" s="363">
        <v>0.49</v>
      </c>
      <c r="BC61" s="363">
        <v>0.26</v>
      </c>
      <c r="BD61" s="363">
        <v>20.51</v>
      </c>
      <c r="BE61" s="363">
        <v>7.76</v>
      </c>
      <c r="BF61" s="364" t="s">
        <v>682</v>
      </c>
      <c r="BG61" s="364" t="s">
        <v>682</v>
      </c>
      <c r="BH61" s="365">
        <f>(2*AY61+BB61+BC61+BD61+BE61)/(2*(SUM(AV61:BG61)))</f>
        <v>0.18286620835536749</v>
      </c>
      <c r="BI61" s="365">
        <f>SUM(BD61:BE61,AY61,AW61)/SUM(AV61:BG61)</f>
        <v>0.96181914331041762</v>
      </c>
    </row>
    <row r="62" spans="1:61" ht="13.25" customHeight="1" thickBot="1">
      <c r="A62" s="411" t="s">
        <v>687</v>
      </c>
      <c r="B62" s="411" t="s">
        <v>688</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687</v>
      </c>
      <c r="B63" s="411" t="s">
        <v>688</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687</v>
      </c>
      <c r="B64" s="411" t="s">
        <v>688</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687</v>
      </c>
      <c r="B65" s="411" t="s">
        <v>688</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687</v>
      </c>
      <c r="B66" s="411" t="s">
        <v>688</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687</v>
      </c>
      <c r="B67" s="411" t="s">
        <v>688</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687</v>
      </c>
      <c r="B68" s="411" t="s">
        <v>688</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687</v>
      </c>
      <c r="B69" s="411" t="s">
        <v>688</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687</v>
      </c>
      <c r="B70" s="411" t="s">
        <v>688</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687</v>
      </c>
      <c r="B71" s="411" t="s">
        <v>688</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687</v>
      </c>
      <c r="B72" s="411" t="s">
        <v>688</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687</v>
      </c>
      <c r="B73" s="411" t="s">
        <v>688</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687</v>
      </c>
      <c r="B74" s="411" t="s">
        <v>688</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687</v>
      </c>
      <c r="B75" s="411" t="s">
        <v>688</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687</v>
      </c>
      <c r="B76" s="411" t="s">
        <v>688</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689</v>
      </c>
      <c r="B77" s="411" t="s">
        <v>688</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689</v>
      </c>
      <c r="B78" s="411" t="s">
        <v>688</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689</v>
      </c>
      <c r="B79" s="411" t="s">
        <v>688</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689</v>
      </c>
      <c r="B80" s="411" t="s">
        <v>688</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689</v>
      </c>
      <c r="B81" s="411" t="s">
        <v>688</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689</v>
      </c>
      <c r="B82" s="411" t="s">
        <v>688</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689</v>
      </c>
      <c r="B83" s="411" t="s">
        <v>688</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689</v>
      </c>
      <c r="B84" s="411" t="s">
        <v>688</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689</v>
      </c>
      <c r="B85" s="411" t="s">
        <v>688</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689</v>
      </c>
      <c r="B86" s="411" t="s">
        <v>688</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689</v>
      </c>
      <c r="B87" s="411" t="s">
        <v>688</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689</v>
      </c>
      <c r="B88" s="411" t="s">
        <v>688</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689</v>
      </c>
      <c r="B89" s="411" t="s">
        <v>688</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689</v>
      </c>
      <c r="B90" s="411" t="s">
        <v>688</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689</v>
      </c>
      <c r="B91" s="411" t="s">
        <v>688</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690</v>
      </c>
      <c r="B92" s="411" t="s">
        <v>688</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690</v>
      </c>
      <c r="B93" s="411" t="s">
        <v>688</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690</v>
      </c>
      <c r="B94" s="411" t="s">
        <v>688</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690</v>
      </c>
      <c r="B95" s="411" t="s">
        <v>688</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690</v>
      </c>
      <c r="B96" s="411" t="s">
        <v>688</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690</v>
      </c>
      <c r="B97" s="411" t="s">
        <v>688</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690</v>
      </c>
      <c r="B98" s="411" t="s">
        <v>688</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690</v>
      </c>
      <c r="B99" s="411" t="s">
        <v>688</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690</v>
      </c>
      <c r="B100" s="411" t="s">
        <v>688</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690</v>
      </c>
      <c r="B101" s="411" t="s">
        <v>688</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690</v>
      </c>
      <c r="B102" s="411" t="s">
        <v>688</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690</v>
      </c>
      <c r="B103" s="411" t="s">
        <v>688</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690</v>
      </c>
      <c r="B104" s="411" t="s">
        <v>688</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690</v>
      </c>
      <c r="B105" s="411" t="s">
        <v>688</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690</v>
      </c>
      <c r="B106" s="411" t="s">
        <v>688</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691</v>
      </c>
      <c r="B107" s="411" t="s">
        <v>688</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691</v>
      </c>
      <c r="B108" s="411" t="s">
        <v>688</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691</v>
      </c>
      <c r="B109" s="411" t="s">
        <v>688</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691</v>
      </c>
      <c r="B110" s="411" t="s">
        <v>688</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691</v>
      </c>
      <c r="B111" s="411" t="s">
        <v>688</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691</v>
      </c>
      <c r="B112" s="411" t="s">
        <v>688</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691</v>
      </c>
      <c r="B113" s="411" t="s">
        <v>688</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691</v>
      </c>
      <c r="B114" s="411" t="s">
        <v>688</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691</v>
      </c>
      <c r="B115" s="411" t="s">
        <v>688</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691</v>
      </c>
      <c r="B116" s="411" t="s">
        <v>688</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691</v>
      </c>
      <c r="B117" s="411" t="s">
        <v>688</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691</v>
      </c>
      <c r="B118" s="411" t="s">
        <v>688</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691</v>
      </c>
      <c r="B119" s="411" t="s">
        <v>688</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691</v>
      </c>
      <c r="B120" s="411" t="s">
        <v>688</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691</v>
      </c>
      <c r="B121" s="411" t="s">
        <v>688</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692</v>
      </c>
      <c r="B122" s="411" t="s">
        <v>688</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692</v>
      </c>
      <c r="B123" s="411" t="s">
        <v>688</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692</v>
      </c>
      <c r="B124" s="411" t="s">
        <v>688</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692</v>
      </c>
      <c r="B125" s="411" t="s">
        <v>688</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692</v>
      </c>
      <c r="B126" s="411" t="s">
        <v>688</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692</v>
      </c>
      <c r="B127" s="411" t="s">
        <v>688</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692</v>
      </c>
      <c r="B128" s="411" t="s">
        <v>688</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692</v>
      </c>
      <c r="B129" s="411" t="s">
        <v>688</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692</v>
      </c>
      <c r="B130" s="411" t="s">
        <v>688</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692</v>
      </c>
      <c r="B131" s="411" t="s">
        <v>688</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692</v>
      </c>
      <c r="B132" s="411" t="s">
        <v>688</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692</v>
      </c>
      <c r="B133" s="411" t="s">
        <v>688</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692</v>
      </c>
      <c r="B134" s="411" t="s">
        <v>688</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692</v>
      </c>
      <c r="B135" s="411" t="s">
        <v>688</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692</v>
      </c>
      <c r="B136" s="411" t="s">
        <v>688</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693</v>
      </c>
      <c r="B137" s="411" t="s">
        <v>688</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693</v>
      </c>
      <c r="B138" s="411" t="s">
        <v>688</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693</v>
      </c>
      <c r="B139" s="411" t="s">
        <v>688</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693</v>
      </c>
      <c r="B140" s="411" t="s">
        <v>688</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693</v>
      </c>
      <c r="B141" s="411" t="s">
        <v>688</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693</v>
      </c>
      <c r="B142" s="411" t="s">
        <v>688</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693</v>
      </c>
      <c r="B143" s="411" t="s">
        <v>688</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693</v>
      </c>
      <c r="B144" s="411" t="s">
        <v>688</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693</v>
      </c>
      <c r="B145" s="411" t="s">
        <v>688</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693</v>
      </c>
      <c r="B146" s="411" t="s">
        <v>688</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693</v>
      </c>
      <c r="B147" s="411" t="s">
        <v>688</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693</v>
      </c>
      <c r="B148" s="411" t="s">
        <v>688</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693</v>
      </c>
      <c r="B149" s="411" t="s">
        <v>688</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693</v>
      </c>
      <c r="B150" s="411" t="s">
        <v>688</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693</v>
      </c>
      <c r="B151" s="411" t="s">
        <v>688</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694</v>
      </c>
      <c r="B152" s="411" t="s">
        <v>688</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694</v>
      </c>
      <c r="B153" s="411" t="s">
        <v>688</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694</v>
      </c>
      <c r="B154" s="411" t="s">
        <v>688</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694</v>
      </c>
      <c r="B155" s="411" t="s">
        <v>688</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694</v>
      </c>
      <c r="B156" s="411" t="s">
        <v>688</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694</v>
      </c>
      <c r="B157" s="411" t="s">
        <v>688</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694</v>
      </c>
      <c r="B158" s="411" t="s">
        <v>688</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694</v>
      </c>
      <c r="B159" s="411" t="s">
        <v>688</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694</v>
      </c>
      <c r="B160" s="411" t="s">
        <v>688</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694</v>
      </c>
      <c r="B161" s="411" t="s">
        <v>688</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694</v>
      </c>
      <c r="B162" s="411" t="s">
        <v>688</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694</v>
      </c>
      <c r="B163" s="411" t="s">
        <v>688</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694</v>
      </c>
      <c r="B164" s="411" t="s">
        <v>688</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694</v>
      </c>
      <c r="B165" s="411" t="s">
        <v>688</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694</v>
      </c>
      <c r="B166" s="411" t="s">
        <v>688</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695</v>
      </c>
      <c r="B167" s="411" t="s">
        <v>688</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695</v>
      </c>
      <c r="B168" s="411" t="s">
        <v>688</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695</v>
      </c>
      <c r="B169" s="411" t="s">
        <v>688</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695</v>
      </c>
      <c r="B170" s="411" t="s">
        <v>688</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695</v>
      </c>
      <c r="B171" s="411" t="s">
        <v>688</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695</v>
      </c>
      <c r="B172" s="411" t="s">
        <v>688</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695</v>
      </c>
      <c r="B173" s="411" t="s">
        <v>688</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695</v>
      </c>
      <c r="B174" s="411" t="s">
        <v>688</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695</v>
      </c>
      <c r="B175" s="411" t="s">
        <v>688</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695</v>
      </c>
      <c r="B176" s="411" t="s">
        <v>688</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695</v>
      </c>
      <c r="B177" s="411" t="s">
        <v>688</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695</v>
      </c>
      <c r="B178" s="411" t="s">
        <v>688</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695</v>
      </c>
      <c r="B179" s="411" t="s">
        <v>688</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695</v>
      </c>
      <c r="B180" s="411" t="s">
        <v>688</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695</v>
      </c>
      <c r="B181" s="411" t="s">
        <v>688</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696</v>
      </c>
      <c r="B182" s="411" t="s">
        <v>688</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696</v>
      </c>
      <c r="B183" s="411" t="s">
        <v>688</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696</v>
      </c>
      <c r="B184" s="411" t="s">
        <v>688</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696</v>
      </c>
      <c r="B185" s="411" t="s">
        <v>688</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696</v>
      </c>
      <c r="B186" s="411" t="s">
        <v>688</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696</v>
      </c>
      <c r="B187" s="411" t="s">
        <v>688</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696</v>
      </c>
      <c r="B188" s="411" t="s">
        <v>688</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696</v>
      </c>
      <c r="B189" s="411" t="s">
        <v>688</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696</v>
      </c>
      <c r="B190" s="411" t="s">
        <v>688</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696</v>
      </c>
      <c r="B191" s="411" t="s">
        <v>688</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696</v>
      </c>
      <c r="B192" s="411" t="s">
        <v>688</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696</v>
      </c>
      <c r="B193" s="411" t="s">
        <v>688</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696</v>
      </c>
      <c r="B194" s="411" t="s">
        <v>688</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696</v>
      </c>
      <c r="B195" s="411" t="s">
        <v>688</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696</v>
      </c>
      <c r="B196" s="411" t="s">
        <v>688</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697</v>
      </c>
      <c r="B197" s="411" t="s">
        <v>688</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697</v>
      </c>
      <c r="B198" s="411" t="s">
        <v>688</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697</v>
      </c>
      <c r="B199" s="411" t="s">
        <v>688</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697</v>
      </c>
      <c r="B200" s="411" t="s">
        <v>688</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697</v>
      </c>
      <c r="B201" s="411" t="s">
        <v>688</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697</v>
      </c>
      <c r="B202" s="411" t="s">
        <v>688</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697</v>
      </c>
      <c r="B203" s="411" t="s">
        <v>688</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697</v>
      </c>
      <c r="B204" s="411" t="s">
        <v>688</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697</v>
      </c>
      <c r="B205" s="411" t="s">
        <v>688</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697</v>
      </c>
      <c r="B206" s="411" t="s">
        <v>688</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697</v>
      </c>
      <c r="B207" s="411" t="s">
        <v>688</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697</v>
      </c>
      <c r="B208" s="411" t="s">
        <v>688</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697</v>
      </c>
      <c r="B209" s="411" t="s">
        <v>688</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697</v>
      </c>
      <c r="B210" s="411" t="s">
        <v>688</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697</v>
      </c>
      <c r="B211" s="411" t="s">
        <v>688</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684</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698</v>
      </c>
      <c r="B212" s="411" t="s">
        <v>688</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698</v>
      </c>
      <c r="B213" s="411" t="s">
        <v>688</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698</v>
      </c>
      <c r="B214" s="411" t="s">
        <v>688</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698</v>
      </c>
      <c r="B215" s="411" t="s">
        <v>688</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698</v>
      </c>
      <c r="B216" s="411" t="s">
        <v>688</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698</v>
      </c>
      <c r="B217" s="411" t="s">
        <v>688</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698</v>
      </c>
      <c r="B218" s="411" t="s">
        <v>688</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698</v>
      </c>
      <c r="B219" s="411" t="s">
        <v>688</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698</v>
      </c>
      <c r="B220" s="411" t="s">
        <v>688</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698</v>
      </c>
      <c r="B221" s="411" t="s">
        <v>688</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698</v>
      </c>
      <c r="B222" s="411" t="s">
        <v>688</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698</v>
      </c>
      <c r="B223" s="411" t="s">
        <v>688</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698</v>
      </c>
      <c r="B224" s="411" t="s">
        <v>688</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698</v>
      </c>
      <c r="B225" s="411" t="s">
        <v>688</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698</v>
      </c>
      <c r="B226" s="411" t="s">
        <v>688</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684</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582</v>
      </c>
      <c r="B227" s="471" t="s">
        <v>699</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582</v>
      </c>
      <c r="B228" s="471" t="s">
        <v>699</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582</v>
      </c>
      <c r="B229" s="471" t="s">
        <v>699</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582</v>
      </c>
      <c r="B230" s="471" t="s">
        <v>699</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582</v>
      </c>
      <c r="B231" s="471" t="s">
        <v>699</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582</v>
      </c>
      <c r="B232" s="471" t="s">
        <v>699</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582</v>
      </c>
      <c r="B233" s="471" t="s">
        <v>699</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582</v>
      </c>
      <c r="B234" s="471" t="s">
        <v>699</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582</v>
      </c>
      <c r="B235" s="471" t="s">
        <v>699</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582</v>
      </c>
      <c r="B236" s="471" t="s">
        <v>699</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582</v>
      </c>
      <c r="B237" s="471" t="s">
        <v>699</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582</v>
      </c>
      <c r="B238" s="471" t="s">
        <v>699</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582</v>
      </c>
      <c r="B239" s="471" t="s">
        <v>699</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582</v>
      </c>
      <c r="B240" s="471" t="s">
        <v>699</v>
      </c>
      <c r="C240" s="472">
        <v>12.864583333335759</v>
      </c>
      <c r="D240">
        <v>308.75000000005821</v>
      </c>
      <c r="E240" s="337">
        <f t="shared" si="100"/>
        <v>13.934400422668457</v>
      </c>
      <c r="F240" s="473">
        <v>13934400.422668457</v>
      </c>
      <c r="G240" s="449">
        <v>92.429901123046875</v>
      </c>
      <c r="H240" s="351">
        <f t="shared" si="112"/>
        <v>-1.546092156363353E-3</v>
      </c>
      <c r="I240" s="474" t="s">
        <v>684</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582</v>
      </c>
      <c r="B241" s="471" t="s">
        <v>699</v>
      </c>
      <c r="C241" s="481">
        <v>13.879166666665697</v>
      </c>
      <c r="D241" s="482">
        <v>333.09999999997672</v>
      </c>
      <c r="E241" s="337">
        <f t="shared" si="100"/>
        <v>13.162699563598633</v>
      </c>
      <c r="F241" s="483">
        <v>13162699.563598633</v>
      </c>
      <c r="G241" s="482">
        <v>87.281097412109375</v>
      </c>
      <c r="H241" s="484">
        <f t="shared" si="112"/>
        <v>-2.3391453020943386E-3</v>
      </c>
      <c r="I241" s="485" t="s">
        <v>684</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583</v>
      </c>
      <c r="B242" s="471" t="s">
        <v>699</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583</v>
      </c>
      <c r="B243" s="471" t="s">
        <v>699</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583</v>
      </c>
      <c r="B244" s="471" t="s">
        <v>699</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583</v>
      </c>
      <c r="B245" s="471" t="s">
        <v>699</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583</v>
      </c>
      <c r="B246" s="471" t="s">
        <v>699</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583</v>
      </c>
      <c r="B247" s="471" t="s">
        <v>699</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583</v>
      </c>
      <c r="B248" s="471" t="s">
        <v>699</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583</v>
      </c>
      <c r="B249" s="471" t="s">
        <v>699</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583</v>
      </c>
      <c r="B250" s="471" t="s">
        <v>699</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583</v>
      </c>
      <c r="B251" s="471" t="s">
        <v>699</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583</v>
      </c>
      <c r="B252" s="471" t="s">
        <v>699</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583</v>
      </c>
      <c r="B253" s="471" t="s">
        <v>699</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583</v>
      </c>
      <c r="B254" s="471" t="s">
        <v>699</v>
      </c>
      <c r="C254" s="472">
        <v>11.868055555554747</v>
      </c>
      <c r="D254">
        <v>284.83333333331393</v>
      </c>
      <c r="E254" s="337">
        <f t="shared" si="100"/>
        <v>16.129900796508789</v>
      </c>
      <c r="F254" s="473">
        <v>16129900.796508789</v>
      </c>
      <c r="G254" s="449">
        <v>96.091499328613281</v>
      </c>
      <c r="H254" s="351">
        <f t="shared" si="112"/>
        <v>-1.6518827550698203E-4</v>
      </c>
      <c r="I254" s="474" t="s">
        <v>684</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583</v>
      </c>
      <c r="B255" s="471" t="s">
        <v>699</v>
      </c>
      <c r="C255" s="472">
        <v>12.861111111109494</v>
      </c>
      <c r="D255">
        <v>308.66666666662786</v>
      </c>
      <c r="E255" s="337">
        <f t="shared" si="100"/>
        <v>15.486100061035156</v>
      </c>
      <c r="F255" s="473">
        <v>15486100.061035156</v>
      </c>
      <c r="G255" s="449">
        <v>93.142097473144531</v>
      </c>
      <c r="H255" s="351">
        <f t="shared" si="112"/>
        <v>-1.7087941256933147E-3</v>
      </c>
      <c r="I255" s="474" t="s">
        <v>684</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583</v>
      </c>
      <c r="B256" s="471" t="s">
        <v>699</v>
      </c>
      <c r="C256" s="481">
        <v>13.875694444439432</v>
      </c>
      <c r="D256" s="482">
        <v>333.01666666654637</v>
      </c>
      <c r="E256" s="337">
        <f t="shared" si="100"/>
        <v>12.884300096130371</v>
      </c>
      <c r="F256" s="483">
        <v>12884300.096130371</v>
      </c>
      <c r="G256" s="482">
        <v>82.006500244140625</v>
      </c>
      <c r="H256" s="484">
        <f t="shared" si="112"/>
        <v>-7.5325057550513965E-3</v>
      </c>
      <c r="I256" s="485" t="s">
        <v>684</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584</v>
      </c>
      <c r="B257" s="471" t="s">
        <v>699</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584</v>
      </c>
      <c r="B258" s="471" t="s">
        <v>699</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584</v>
      </c>
      <c r="B259" s="471" t="s">
        <v>699</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584</v>
      </c>
      <c r="B260" s="471" t="s">
        <v>699</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584</v>
      </c>
      <c r="B261" s="471" t="s">
        <v>699</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584</v>
      </c>
      <c r="B262" s="471" t="s">
        <v>699</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584</v>
      </c>
      <c r="B263" s="471" t="s">
        <v>699</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584</v>
      </c>
      <c r="B264" s="471" t="s">
        <v>699</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584</v>
      </c>
      <c r="B265" s="471" t="s">
        <v>699</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584</v>
      </c>
      <c r="B266" s="471" t="s">
        <v>699</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584</v>
      </c>
      <c r="B267" s="471" t="s">
        <v>699</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584</v>
      </c>
      <c r="B268" s="471" t="s">
        <v>699</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584</v>
      </c>
      <c r="B269" s="471" t="s">
        <v>699</v>
      </c>
      <c r="C269" s="472">
        <v>11.864583333335759</v>
      </c>
      <c r="D269">
        <v>284.75000000005821</v>
      </c>
      <c r="E269" s="337">
        <f t="shared" si="133"/>
        <v>16.004000527954101</v>
      </c>
      <c r="F269" s="473">
        <v>16004000.527954102</v>
      </c>
      <c r="G269" s="449">
        <v>96.566200256347656</v>
      </c>
      <c r="H269" s="351">
        <f t="shared" si="112"/>
        <v>5.6822410995621925E-4</v>
      </c>
      <c r="I269" s="474" t="s">
        <v>684</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584</v>
      </c>
      <c r="B270" s="471" t="s">
        <v>699</v>
      </c>
      <c r="C270" s="472">
        <v>12.857638888890506</v>
      </c>
      <c r="D270">
        <v>308.58333333337214</v>
      </c>
      <c r="E270" s="337">
        <f t="shared" si="133"/>
        <v>15.927300317382812</v>
      </c>
      <c r="F270" s="473">
        <v>15927300.317382812</v>
      </c>
      <c r="G270" s="449">
        <v>93.397796630859375</v>
      </c>
      <c r="H270" s="351">
        <f t="shared" si="112"/>
        <v>-2.0156965536300022E-4</v>
      </c>
      <c r="I270" s="474" t="s">
        <v>684</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584</v>
      </c>
      <c r="B271" s="471" t="s">
        <v>699</v>
      </c>
      <c r="C271" s="481">
        <v>13.872222222220444</v>
      </c>
      <c r="D271" s="482">
        <v>332.93333333329065</v>
      </c>
      <c r="E271" s="337">
        <f t="shared" si="133"/>
        <v>13.334700448608398</v>
      </c>
      <c r="F271" s="483">
        <v>13334700.448608398</v>
      </c>
      <c r="G271" s="482">
        <v>82.252700805664062</v>
      </c>
      <c r="H271" s="484">
        <f t="shared" si="112"/>
        <v>-7.2771697823027443E-3</v>
      </c>
      <c r="I271" s="485" t="s">
        <v>684</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582</v>
      </c>
      <c r="B272" s="471" t="s">
        <v>699</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583</v>
      </c>
      <c r="B273" s="471" t="s">
        <v>699</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584</v>
      </c>
      <c r="B274" s="471" t="s">
        <v>699</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zoomScale="221" zoomScaleNormal="160" workbookViewId="0">
      <pane ySplit="2" topLeftCell="A3" activePane="bottomLeft" state="frozen"/>
      <selection pane="bottomLeft" activeCell="F18" sqref="F18"/>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1" t="s">
        <v>377</v>
      </c>
      <c r="L1" s="531"/>
      <c r="M1" s="531"/>
      <c r="N1" s="531"/>
      <c r="O1" s="531"/>
      <c r="P1" s="531"/>
      <c r="Q1" s="531"/>
      <c r="R1" s="531"/>
      <c r="S1" s="531"/>
      <c r="T1" s="531"/>
      <c r="U1" s="531"/>
      <c r="V1" s="531"/>
      <c r="W1" s="531"/>
      <c r="X1" s="531"/>
      <c r="Y1" s="531"/>
      <c r="Z1" s="531"/>
      <c r="AA1" s="531"/>
      <c r="AB1" s="531"/>
      <c r="AC1" s="531"/>
      <c r="AD1" s="531"/>
      <c r="AE1" s="531"/>
      <c r="AF1" s="531"/>
      <c r="AG1" s="531"/>
      <c r="AH1" s="531"/>
      <c r="AI1" s="531"/>
      <c r="AJ1" s="531"/>
      <c r="AK1" s="531"/>
      <c r="AL1" s="531"/>
      <c r="AM1" s="531"/>
      <c r="AN1" s="531"/>
      <c r="AO1" s="531"/>
      <c r="AP1" s="530" t="s">
        <v>241</v>
      </c>
      <c r="AQ1" s="530"/>
      <c r="AR1" s="530"/>
      <c r="AS1" s="530"/>
      <c r="AT1" s="530"/>
      <c r="AU1" s="530"/>
      <c r="AV1" s="530"/>
      <c r="AW1" s="530"/>
      <c r="AX1" s="530"/>
      <c r="AY1" s="530"/>
      <c r="AZ1" s="530"/>
      <c r="BA1" s="530"/>
      <c r="BB1" s="530"/>
      <c r="BC1" s="530"/>
      <c r="BD1" s="530"/>
      <c r="BE1" s="530"/>
      <c r="BF1" s="530"/>
      <c r="BG1" s="530"/>
      <c r="BH1" s="530"/>
      <c r="BI1" s="530"/>
      <c r="BJ1" s="530"/>
      <c r="BK1" s="530"/>
      <c r="BL1" s="530"/>
      <c r="BM1" s="530"/>
      <c r="BN1" s="530"/>
      <c r="BO1" s="530"/>
      <c r="BP1" s="530"/>
      <c r="BQ1" s="530"/>
      <c r="BR1" s="530"/>
      <c r="BS1" s="530"/>
      <c r="BT1" s="530"/>
      <c r="BU1" s="530"/>
      <c r="BV1" s="530"/>
      <c r="BW1" s="530"/>
      <c r="BX1" s="530"/>
      <c r="BY1" s="530"/>
      <c r="BZ1" s="530"/>
      <c r="CA1" s="530"/>
    </row>
    <row r="2" spans="1:80" s="63" customFormat="1" ht="109" customHeight="1">
      <c r="A2" s="92" t="s">
        <v>0</v>
      </c>
      <c r="B2" s="93" t="s">
        <v>351</v>
      </c>
      <c r="C2" s="93" t="s">
        <v>1</v>
      </c>
      <c r="D2" s="93" t="s">
        <v>707</v>
      </c>
      <c r="E2" s="93" t="s">
        <v>2</v>
      </c>
      <c r="F2" s="93" t="s">
        <v>466</v>
      </c>
      <c r="G2" s="93" t="s">
        <v>467</v>
      </c>
      <c r="H2" s="93" t="s">
        <v>468</v>
      </c>
      <c r="I2" s="93" t="s">
        <v>483</v>
      </c>
      <c r="J2" s="93" t="s">
        <v>4</v>
      </c>
      <c r="K2" s="61" t="s">
        <v>270</v>
      </c>
      <c r="L2" s="59" t="s">
        <v>109</v>
      </c>
      <c r="M2" s="59" t="s">
        <v>108</v>
      </c>
      <c r="N2" s="59" t="s">
        <v>104</v>
      </c>
      <c r="O2" s="59" t="s">
        <v>289</v>
      </c>
      <c r="P2" s="59" t="s">
        <v>53</v>
      </c>
      <c r="Q2" s="59" t="s">
        <v>48</v>
      </c>
      <c r="R2" s="59" t="s">
        <v>46</v>
      </c>
      <c r="S2" s="59" t="s">
        <v>346</v>
      </c>
      <c r="T2" s="503" t="s">
        <v>701</v>
      </c>
      <c r="U2" s="59" t="s">
        <v>50</v>
      </c>
      <c r="V2" s="59" t="s">
        <v>47</v>
      </c>
      <c r="W2" s="59" t="s">
        <v>51</v>
      </c>
      <c r="X2" s="59" t="s">
        <v>329</v>
      </c>
      <c r="Y2" s="59" t="s">
        <v>58</v>
      </c>
      <c r="Z2" s="503" t="s">
        <v>702</v>
      </c>
      <c r="AA2" s="59" t="s">
        <v>59</v>
      </c>
      <c r="AB2" s="59" t="s">
        <v>60</v>
      </c>
      <c r="AC2" s="59" t="s">
        <v>56</v>
      </c>
      <c r="AD2" s="59" t="s">
        <v>106</v>
      </c>
      <c r="AE2" s="59" t="s">
        <v>63</v>
      </c>
      <c r="AF2" s="59" t="s">
        <v>358</v>
      </c>
      <c r="AG2" s="59" t="s">
        <v>49</v>
      </c>
      <c r="AH2" s="59" t="s">
        <v>52</v>
      </c>
      <c r="AI2" s="59" t="s">
        <v>347</v>
      </c>
      <c r="AJ2" s="59" t="s">
        <v>54</v>
      </c>
      <c r="AK2" s="59" t="s">
        <v>57</v>
      </c>
      <c r="AL2" s="59" t="s">
        <v>55</v>
      </c>
      <c r="AM2" s="59" t="s">
        <v>111</v>
      </c>
      <c r="AN2" s="59" t="s">
        <v>110</v>
      </c>
      <c r="AO2" s="59" t="s">
        <v>242</v>
      </c>
      <c r="AP2" s="104" t="s">
        <v>96</v>
      </c>
      <c r="AQ2" s="104" t="s">
        <v>265</v>
      </c>
      <c r="AR2" s="104" t="s">
        <v>334</v>
      </c>
      <c r="AS2" s="105" t="s">
        <v>61</v>
      </c>
      <c r="AT2" s="104" t="s">
        <v>62</v>
      </c>
      <c r="AU2" s="104" t="s">
        <v>224</v>
      </c>
      <c r="AV2" s="104" t="s">
        <v>243</v>
      </c>
      <c r="AW2" s="104" t="s">
        <v>244</v>
      </c>
      <c r="AX2" s="104" t="s">
        <v>245</v>
      </c>
      <c r="AY2" s="104" t="s">
        <v>246</v>
      </c>
      <c r="AZ2" s="104" t="s">
        <v>348</v>
      </c>
      <c r="BA2" s="505" t="s">
        <v>704</v>
      </c>
      <c r="BB2" s="104" t="s">
        <v>247</v>
      </c>
      <c r="BC2" s="104" t="s">
        <v>248</v>
      </c>
      <c r="BD2" s="104" t="s">
        <v>249</v>
      </c>
      <c r="BE2" s="104" t="s">
        <v>250</v>
      </c>
      <c r="BF2" s="104" t="s">
        <v>251</v>
      </c>
      <c r="BG2" s="505" t="s">
        <v>705</v>
      </c>
      <c r="BH2" s="104" t="s">
        <v>253</v>
      </c>
      <c r="BI2" s="104" t="s">
        <v>254</v>
      </c>
      <c r="BJ2" s="104" t="s">
        <v>255</v>
      </c>
      <c r="BK2" s="104" t="s">
        <v>266</v>
      </c>
      <c r="BL2" s="104" t="s">
        <v>256</v>
      </c>
      <c r="BM2" s="104" t="s">
        <v>349</v>
      </c>
      <c r="BN2" s="104" t="s">
        <v>257</v>
      </c>
      <c r="BO2" s="104" t="s">
        <v>258</v>
      </c>
      <c r="BP2" s="104" t="s">
        <v>350</v>
      </c>
      <c r="BQ2" s="104" t="s">
        <v>259</v>
      </c>
      <c r="BR2" s="104" t="s">
        <v>260</v>
      </c>
      <c r="BS2" s="104" t="s">
        <v>261</v>
      </c>
      <c r="BT2" s="104" t="s">
        <v>98</v>
      </c>
      <c r="BU2" s="104" t="s">
        <v>267</v>
      </c>
      <c r="BV2" s="104" t="s">
        <v>268</v>
      </c>
      <c r="BW2" s="104" t="s">
        <v>269</v>
      </c>
      <c r="BX2" s="105" t="s">
        <v>382</v>
      </c>
      <c r="BY2" s="104" t="s">
        <v>379</v>
      </c>
      <c r="BZ2" s="104" t="s">
        <v>380</v>
      </c>
      <c r="CA2" s="104" t="s">
        <v>381</v>
      </c>
      <c r="CB2" s="62"/>
    </row>
    <row r="3" spans="1:80">
      <c r="A3" s="94">
        <f>'Measured Data'!$A7</f>
        <v>0</v>
      </c>
      <c r="B3" s="500">
        <f>'Measured Data'!B7</f>
        <v>2.5694444448163267E-2</v>
      </c>
      <c r="C3" s="500">
        <f>'Measured Data'!C7</f>
        <v>0.61666666675591841</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0.8868055555576575</v>
      </c>
      <c r="C4" s="500">
        <f>'Measured Data'!C8</f>
        <v>21.28333333338378</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327.29997729492175</v>
      </c>
      <c r="M4" s="102">
        <f>M3 + ('Measured Data'!P8*$E4-'Measured Data'!P7*$J3)/1000</f>
        <v>0</v>
      </c>
      <c r="N4" s="102">
        <f>N3+(-'Measured Data'!S7*'In Process Calc.'!$J3+'Measured Data'!S8*'In Process Calc.'!$E4)/1000</f>
        <v>0</v>
      </c>
      <c r="O4" s="102">
        <f>O3-(-'Measured Data'!U7*'In Process Calc.'!$J3+'Measured Data'!U8*'In Process Calc.'!$E4-$F3*'Measured Data'!AS8)/1000</f>
        <v>-1.4384999999999992E-2</v>
      </c>
      <c r="P4" s="102">
        <f>P3-(-'Measured Data'!V7*'In Process Calc.'!$J3+'Measured Data'!V8*'In Process Calc.'!$E4-$F3*'Measured Data'!AT8)/1000</f>
        <v>0.19453500000000032</v>
      </c>
      <c r="Q4" s="102">
        <f>Q3-(-'Measured Data'!W7*'In Process Calc.'!$J3+'Measured Data'!W8*'In Process Calc.'!$E4-$F3*'Measured Data'!AU8)/1000</f>
        <v>0.78236999999999901</v>
      </c>
      <c r="R4" s="102">
        <f>R3-(-'Measured Data'!X7*'In Process Calc.'!$J3+'Measured Data'!X8*'In Process Calc.'!$E4-$F3*'Measured Data'!AV8)/1000</f>
        <v>-6.3900000000000096E-2</v>
      </c>
      <c r="S4" s="102">
        <f>S3-(-'Measured Data'!Y7*'In Process Calc.'!$J3+'Measured Data'!Y8*'In Process Calc.'!$E4-$F3*'Measured Data'!AW8)/1000</f>
        <v>-0.11179499999999962</v>
      </c>
      <c r="T4" s="102">
        <v>1.5792750255105248</v>
      </c>
      <c r="U4" s="102">
        <f>U3-(-'Measured Data'!AA7*'In Process Calc.'!$J3+'Measured Data'!AA8*'In Process Calc.'!$E4-$G3*'Measured Data'!AY8)/1000</f>
        <v>0</v>
      </c>
      <c r="V4" s="102">
        <f>V3-(-'Measured Data'!AB7*'In Process Calc.'!$J3+'Measured Data'!AB8*'In Process Calc.'!$E4-$F3*'Measured Data'!AZ8)/1000</f>
        <v>-6.2354999999999564E-2</v>
      </c>
      <c r="W4" s="102">
        <f>W3-(-'Measured Data'!AC7*'In Process Calc.'!$J3+'Measured Data'!AC8*'In Process Calc.'!$E4-$F3*'Measured Data'!BA8)/1000</f>
        <v>-0.11394000000000011</v>
      </c>
      <c r="X4" s="102">
        <f>X3-(-'Measured Data'!AD7*'In Process Calc.'!$J3+'Measured Data'!AD8*'In Process Calc.'!$E4-$F3*'Measured Data'!BB8)/1000</f>
        <v>-0.66964499999999993</v>
      </c>
      <c r="Y4" s="102">
        <f>Y3-(-'Measured Data'!AE7*'In Process Calc.'!$J3+'Measured Data'!AE8*'In Process Calc.'!$E4-$F3*'Measured Data'!BC8)/1000</f>
        <v>3.8924999999999273E-2</v>
      </c>
      <c r="Z4" s="102">
        <f>Z3+(-'Measured Data'!AF7*'In Process Calc.'!$J3+'Measured Data'!AF8*'In Process Calc.'!$E4-$F3*'Measured Data'!BD8)/1000</f>
        <v>1.268872113676732</v>
      </c>
      <c r="AA4" s="102">
        <f>AA3-(-'Measured Data'!AG7*'In Process Calc.'!$J3+'Measured Data'!AG8*'In Process Calc.'!$E4-$F3*'Measured Data'!BE8)/1000</f>
        <v>4.3844999999999343E-2</v>
      </c>
      <c r="AB4" s="102">
        <f>AB3-(-'Measured Data'!AH7*'In Process Calc.'!$J3+'Measured Data'!AH8*'In Process Calc.'!$E4-$F3*'Measured Data'!BF8)/1000</f>
        <v>-0.11401499999999942</v>
      </c>
      <c r="AC4" s="102">
        <f>AC3-(-'Measured Data'!AI7*'In Process Calc.'!$J3+'Measured Data'!AI8*'In Process Calc.'!$E4-$F3*'Measured Data'!BG8)/1000</f>
        <v>2.974499999999989E-2</v>
      </c>
      <c r="AD4" s="102">
        <f>AD3-(-'Measured Data'!AJ7*'In Process Calc.'!$J3+'Measured Data'!AJ8*'In Process Calc.'!$E4-$F3*'Measured Data'!BH8)/1000</f>
        <v>-0.29759999999999992</v>
      </c>
      <c r="AE4" s="102">
        <f>AE3-(-'Measured Data'!AK7*'In Process Calc.'!$J3+'Measured Data'!AK8*'In Process Calc.'!$E4-$F3*'Measured Data'!BI8)/1000</f>
        <v>-1.9964999999999691E-2</v>
      </c>
      <c r="AF4" s="102">
        <f>AF3-(-'Measured Data'!AL7*'In Process Calc.'!$J3+'Measured Data'!AL8*'In Process Calc.'!$E4-$F3*'Measured Data'!BJ8)/1000</f>
        <v>-8.7749999999996355E-3</v>
      </c>
      <c r="AG4" s="102">
        <f>AG3-(-'Measured Data'!AM7*'In Process Calc.'!$J3+'Measured Data'!AM8*'In Process Calc.'!$E4-$F3*'Measured Data'!BK8)/1000</f>
        <v>0.25261499999999976</v>
      </c>
      <c r="AH4" s="102">
        <f>AH3-(-'Measured Data'!AN7*'In Process Calc.'!$J3+'Measured Data'!AN8*'In Process Calc.'!$E4-$F3*'Measured Data'!BL8)/1000</f>
        <v>-7.1955000000000838E-2</v>
      </c>
      <c r="AI4" s="102">
        <f>AI3-(-'Measured Data'!AO7*'In Process Calc.'!$J3+'Measured Data'!AO8*'In Process Calc.'!$E4-$F3*'Measured Data'!BM8)/1000</f>
        <v>-5.9250000000001819E-3</v>
      </c>
      <c r="AJ4" s="102">
        <f>AJ3-(-'Measured Data'!AP7*'In Process Calc.'!$J3+'Measured Data'!AP8*'In Process Calc.'!$E4-$F3*'Measured Data'!BN8)/1000</f>
        <v>-3.5100000000002182E-3</v>
      </c>
      <c r="AK4" s="102">
        <f>AK3-(-'Measured Data'!AQ7*'In Process Calc.'!$J3+'Measured Data'!AQ8*'In Process Calc.'!$E4-$F3*'Measured Data'!BO8)/1000</f>
        <v>-1.8195000000000617E-2</v>
      </c>
      <c r="AL4" s="102">
        <f>AL3-(-'Measured Data'!AR7*'In Process Calc.'!$J3+'Measured Data'!AR8*'In Process Calc.'!$E4-'In Process Calc.'!$F3*'Measured Data'!BP8)/1000</f>
        <v>0</v>
      </c>
      <c r="AM4" s="101">
        <f>($O4*1+$P4*4+$Q4*2+$R4*1+S4*2+$U4*2+$V4*1+$W4*1+$X4*3+$Y4*1+$AA4*1+$AB4*2+$AC4*1-$AD4*1+$AE4*1+AF4*1+$AG4*1+$AH4*1+AI4*2+$AJ4*1+$AK4*1)</f>
        <v>0.15622499999999842</v>
      </c>
      <c r="AN4" s="101">
        <f t="shared" ref="AN4:AN17" si="2">$AM4+$AD4*1+$O4*1</f>
        <v>-0.15576000000000148</v>
      </c>
      <c r="AO4" s="101">
        <f>(-$O4*3+$P4*6+$Q4*4+$R4*4+S4*6+$U4*5+$V4*5+$W4*2+$X4*6+$Y4*6+$AA4*6+$AB4*6+$AC4*5+$AE4*9+AF4*5+$AG4*3+$AH4*4+AI4*11+$AJ4*9+$AK4*5)</f>
        <v>-1.1240700000000092</v>
      </c>
      <c r="AP4" s="107">
        <f>'Measured Data'!N8/('Measured Data'!H8)</f>
        <v>0</v>
      </c>
      <c r="AQ4" s="108">
        <f>IF('Measured Data'!O8&gt;0,'Measured Data'!O8,('Measured Data'!P8*$E4-'Measured Data'!P7*$J3)/1000/(('Measured Data'!$H7*$J3+'Measured Data'!$H8*$E4)*1000000*0.5*($C4-$C3))*1000000000)</f>
        <v>0</v>
      </c>
      <c r="AR4" s="108">
        <f>(L4-L3)/(('Measured Data'!$H7*$J3+'Measured Data'!$H8*$E4)*0.5*($C4-$C3))</f>
        <v>2.3752674833511265E-2</v>
      </c>
      <c r="AS4" s="108">
        <f t="shared" ref="AS4:AS17" si="3">$AR4+$AT4</f>
        <v>2.3962614215634895E-2</v>
      </c>
      <c r="AT4" s="108">
        <f>('Measured Data'!$I8*$E4-'Measured Data'!$I7*$J3)/(('Measured Data'!$H7*$J3+'Measured Data'!$H8*$E4)*0.5*($C4-$C3))</f>
        <v>2.0993938212363045E-4</v>
      </c>
      <c r="AU4" s="108">
        <f>(N4-N3)*1000/(('Measured Data'!$H7*$J3+'Measured Data'!$H8*$E4)*0.5*($C4-$C3))</f>
        <v>0</v>
      </c>
      <c r="AV4" s="108">
        <f>(O4-O3)*1000/(('Measured Data'!$H7*$J3+'Measured Data'!$H8*$E4)*0.5*($C4-$C3))</f>
        <v>-1.0439421056610038E-3</v>
      </c>
      <c r="AW4" s="108">
        <f>(P4-P3)*1000/(('Measured Data'!$H7*$J3+'Measured Data'!$H8*$E4)*0.5*($C4-$C3))</f>
        <v>1.4117711332969331E-2</v>
      </c>
      <c r="AX4" s="108">
        <f>(Q4-Q3)*1000/(('Measured Data'!$H7*$J3+'Measured Data'!$H8*$E4)*0.5*($C4-$C3))</f>
        <v>5.6777823093917205E-2</v>
      </c>
      <c r="AY4" s="108">
        <f>(R4-R3)*1000/(('Measured Data'!$H7*$J3+'Measured Data'!$H8*$E4)*0.5*($C4-$C3))</f>
        <v>-4.6373236393283477E-3</v>
      </c>
      <c r="AZ4" s="108">
        <f>(S4-S3)*1000/(('Measured Data'!$H7*$J3+'Measured Data'!$H8*$E4)*0.5*($C4-$C3))</f>
        <v>-8.113139221576058E-3</v>
      </c>
      <c r="BA4" s="507">
        <v>0.1449857625715468</v>
      </c>
      <c r="BB4" s="108">
        <f>(U4-U3)*1000/(('Measured Data'!$H7*$J3+'Measured Data'!$H8*$E4)*0.5*($C4-$C3))</f>
        <v>0</v>
      </c>
      <c r="BC4" s="108">
        <f>(V4-V3)*1000/(('Measured Data'!$H7*$J3+'Measured Data'!$H8*$E4)*0.5*($C4-$C3))</f>
        <v>-4.5252005560299947E-3</v>
      </c>
      <c r="BD4" s="108">
        <f>(W4-W3)*1000/(('Measured Data'!$H7*$J3+'Measured Data'!$H8*$E4)*0.5*($C4-$C3))</f>
        <v>-8.2688052498446265E-3</v>
      </c>
      <c r="BE4" s="108">
        <f>(X4-X3)*1000/(('Measured Data'!$H7*$J3+'Measured Data'!$H8*$E4)*0.5*($C4-$C3))</f>
        <v>-4.859719230763735E-2</v>
      </c>
      <c r="BF4" s="108">
        <f>(Y4-Y3)*1000/(('Measured Data'!$H7*$J3+'Measured Data'!$H8*$E4)*0.5*($C4-$C3))</f>
        <v>2.8248485549429154E-3</v>
      </c>
      <c r="BG4" s="507">
        <v>0.12206797753233189</v>
      </c>
      <c r="BH4" s="108">
        <f>(AA4-AA3)*1000/(('Measured Data'!$H7*$J3+'Measured Data'!$H8*$E4)*0.5*($C4-$C3))</f>
        <v>3.1819007036987179E-3</v>
      </c>
      <c r="BI4" s="108">
        <f>(AB4-AB3)*1000/(('Measured Data'!$H7*$J3+'Measured Data'!$H8*$E4)*0.5*($C4-$C3))</f>
        <v>-8.2742481179658538E-3</v>
      </c>
      <c r="BJ4" s="108">
        <f>(AC4-AC3)*1000/(('Measured Data'!$H7*$J3+'Measured Data'!$H8*$E4)*0.5*($C4-$C3))</f>
        <v>2.1586414968986071E-3</v>
      </c>
      <c r="BK4" s="108">
        <f>(AD4-AD3)*1000/(('Measured Data'!$H7*$J3+'Measured Data'!$H8*$E4)*0.5*($C4-$C3))</f>
        <v>-2.1597300705228698E-2</v>
      </c>
      <c r="BL4" s="108">
        <f>(AE4-AE3)*1000/(('Measured Data'!$H7*$J3+'Measured Data'!$H8*$E4)*0.5*($C4-$C3))</f>
        <v>-1.4488914938840202E-3</v>
      </c>
      <c r="BM4" s="108">
        <f>(AF4-AF3)*1000/(('Measured Data'!$H7*$J3+'Measured Data'!$H8*$E4)*0.5*($C4-$C3))</f>
        <v>-6.3681557018942887E-4</v>
      </c>
      <c r="BN4" s="108">
        <f>(AG4-AG3)*1000/(('Measured Data'!$H7*$J3+'Measured Data'!$H8*$E4)*0.5*($C4-$C3))</f>
        <v>1.8332668406086505E-2</v>
      </c>
      <c r="BO4" s="108">
        <f>(AH4-AH3)*1000/(('Measured Data'!$H7*$J3+'Measured Data'!$H8*$E4)*0.5*($C4-$C3))</f>
        <v>-5.2218876755535937E-3</v>
      </c>
      <c r="BP4" s="108">
        <f>(AI4-AI3)*1000/(('Measured Data'!$H7*$J3+'Measured Data'!$H8*$E4)*0.5*($C4-$C3))</f>
        <v>-4.2998658158092745E-4</v>
      </c>
      <c r="BQ4" s="108">
        <f>(AJ4-AJ3)*1000/(('Measured Data'!$H7*$J3+'Measured Data'!$H8*$E4)*0.5*($C4-$C3))</f>
        <v>-2.5472622807579793E-4</v>
      </c>
      <c r="BR4" s="108">
        <f>(AK4-AK3)*1000/(('Measured Data'!$H7*$J3+'Measured Data'!$H8*$E4)*0.5*($C4-$C3))</f>
        <v>-1.3204398062219411E-3</v>
      </c>
      <c r="BS4" s="108">
        <f>(AL4-AL3)*1000/(('Measured Data'!$H7*$E4+'Measured Data'!$H8*$E4)*0.5*($C4-$C3))</f>
        <v>0</v>
      </c>
      <c r="BT4" s="109">
        <f>($AV4*1+$AW4*4+$AX4*2+$AY4*1+$AZ4*1+$BB4*2+$BC4*1+$BD4*1+$BE4*3+$BF4*1+$BH4*1+$BI4*2+$BJ4*1-$BK4*1+$BL4*1+$BM4*1+$BN4*1+$BO4*1+$BP4*1+$BQ4*1+$BR4*1)</f>
        <v>1.9880620099777653E-2</v>
      </c>
      <c r="BU4" s="109">
        <f>$BT4+$BK4*1-$AV4*1</f>
        <v>-6.7273849979004137E-4</v>
      </c>
      <c r="BV4" s="109">
        <f>($AV4*3+$AW4*6+$AX4*4+$AY4*4+$AZ4*6+$BB4*5+$BC4*5+$BD4*2+$BE4*6+$BF4*6+$BH4*6+$BI4*6+$BJ4*5+$BL4*9+$BM4*5+$BN4*3+$BO4*4+$BP4*4+$BQ4*9+$BR4*5)</f>
        <v>-8.4829276817357371E-2</v>
      </c>
      <c r="BW4" s="109">
        <f>($BV4+ABS($AV4*3)+ABS($AW4*6)+ABS($AX4*4)+ABS($AY4*4)+ABS($AZ4*6)+ABS($BB4*5)+ABS($BC4*5)+ABS($BD4*2)+ABS($BE4*6)+ABS($BF4*6)+ABS($BH4*6)+ABS($BI4*6)+ABS($BJ4*5)+ABS($BL4*9)+ABS($BM4*5)+ABS($BN4*3)+ABS($BO4*4)+ABS($BP4*4)+ABS($BQ4*9)+ABS($BR4*5))/2</f>
        <v>0.41364926862808715</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2.0229166666686069</v>
      </c>
      <c r="C5" s="500">
        <f>'Measured Data'!C9</f>
        <v>48.550000000046566</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1097.0999999999999</v>
      </c>
      <c r="M5" s="102">
        <f>M4 + ('Measured Data'!P9*$E5-'Measured Data'!P8*$J4)/1000</f>
        <v>0</v>
      </c>
      <c r="N5" s="102">
        <f>N4+(-'Measured Data'!S8*'In Process Calc.'!$J4+'Measured Data'!S9*'In Process Calc.'!$E5)/1000</f>
        <v>0</v>
      </c>
      <c r="O5" s="102">
        <f>O4-(-'Measured Data'!U8*'In Process Calc.'!$J4+'Measured Data'!U9*'In Process Calc.'!$E5-$F4*'Measured Data'!AS9)/1000</f>
        <v>-3.7650000000000149E-3</v>
      </c>
      <c r="P5" s="102">
        <f>P4-(-'Measured Data'!V8*'In Process Calc.'!$J4+'Measured Data'!V9*'In Process Calc.'!$E5-$F4*'Measured Data'!AT9)/1000</f>
        <v>1.1333100000000005</v>
      </c>
      <c r="Q5" s="102">
        <f>Q4-(-'Measured Data'!W8*'In Process Calc.'!$J4+'Measured Data'!W9*'In Process Calc.'!$E5-$F4*'Measured Data'!AU9)/1000</f>
        <v>3.12</v>
      </c>
      <c r="R5" s="102">
        <f>R4-(-'Measured Data'!X8*'In Process Calc.'!$J4+'Measured Data'!X9*'In Process Calc.'!$E5-$F4*'Measured Data'!AV9)/1000</f>
        <v>0.18225</v>
      </c>
      <c r="S5" s="102">
        <f>S4-(-'Measured Data'!Y8*'In Process Calc.'!$J4+'Measured Data'!Y9*'In Process Calc.'!$E5-$F4*'Measured Data'!AW9)/1000</f>
        <v>0.10989000000000032</v>
      </c>
      <c r="T5" s="102">
        <v>2.7049895639962189</v>
      </c>
      <c r="U5" s="102">
        <f>U4-(-'Measured Data'!AA8*'In Process Calc.'!$J4+'Measured Data'!AA9*'In Process Calc.'!$E5-$G4*'Measured Data'!AY9)/1000</f>
        <v>-0.63246000000000002</v>
      </c>
      <c r="V5" s="102">
        <f>V4-(-'Measured Data'!AB8*'In Process Calc.'!$J4+'Measured Data'!AB9*'In Process Calc.'!$E5-$F4*'Measured Data'!AZ9)/1000</f>
        <v>0.34929000000000088</v>
      </c>
      <c r="W5" s="102">
        <f>W4-(-'Measured Data'!AC8*'In Process Calc.'!$J4+'Measured Data'!AC9*'In Process Calc.'!$E5-$F4*'Measured Data'!BA9)/1000</f>
        <v>-0.32511000000000007</v>
      </c>
      <c r="X5" s="102">
        <f>X4-(-'Measured Data'!AD8*'In Process Calc.'!$J4+'Measured Data'!AD9*'In Process Calc.'!$E5-$F4*'Measured Data'!BB9)/1000</f>
        <v>-0.20457000000000014</v>
      </c>
      <c r="Y5" s="102">
        <f>Y4-(-'Measured Data'!AE8*'In Process Calc.'!$J4+'Measured Data'!AE9*'In Process Calc.'!$E5-$F4*'Measured Data'!BC9)/1000</f>
        <v>0.73707000000000067</v>
      </c>
      <c r="Z5" s="102">
        <f>Z4+(-'Measured Data'!AF8*'In Process Calc.'!$J4+'Measured Data'!AF9*'In Process Calc.'!$E5-$F4*'Measured Data'!BD9)/1000</f>
        <v>3.5751554174067506</v>
      </c>
      <c r="AA5" s="102">
        <f>AA4-(-'Measured Data'!AG8*'In Process Calc.'!$J4+'Measured Data'!AG9*'In Process Calc.'!$E5-$F4*'Measured Data'!BE9)/1000</f>
        <v>1.1110650000000004</v>
      </c>
      <c r="AB5" s="102">
        <f>AB4-(-'Measured Data'!AH8*'In Process Calc.'!$J4+'Measured Data'!AH9*'In Process Calc.'!$E5-$F4*'Measured Data'!BF9)/1000</f>
        <v>0.56896500000000105</v>
      </c>
      <c r="AC5" s="102">
        <f>AC4-(-'Measured Data'!AI8*'In Process Calc.'!$J4+'Measured Data'!AI9*'In Process Calc.'!$E5-$F4*'Measured Data'!BG9)/1000</f>
        <v>0.21352499999999985</v>
      </c>
      <c r="AD5" s="102">
        <f>AD4-(-'Measured Data'!AJ8*'In Process Calc.'!$J4+'Measured Data'!AJ9*'In Process Calc.'!$E5-$F4*'Measured Data'!BH9)/1000</f>
        <v>-1.1619000000000002</v>
      </c>
      <c r="AE5" s="102">
        <f>AE4-(-'Measured Data'!AK8*'In Process Calc.'!$J4+'Measured Data'!AK9*'In Process Calc.'!$E5-$F4*'Measured Data'!BI9)/1000</f>
        <v>0.28645499999999996</v>
      </c>
      <c r="AF5" s="102">
        <f>AF4-(-'Measured Data'!AL8*'In Process Calc.'!$J4+'Measured Data'!AL9*'In Process Calc.'!$E5-$F4*'Measured Data'!BJ9)/1000</f>
        <v>1.0239599999999993</v>
      </c>
      <c r="AG5" s="102">
        <f>AG4-(-'Measured Data'!AM8*'In Process Calc.'!$J4+'Measured Data'!AM9*'In Process Calc.'!$E5-$F4*'Measured Data'!BK9)/1000</f>
        <v>1.6073999999999997</v>
      </c>
      <c r="AH5" s="102">
        <f>AH4-(-'Measured Data'!AN8*'In Process Calc.'!$J4+'Measured Data'!AN9*'In Process Calc.'!$E5-$F4*'Measured Data'!BL9)/1000</f>
        <v>0.58188000000000006</v>
      </c>
      <c r="AI5" s="102">
        <f>AI4-(-'Measured Data'!AO8*'In Process Calc.'!$J4+'Measured Data'!AO9*'In Process Calc.'!$E5-$F4*'Measured Data'!BM9)/1000</f>
        <v>0.27616499999999994</v>
      </c>
      <c r="AJ5" s="102">
        <f>AJ4-(-'Measured Data'!AP8*'In Process Calc.'!$J4+'Measured Data'!AP9*'In Process Calc.'!$E5-$F4*'Measured Data'!BN9)/1000</f>
        <v>0.24486000000000013</v>
      </c>
      <c r="AK5" s="102">
        <f>AK4-(-'Measured Data'!AQ8*'In Process Calc.'!$J4+'Measured Data'!AQ9*'In Process Calc.'!$E5-$F4*'Measured Data'!BO9)/1000</f>
        <v>0.6733199999999997</v>
      </c>
      <c r="AL5" s="102">
        <f>AL4-(-'Measured Data'!AR8*'In Process Calc.'!$J4+'Measured Data'!AR9*'In Process Calc.'!$E5-'In Process Calc.'!$F4*'Measured Data'!BP9)/1000</f>
        <v>0</v>
      </c>
      <c r="AM5" s="101">
        <f>($O5*1+$P5*4+$Q5*2+$R5*1+S5*2+$U5*2+$V5*1+$W5*1+$X5*3+$Y5*1+$AA5*1+$AB5*2+$AC5*1-$AD5*1+$AE5*1+AF5*1+$AG5*1+$AH5*1+AI5*2+$AJ5*1+$AK5*1)</f>
        <v>18.648750000000007</v>
      </c>
      <c r="AN5" s="101">
        <f t="shared" si="2"/>
        <v>17.483085000000006</v>
      </c>
      <c r="AO5" s="101">
        <f t="shared" ref="AO5:AO15" si="7">(-$O5*3+$P5*6+$Q5*4+$R5*4+S5*6+$U5*5+$V5*5+$W5*2+$X5*6+$Y5*6+$AA5*6+$AB5*6+$AC5*5+$AE5*9+AF5*5+$AG5*3+$AH5*4+AI5*11+$AJ5*9+$AK5*5)</f>
        <v>56.412000000000006</v>
      </c>
      <c r="AP5" s="107">
        <f>'Measured Data'!N9/('Measured Data'!H9)</f>
        <v>0</v>
      </c>
      <c r="AQ5" s="108">
        <f>IF('Measured Data'!O9&gt;0,'Measured Data'!O9,('Measured Data'!P9*$E5-'Measured Data'!P8*$J4)/1000/(('Measured Data'!$H8*$J4+'Measured Data'!$H9*$E5)*1000000*0.5*($C5-$C4))*1000000000)</f>
        <v>0</v>
      </c>
      <c r="AR5" s="108">
        <f>(L5-L4)/(('Measured Data'!$H8*$J4+'Measured Data'!$H9*$E5)*0.5*($C5-$C4))</f>
        <v>2.3230704299404988E-2</v>
      </c>
      <c r="AS5" s="108">
        <f t="shared" si="3"/>
        <v>2.3718472247711016E-2</v>
      </c>
      <c r="AT5" s="108">
        <f>('Measured Data'!$I9*$E5-'Measured Data'!$I8*$J4)/(('Measured Data'!$H8*$J4+'Measured Data'!$H9*$E5)*0.5*($C5-$C4))</f>
        <v>4.8776794830602903E-4</v>
      </c>
      <c r="AU5" s="108">
        <f>(N5-N4)*1000/(('Measured Data'!$H8*$J4+'Measured Data'!$H9*$E5)*0.5*($C5-$C4))</f>
        <v>0</v>
      </c>
      <c r="AV5" s="108">
        <f>(O5-O4)*1000/(('Measured Data'!$H8*$J4+'Measured Data'!$H9*$E5)*0.5*($C5-$C4))</f>
        <v>3.2048593450639416E-4</v>
      </c>
      <c r="AW5" s="108">
        <f>(P5-P4)*1000/(('Measured Data'!$H8*$J4+'Measured Data'!$H9*$E5)*0.5*($C5-$C4))</f>
        <v>2.8329960750116845E-2</v>
      </c>
      <c r="AX5" s="108">
        <f>(Q5-Q4)*1000/(('Measured Data'!$H8*$J4+'Measured Data'!$H9*$E5)*0.5*($C5-$C4))</f>
        <v>7.0544024018849738E-2</v>
      </c>
      <c r="AY5" s="108">
        <f>(R5-R4)*1000/(('Measured Data'!$H8*$J4+'Measured Data'!$H9*$E5)*0.5*($C5-$C4))</f>
        <v>7.4282121260592403E-3</v>
      </c>
      <c r="AZ5" s="108">
        <f>(S5-S4)*1000/(('Measured Data'!$H8*$J4+'Measured Data'!$H9*$E5)*0.5*($C5-$C4))</f>
        <v>6.6899175509463407E-3</v>
      </c>
      <c r="BA5" s="507">
        <v>5.2687416642327865E-2</v>
      </c>
      <c r="BB5" s="108">
        <f>(U5-U4)*1000/(('Measured Data'!$H8*$J4+'Measured Data'!$H9*$E5)*0.5*($C5-$C4))</f>
        <v>-1.9086114325604003E-2</v>
      </c>
      <c r="BC5" s="108">
        <f>(V5-V4)*1000/(('Measured Data'!$H8*$J4+'Measured Data'!$H9*$E5)*0.5*($C5-$C4))</f>
        <v>1.2422451272117238E-2</v>
      </c>
      <c r="BD5" s="108">
        <f>(W5-W4)*1000/(('Measured Data'!$H8*$J4+'Measured Data'!$H9*$E5)*0.5*($C5-$C4))</f>
        <v>-6.3726002626850655E-3</v>
      </c>
      <c r="BE5" s="108">
        <f>(X5-X4)*1000/(('Measured Data'!$H8*$J4+'Measured Data'!$H9*$E5)*0.5*($C5-$C4))</f>
        <v>1.4034839547133856E-2</v>
      </c>
      <c r="BF5" s="108">
        <f>(Y5-Y4)*1000/(('Measured Data'!$H8*$J4+'Measured Data'!$H9*$E5)*0.5*($C5-$C4))</f>
        <v>2.1068328883801082E-2</v>
      </c>
      <c r="BG5" s="507">
        <v>5.7180500911901681E-2</v>
      </c>
      <c r="BH5" s="108">
        <f>(AA5-AA4)*1000/(('Measured Data'!$H8*$J4+'Measured Data'!$H9*$E5)*0.5*($C5-$C4))</f>
        <v>3.2206120435396904E-2</v>
      </c>
      <c r="BI5" s="108">
        <f>(AB5-AB4)*1000/(('Measured Data'!$H8*$J4+'Measured Data'!$H9*$E5)*0.5*($C5-$C4))</f>
        <v>2.0610685833255909E-2</v>
      </c>
      <c r="BJ5" s="108">
        <f>(AC5-AC4)*1000/(('Measured Data'!$H8*$J4+'Measured Data'!$H9*$E5)*0.5*($C5-$C4))</f>
        <v>5.5460362564581211E-3</v>
      </c>
      <c r="BK5" s="108">
        <f>(AD5-AD4)*1000/(('Measured Data'!$H8*$J4+'Measured Data'!$H9*$E5)*0.5*($C5-$C4))</f>
        <v>-2.6082485234828364E-2</v>
      </c>
      <c r="BL5" s="108">
        <f>(AE5-AE4)*1000/(('Measured Data'!$H8*$J4+'Measured Data'!$H9*$E5)*0.5*($C5-$C4))</f>
        <v>9.2470150707579472E-3</v>
      </c>
      <c r="BM5" s="108">
        <f>(AF5-AF4)*1000/(('Measured Data'!$H8*$J4+'Measured Data'!$H9*$E5)*0.5*($C5-$C4))</f>
        <v>3.1165446475749654E-2</v>
      </c>
      <c r="BN5" s="108">
        <f>(AG5-AG4)*1000/(('Measured Data'!$H8*$J4+'Measured Data'!$H9*$E5)*0.5*($C5-$C4))</f>
        <v>4.0884137173281182E-2</v>
      </c>
      <c r="BO5" s="108">
        <f>(AH5-AH4)*1000/(('Measured Data'!$H8*$J4+'Measured Data'!$H9*$E5)*0.5*($C5-$C4))</f>
        <v>1.9731160168360549E-2</v>
      </c>
      <c r="BP5" s="108">
        <f>(AI5-AI4)*1000/(('Measured Data'!$H8*$J4+'Measured Data'!$H9*$E5)*0.5*($C5-$C4))</f>
        <v>8.5127944693887941E-3</v>
      </c>
      <c r="BQ5" s="108">
        <f>(AJ5-AJ4)*1000/(('Measured Data'!$H8*$J4+'Measured Data'!$H9*$E5)*0.5*($C5-$C4))</f>
        <v>7.4952063609560653E-3</v>
      </c>
      <c r="BR5" s="108">
        <f>(AK5-AK4)*1000/(('Measured Data'!$H8*$J4+'Measured Data'!$H9*$E5)*0.5*($C5-$C4))</f>
        <v>2.0868251506609207E-2</v>
      </c>
      <c r="BS5" s="108">
        <f>(AL5-AL4)*1000/(('Measured Data'!$H8*$E5+'Measured Data'!$H9*$E5)*0.5*($C5-$C4))</f>
        <v>0</v>
      </c>
      <c r="BT5" s="109">
        <f t="shared" ref="BT5:BT17" si="8">($AV5*1+$AW5*4+$AX5*2+$AY5*1+$AZ5*1+$BB5*2+$BC5*1+$BD5*1+$BE5*3+$BF5*1+$BH5*1+$BI5*2+$BJ5*1-$BK5*1+$BL5*1+$BM5*1+$BN5*1+$BO5*1+$BP5*1+$BQ5*1+$BR5*1)</f>
        <v>0.54285700135140413</v>
      </c>
      <c r="BU5" s="109">
        <f t="shared" ref="BU5:BU17" si="9">$BT5+$BK5*1-$AV5*1</f>
        <v>0.51645403018206937</v>
      </c>
      <c r="BV5" s="109">
        <f t="shared" ref="BV5:BV17" si="10">($AV5*3+$AW5*6+$AX5*4+$AY5*4+$AZ5*6+$BB5*5+$BC5*5+$BD5*2+$BE5*6+$BF5*6+$BH5*6+$BI5*6+$BJ5*5+$BL5*9+$BM5*5+$BN5*3+$BO5*4+$BP5*4+$BQ5*9+$BR5*5)</f>
        <v>1.6786328987446084</v>
      </c>
      <c r="BW5" s="109">
        <f t="shared" ref="BW5:BW17" si="11">($BV5+ABS($AV5*3)+ABS($AW5*6)+ABS($AX5*4)+ABS($AY5*4)+ABS($AZ5*6)+ABS($BB5*5)+ABS($BC5*5)+ABS($BD5*2)+ABS($BE5*6)+ABS($BF5*6)+ABS($BH5*6)+ABS($BI5*6)+ABS($BJ5*5)+ABS($BL5*9)+ABS($BM5*5)+ABS($BN5*3)+ABS($BO5*4)+ABS($BP5*4)+ABS($BQ5*9)+ABS($BR5*5))/2</f>
        <v>1.7868086708979984</v>
      </c>
      <c r="BX5" s="108">
        <f t="shared" si="4"/>
        <v>1.0852781281738566</v>
      </c>
      <c r="BY5" s="108">
        <f t="shared" si="5"/>
        <v>0</v>
      </c>
      <c r="BZ5" s="108">
        <f t="shared" si="6"/>
        <v>-0.36225185332527116</v>
      </c>
      <c r="CA5" s="108">
        <f t="shared" ref="CA5:CA17" si="12">$BK5/$BB5</f>
        <v>1.366568636751732</v>
      </c>
      <c r="CB5" s="36"/>
    </row>
    <row r="6" spans="1:80">
      <c r="A6" s="94">
        <f>'Measured Data'!$A10</f>
        <v>3</v>
      </c>
      <c r="B6" s="500">
        <f>'Measured Data'!B10</f>
        <v>2.9604166666686069</v>
      </c>
      <c r="C6" s="500">
        <f>'Measured Data'!C10</f>
        <v>71.050000000046566</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2287.0748407913206</v>
      </c>
      <c r="M6" s="102">
        <f>M5 + ('Measured Data'!P10*$E6-'Measured Data'!P9*$J5)/1000</f>
        <v>0</v>
      </c>
      <c r="N6" s="102">
        <f>N5+(-'Measured Data'!S9*'In Process Calc.'!$J5+'Measured Data'!S10*'In Process Calc.'!$E6)/1000</f>
        <v>0</v>
      </c>
      <c r="O6" s="102">
        <f>O5-(-'Measured Data'!U9*'In Process Calc.'!$J5+'Measured Data'!U10*'In Process Calc.'!$E6-$F5*'Measured Data'!AS10)/1000</f>
        <v>-6.5576999999999969E-2</v>
      </c>
      <c r="P6" s="102">
        <f>P5-(-'Measured Data'!V9*'In Process Calc.'!$J5+'Measured Data'!V10*'In Process Calc.'!$E6-$F5*'Measured Data'!AT10)/1000</f>
        <v>1.1213310000000003</v>
      </c>
      <c r="Q6" s="102">
        <f>Q5-(-'Measured Data'!W9*'In Process Calc.'!$J5+'Measured Data'!W10*'In Process Calc.'!$E6-$F5*'Measured Data'!AU10)/1000</f>
        <v>4.5329420000000011</v>
      </c>
      <c r="R6" s="102">
        <f>R5-(-'Measured Data'!X9*'In Process Calc.'!$J5+'Measured Data'!X10*'In Process Calc.'!$E6-$F5*'Measured Data'!AV10)/1000</f>
        <v>0.4657199999999998</v>
      </c>
      <c r="S6" s="102">
        <f>S5-(-'Measured Data'!Y9*'In Process Calc.'!$J5+'Measured Data'!Y10*'In Process Calc.'!$E6-$F5*'Measured Data'!AW10)/1000</f>
        <v>0.35703700000000027</v>
      </c>
      <c r="T6" s="102">
        <v>5.3259832690662527</v>
      </c>
      <c r="U6" s="102">
        <f>U5-(-'Measured Data'!AA9*'In Process Calc.'!$J5+'Measured Data'!AA10*'In Process Calc.'!$E6-$G5*'Measured Data'!AY10)/1000</f>
        <v>-0.66785600000000001</v>
      </c>
      <c r="V6" s="102">
        <f>V5-(-'Measured Data'!AB9*'In Process Calc.'!$J5+'Measured Data'!AB10*'In Process Calc.'!$E6-$F5*'Measured Data'!AZ10)/1000</f>
        <v>0.65771300000000066</v>
      </c>
      <c r="W6" s="102">
        <f>W5-(-'Measured Data'!AC9*'In Process Calc.'!$J5+'Measured Data'!AC10*'In Process Calc.'!$E6-$F5*'Measured Data'!BA10)/1000</f>
        <v>-0.587812</v>
      </c>
      <c r="X6" s="102">
        <f>X5-(-'Measured Data'!AD9*'In Process Calc.'!$J5+'Measured Data'!AD10*'In Process Calc.'!$E6-$F5*'Measured Data'!BB10)/1000</f>
        <v>0.7000630000000001</v>
      </c>
      <c r="Y6" s="102">
        <f>Y5-(-'Measured Data'!AE9*'In Process Calc.'!$J5+'Measured Data'!AE10*'In Process Calc.'!$E6-$F5*'Measured Data'!BC10)/1000</f>
        <v>1.2450810000000003</v>
      </c>
      <c r="Z6" s="102">
        <f>Z5+(-'Measured Data'!AF9*'In Process Calc.'!$J5+'Measured Data'!AF10*'In Process Calc.'!$E6-$F5*'Measured Data'!BD10)/1000</f>
        <v>5.1671847246891662</v>
      </c>
      <c r="AA6" s="102">
        <f>AA5-(-'Measured Data'!AG9*'In Process Calc.'!$J5+'Measured Data'!AG10*'In Process Calc.'!$E6-$F5*'Measured Data'!BE10)/1000</f>
        <v>1.8971249999999991</v>
      </c>
      <c r="AB6" s="102">
        <f>AB5-(-'Measured Data'!AH9*'In Process Calc.'!$J5+'Measured Data'!AH10*'In Process Calc.'!$E6-$F5*'Measured Data'!BF10)/1000</f>
        <v>1.1409370000000008</v>
      </c>
      <c r="AC6" s="102">
        <f>AC5-(-'Measured Data'!AI9*'In Process Calc.'!$J5+'Measured Data'!AI10*'In Process Calc.'!$E6-$F5*'Measured Data'!BG10)/1000</f>
        <v>0.39046099999999978</v>
      </c>
      <c r="AD6" s="102">
        <f>AD5-(-'Measured Data'!AJ9*'In Process Calc.'!$J5+'Measured Data'!AJ10*'In Process Calc.'!$E6-$F5*'Measured Data'!BH10)/1000</f>
        <v>-2.1384000000000003</v>
      </c>
      <c r="AE6" s="102">
        <f>AE5-(-'Measured Data'!AK9*'In Process Calc.'!$J5+'Measured Data'!AK10*'In Process Calc.'!$E6-$F5*'Measured Data'!BI10)/1000</f>
        <v>0.51904700000000004</v>
      </c>
      <c r="AF6" s="102">
        <f>AF5-(-'Measured Data'!AL9*'In Process Calc.'!$J5+'Measured Data'!AL10*'In Process Calc.'!$E6-$F5*'Measured Data'!BJ10)/1000</f>
        <v>1.7086209999999995</v>
      </c>
      <c r="AG6" s="102">
        <f>AG5-(-'Measured Data'!AM9*'In Process Calc.'!$J5+'Measured Data'!AM10*'In Process Calc.'!$E6-$F5*'Measured Data'!BK10)/1000</f>
        <v>2.7151710000000007</v>
      </c>
      <c r="AH6" s="102">
        <f>AH5-(-'Measured Data'!AN9*'In Process Calc.'!$J5+'Measured Data'!AN10*'In Process Calc.'!$E6-$F5*'Measured Data'!BL10)/1000</f>
        <v>1.0819769999999989</v>
      </c>
      <c r="AI6" s="102">
        <f>AI5-(-'Measured Data'!AO9*'In Process Calc.'!$J5+'Measured Data'!AO10*'In Process Calc.'!$E6-$F5*'Measured Data'!BM10)/1000</f>
        <v>0.51005500000000004</v>
      </c>
      <c r="AJ6" s="102">
        <f>AJ5-(-'Measured Data'!AP9*'In Process Calc.'!$J5+'Measured Data'!AP10*'In Process Calc.'!$E6-$F5*'Measured Data'!BN10)/1000</f>
        <v>0.48212999999999967</v>
      </c>
      <c r="AK6" s="102">
        <f>AK5-(-'Measured Data'!AQ9*'In Process Calc.'!$J5+'Measured Data'!AQ10*'In Process Calc.'!$E6-$F5*'Measured Data'!BO10)/1000</f>
        <v>1.2208009999999994</v>
      </c>
      <c r="AL6" s="102">
        <f>AL5-(-'Measured Data'!AR9*'In Process Calc.'!$J5+'Measured Data'!AR10*'In Process Calc.'!$E6-'In Process Calc.'!$F5*'Measured Data'!BP10)/1000</f>
        <v>0</v>
      </c>
      <c r="AM6" s="101">
        <f>($O6*1+$P6*4+$Q6*2+$R6*1+S6*2+$U6*2+$V6*1+$W6*1+$X6*3+$Y6*1+$AA6*1+$AB6*2+$AC6*1-$AD6*1+$AE6*1+AF6*1+$AG6*1+$AH6*1+AI6*2+$AJ6*1+$AK6*1)</f>
        <v>32.200600999999999</v>
      </c>
      <c r="AN6" s="101">
        <f t="shared" si="2"/>
        <v>29.996623999999997</v>
      </c>
      <c r="AO6" s="101">
        <f t="shared" si="7"/>
        <v>101.428518</v>
      </c>
      <c r="AP6" s="107">
        <f>'Measured Data'!N10/('Measured Data'!H10)</f>
        <v>0</v>
      </c>
      <c r="AQ6" s="108">
        <f>IF('Measured Data'!O10&gt;0,'Measured Data'!O10,('Measured Data'!P10*$E6-'Measured Data'!P9*$J5)/1000/(('Measured Data'!$H9*$J5+'Measured Data'!$H10*$E6)*1000000*0.5*($C6-$C5))*1000000000)</f>
        <v>0</v>
      </c>
      <c r="AR6" s="108">
        <f>(L6-L5)/(('Measured Data'!$H9*$J5+'Measured Data'!$H10*$E6)*0.5*($C6-$C5))</f>
        <v>2.4092599206086918E-2</v>
      </c>
      <c r="AS6" s="108">
        <f t="shared" si="3"/>
        <v>2.4326836394827106E-2</v>
      </c>
      <c r="AT6" s="108">
        <f>('Measured Data'!$I10*$E6-'Measured Data'!$I9*$J5)/(('Measured Data'!$H9*$J5+'Measured Data'!$H10*$E6)*0.5*($C6-$C5))</f>
        <v>2.3423718874018772E-4</v>
      </c>
      <c r="AU6" s="108">
        <f>(N6-N5)*1000/(('Measured Data'!$H9*$J5+'Measured Data'!$H10*$E6)*0.5*($C6-$C5))</f>
        <v>0</v>
      </c>
      <c r="AV6" s="108">
        <f>(O6-O5)*1000/(('Measured Data'!$H9*$J5+'Measured Data'!$H10*$E6)*0.5*($C6-$C5))</f>
        <v>-1.2514648974732382E-3</v>
      </c>
      <c r="AW6" s="108">
        <f>(P6-P5)*1000/(('Measured Data'!$H9*$J5+'Measured Data'!$H10*$E6)*0.5*($C6-$C5))</f>
        <v>-2.4253054434142504E-4</v>
      </c>
      <c r="AX6" s="108">
        <f>(Q6-Q5)*1000/(('Measured Data'!$H9*$J5+'Measured Data'!$H10*$E6)*0.5*($C6-$C5))</f>
        <v>2.860686137264018E-2</v>
      </c>
      <c r="AY6" s="108">
        <f>(R6-R5)*1000/(('Measured Data'!$H9*$J5+'Measured Data'!$H10*$E6)*0.5*($C6-$C5))</f>
        <v>5.7392214211923077E-3</v>
      </c>
      <c r="AZ6" s="108">
        <f>(S6-S5)*1000/(('Measured Data'!$H9*$J5+'Measured Data'!$H10*$E6)*0.5*($C6-$C5))</f>
        <v>5.0038147126095032E-3</v>
      </c>
      <c r="BA6" s="507">
        <v>0.10113035026121092</v>
      </c>
      <c r="BB6" s="108">
        <f>(U6-U5)*1000/(('Measured Data'!$H9*$J5+'Measured Data'!$H10*$E6)*0.5*($C6-$C5))</f>
        <v>-7.1663837945646095E-4</v>
      </c>
      <c r="BC6" s="108">
        <f>(V6-V5)*1000/(('Measured Data'!$H9*$J5+'Measured Data'!$H10*$E6)*0.5*($C6-$C5))</f>
        <v>6.2444275880636224E-3</v>
      </c>
      <c r="BD6" s="108">
        <f>(W6-W5)*1000/(('Measured Data'!$H9*$J5+'Measured Data'!$H10*$E6)*0.5*($C6-$C5))</f>
        <v>-5.3187460605710031E-3</v>
      </c>
      <c r="BE6" s="108">
        <f>(X6-X5)*1000/(('Measured Data'!$H9*$J5+'Measured Data'!$H10*$E6)*0.5*($C6-$C5))</f>
        <v>1.8315479916454883E-2</v>
      </c>
      <c r="BF6" s="108">
        <f>(Y6-Y5)*1000/(('Measured Data'!$H9*$J5+'Measured Data'!$H10*$E6)*0.5*($C6-$C5))</f>
        <v>1.0285348055883605E-2</v>
      </c>
      <c r="BG6" s="507">
        <v>3.4283263842969779E-2</v>
      </c>
      <c r="BH6" s="108">
        <f>(AA6-AA5)*1000/(('Measured Data'!$H9*$J5+'Measured Data'!$H10*$E6)*0.5*($C6-$C5))</f>
        <v>1.5914814231990759E-2</v>
      </c>
      <c r="BI6" s="108">
        <f>(AB6-AB5)*1000/(('Measured Data'!$H9*$J5+'Measured Data'!$H10*$E6)*0.5*($C6-$C5))</f>
        <v>1.1580322272981999E-2</v>
      </c>
      <c r="BJ6" s="108">
        <f>(AC6-AC5)*1000/(('Measured Data'!$H9*$J5+'Measured Data'!$H10*$E6)*0.5*($C6-$C5))</f>
        <v>3.5823010596538695E-3</v>
      </c>
      <c r="BK6" s="108">
        <f>(AD6-AD5)*1000/(('Measured Data'!$H9*$J5+'Measured Data'!$H10*$E6)*0.5*($C6-$C5))</f>
        <v>-1.9770521458335247E-2</v>
      </c>
      <c r="BL6" s="108">
        <f>(AE6-AE5)*1000/(('Measured Data'!$H9*$J5+'Measured Data'!$H10*$E6)*0.5*($C6-$C5))</f>
        <v>4.7091296743851643E-3</v>
      </c>
      <c r="BM6" s="108">
        <f>(AF6-AF5)*1000/(('Measured Data'!$H9*$J5+'Measured Data'!$H10*$E6)*0.5*($C6-$C5))</f>
        <v>1.3861858670952659E-2</v>
      </c>
      <c r="BN6" s="108">
        <f>(AG6-AG5)*1000/(('Measured Data'!$H9*$J5+'Measured Data'!$H10*$E6)*0.5*($C6-$C5))</f>
        <v>2.2428274783841792E-2</v>
      </c>
      <c r="BO6" s="108">
        <f>(AH6-AH5)*1000/(('Measured Data'!$H9*$J5+'Measured Data'!$H10*$E6)*0.5*($C6-$C5))</f>
        <v>1.0125118760623714E-2</v>
      </c>
      <c r="BP6" s="108">
        <f>(AI6-AI5)*1000/(('Measured Data'!$H9*$J5+'Measured Data'!$H10*$E6)*0.5*($C6-$C5))</f>
        <v>4.7354093844239964E-3</v>
      </c>
      <c r="BQ6" s="108">
        <f>(AJ6-AJ5)*1000/(('Measured Data'!$H9*$J5+'Measured Data'!$H10*$E6)*0.5*($C6-$C5))</f>
        <v>4.8038419113355805E-3</v>
      </c>
      <c r="BR6" s="108">
        <f>(AK6-AK5)*1000/(('Measured Data'!$H9*$J5+'Measured Data'!$H10*$E6)*0.5*($C6-$C5))</f>
        <v>1.1084469901209249E-2</v>
      </c>
      <c r="BS6" s="108">
        <f>(AL6-AL5)*1000/(('Measured Data'!$H9*$E6+'Measured Data'!$H10*$E6)*0.5*($C6-$C5))</f>
        <v>0</v>
      </c>
      <c r="BT6" s="109">
        <f t="shared" si="8"/>
        <v>0.26463574876078727</v>
      </c>
      <c r="BU6" s="109">
        <f t="shared" si="9"/>
        <v>0.24611669219992527</v>
      </c>
      <c r="BV6" s="109">
        <f t="shared" si="10"/>
        <v>0.87076171164056171</v>
      </c>
      <c r="BW6" s="109">
        <f t="shared" si="11"/>
        <v>0.89019197361745428</v>
      </c>
      <c r="BX6" s="108">
        <f t="shared" si="4"/>
        <v>0.33900074264965052</v>
      </c>
      <c r="BY6" s="108">
        <f t="shared" si="5"/>
        <v>0</v>
      </c>
      <c r="BZ6" s="108">
        <f t="shared" si="6"/>
        <v>-7.0862839652532225E-3</v>
      </c>
      <c r="CA6" s="108">
        <f t="shared" si="12"/>
        <v>27.587863035371239</v>
      </c>
      <c r="CB6" s="36"/>
    </row>
    <row r="7" spans="1:80">
      <c r="A7" s="94">
        <f>'Measured Data'!$A11</f>
        <v>4</v>
      </c>
      <c r="B7" s="500">
        <f>'Measured Data'!B11</f>
        <v>3.9805555555576575</v>
      </c>
      <c r="C7" s="500">
        <f>'Measured Data'!C11</f>
        <v>95.53333333338378</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4535.1853937088017</v>
      </c>
      <c r="M7" s="102">
        <f>M6 + ('Measured Data'!P11*$E7-'Measured Data'!P10*$J6)/1000</f>
        <v>0</v>
      </c>
      <c r="N7" s="102">
        <f>N6+(-'Measured Data'!S10*'In Process Calc.'!$J6+'Measured Data'!S11*'In Process Calc.'!$E7)/1000</f>
        <v>52.275489999999998</v>
      </c>
      <c r="O7" s="102">
        <f>O6-(-'Measured Data'!U10*'In Process Calc.'!$J6+'Measured Data'!U11*'In Process Calc.'!$E7-$F6*'Measured Data'!AS11)/1000</f>
        <v>-0.36366799999999999</v>
      </c>
      <c r="P7" s="102">
        <f>P6-(-'Measured Data'!V10*'In Process Calc.'!$J6+'Measured Data'!V11*'In Process Calc.'!$E7-$F6*'Measured Data'!AT11)/1000</f>
        <v>0.37249000000000088</v>
      </c>
      <c r="Q7" s="102">
        <f>Q6-(-'Measured Data'!W10*'In Process Calc.'!$J6+'Measured Data'!W11*'In Process Calc.'!$E7-$F6*'Measured Data'!AU11)/1000</f>
        <v>2.2669429999999995</v>
      </c>
      <c r="R7" s="102">
        <f>R6-(-'Measured Data'!X10*'In Process Calc.'!$J6+'Measured Data'!X11*'In Process Calc.'!$E7-$F6*'Measured Data'!AV11)/1000</f>
        <v>0.61397100000000004</v>
      </c>
      <c r="S7" s="102">
        <f>S6-(-'Measured Data'!Y10*'In Process Calc.'!$J6+'Measured Data'!Y11*'In Process Calc.'!$E7-$F6*'Measured Data'!AW11)/1000</f>
        <v>0.57440600000000019</v>
      </c>
      <c r="T7" s="102">
        <v>8.6667970104279455</v>
      </c>
      <c r="U7" s="102">
        <f>U6-(-'Measured Data'!AA10*'In Process Calc.'!$J6+'Measured Data'!AA11*'In Process Calc.'!$E7-$G6*'Measured Data'!AY11)/1000</f>
        <v>-1.1817350000000002</v>
      </c>
      <c r="V7" s="102">
        <f>V6-(-'Measured Data'!AB10*'In Process Calc.'!$J6+'Measured Data'!AB11*'In Process Calc.'!$E7-$F6*'Measured Data'!AZ11)/1000</f>
        <v>-6.9631749999999997</v>
      </c>
      <c r="W7" s="102">
        <f>W6-(-'Measured Data'!AC10*'In Process Calc.'!$J6+'Measured Data'!AC11*'In Process Calc.'!$E7-$F6*'Measured Data'!BA11)/1000</f>
        <v>-1.2200160000000002</v>
      </c>
      <c r="X7" s="102">
        <f>X6-(-'Measured Data'!AD10*'In Process Calc.'!$J6+'Measured Data'!AD11*'In Process Calc.'!$E7-$F6*'Measured Data'!BB11)/1000</f>
        <v>-0.15809099999999987</v>
      </c>
      <c r="Y7" s="102">
        <f>Y6-(-'Measured Data'!AE10*'In Process Calc.'!$J6+'Measured Data'!AE11*'In Process Calc.'!$E7-$F6*'Measured Data'!BC11)/1000</f>
        <v>0.29488599999999976</v>
      </c>
      <c r="Z7" s="102">
        <f>Z6+(-'Measured Data'!AF10*'In Process Calc.'!$J6+'Measured Data'!AF11*'In Process Calc.'!$E7-$F6*'Measured Data'!BD11)/1000</f>
        <v>8.2144760213143897</v>
      </c>
      <c r="AA7" s="102">
        <f>AA6-(-'Measured Data'!AG10*'In Process Calc.'!$J6+'Measured Data'!AG11*'In Process Calc.'!$E7-$F6*'Measured Data'!BE11)/1000</f>
        <v>0.94984599999999864</v>
      </c>
      <c r="AB7" s="102">
        <f>AB6-(-'Measured Data'!AH10*'In Process Calc.'!$J6+'Measured Data'!AH11*'In Process Calc.'!$E7-$F6*'Measured Data'!BF11)/1000</f>
        <v>3.827000000000047E-2</v>
      </c>
      <c r="AC7" s="102">
        <f>AC6-(-'Measured Data'!AI10*'In Process Calc.'!$J6+'Measured Data'!AI11*'In Process Calc.'!$E7-$F6*'Measured Data'!BG11)/1000</f>
        <v>0.55279800000000001</v>
      </c>
      <c r="AD7" s="102">
        <f>AD6-(-'Measured Data'!AJ10*'In Process Calc.'!$J6+'Measured Data'!AJ11*'In Process Calc.'!$E7-$F6*'Measured Data'!BH11)/1000</f>
        <v>-4.0282300000000006</v>
      </c>
      <c r="AE7" s="102">
        <f>AE6-(-'Measured Data'!AK10*'In Process Calc.'!$J6+'Measured Data'!AK11*'In Process Calc.'!$E7-$F6*'Measured Data'!BI11)/1000</f>
        <v>2.2255999999999887E-2</v>
      </c>
      <c r="AF7" s="102">
        <f>AF6-(-'Measured Data'!AL10*'In Process Calc.'!$J6+'Measured Data'!AL11*'In Process Calc.'!$E7-$F6*'Measured Data'!BJ11)/1000</f>
        <v>2.2534220000000009</v>
      </c>
      <c r="AG7" s="102">
        <f>AG6-(-'Measured Data'!AM10*'In Process Calc.'!$J6+'Measured Data'!AM11*'In Process Calc.'!$E7-$F6*'Measured Data'!BK11)/1000</f>
        <v>3.7638580000000008</v>
      </c>
      <c r="AH7" s="102">
        <f>AH6-(-'Measured Data'!AN10*'In Process Calc.'!$J6+'Measured Data'!AN11*'In Process Calc.'!$E7-$F6*'Measured Data'!BL11)/1000</f>
        <v>1.538875</v>
      </c>
      <c r="AI7" s="102">
        <f>AI6-(-'Measured Data'!AO10*'In Process Calc.'!$J6+'Measured Data'!AO11*'In Process Calc.'!$E7-$F6*'Measured Data'!BM11)/1000</f>
        <v>0.16631799999999997</v>
      </c>
      <c r="AJ7" s="102">
        <f>AJ6-(-'Measured Data'!AP10*'In Process Calc.'!$J6+'Measured Data'!AP11*'In Process Calc.'!$E7-$F6*'Measured Data'!BN11)/1000</f>
        <v>0.79269599999999985</v>
      </c>
      <c r="AK7" s="102">
        <f>AK6-(-'Measured Data'!AQ10*'In Process Calc.'!$J6+'Measured Data'!AQ11*'In Process Calc.'!$E7-$F6*'Measured Data'!BO11)/1000</f>
        <v>-1.0479150000000002</v>
      </c>
      <c r="AL7" s="102">
        <f>AL6-(-'Measured Data'!AR10*'In Process Calc.'!$J6+'Measured Data'!AR11*'In Process Calc.'!$E7-'In Process Calc.'!$F6*'Measured Data'!BP11)/1000</f>
        <v>0</v>
      </c>
      <c r="AM7" s="101">
        <f t="shared" ref="AM7:AM8" si="13">($O7*1+$P7*4+$Q7*2+$R7*1+S7*2+$U7*2+$V7*1+$W7*1+$X7*3+$Y7*1+$AA7*1+$AB7*2+$AC7*1-$AD7*1+$AE7*1+AF7*1+$AG7*1+$AH7*1+AI7*2+$AJ7*1+$AK7*1)</f>
        <v>9.9601550000000039</v>
      </c>
      <c r="AN7" s="101">
        <f t="shared" si="2"/>
        <v>5.5682570000000036</v>
      </c>
      <c r="AO7" s="101">
        <f t="shared" si="7"/>
        <v>17.283585000000002</v>
      </c>
      <c r="AP7" s="107">
        <f>'Measured Data'!N11/('Measured Data'!H11)</f>
        <v>0</v>
      </c>
      <c r="AQ7" s="108">
        <f>IF('Measured Data'!O11&gt;0,'Measured Data'!O11,('Measured Data'!P11*$E7-'Measured Data'!P10*$J6)/1000/(('Measured Data'!$H10*$J6+'Measured Data'!$H11*$E7)*1000000*0.5*($C7-$C6))*1000000000)</f>
        <v>0</v>
      </c>
      <c r="AR7" s="108">
        <f>(L7-L6)/(('Measured Data'!$H10*$J6+'Measured Data'!$H11*$E7)*0.5*($C7-$C6))</f>
        <v>2.3458528408698717E-2</v>
      </c>
      <c r="AS7" s="108">
        <f t="shared" si="3"/>
        <v>2.3614773155183351E-2</v>
      </c>
      <c r="AT7" s="108">
        <f>('Measured Data'!$I11*$E7-'Measured Data'!$I10*$J6)/(('Measured Data'!$H10*$J6+'Measured Data'!$H11*$E7)*0.5*($C7-$C6))</f>
        <v>1.5624474648463305E-4</v>
      </c>
      <c r="AU7" s="108">
        <f>(N7-N6)*1000/(('Measured Data'!$H10*$J6+'Measured Data'!$H11*$E7)*0.5*($C7-$C6))</f>
        <v>0.54548299043933102</v>
      </c>
      <c r="AV7" s="108">
        <f>(O7-O6)*1000/(('Measured Data'!$H10*$J6+'Measured Data'!$H11*$E7)*0.5*($C7-$C6))</f>
        <v>-3.1105125959230732E-3</v>
      </c>
      <c r="AW7" s="108">
        <f>(P7-P6)*1000/(('Measured Data'!$H10*$J6+'Measured Data'!$H11*$E7)*0.5*($C7-$C6))</f>
        <v>-7.8139875502568953E-3</v>
      </c>
      <c r="AX7" s="108">
        <f>(Q7-Q6)*1000/(('Measured Data'!$H10*$J6+'Measured Data'!$H11*$E7)*0.5*($C7-$C6))</f>
        <v>-2.3645190333988923E-2</v>
      </c>
      <c r="AY7" s="108">
        <f>(R7-R6)*1000/(('Measured Data'!$H10*$J6+'Measured Data'!$H11*$E7)*0.5*($C7-$C6))</f>
        <v>1.5469658690070891E-3</v>
      </c>
      <c r="AZ7" s="108">
        <f>(S7-S6)*1000/(('Measured Data'!$H10*$J6+'Measured Data'!$H11*$E7)*0.5*($C7-$C6))</f>
        <v>2.2681966663307589E-3</v>
      </c>
      <c r="BA7" s="507">
        <v>7.9511007546199414E-2</v>
      </c>
      <c r="BB7" s="108">
        <f>(U7-U6)*1000/(('Measured Data'!$H10*$J6+'Measured Data'!$H11*$E7)*0.5*($C7-$C6))</f>
        <v>-5.36221188254712E-3</v>
      </c>
      <c r="BC7" s="108">
        <f>(V7-V6)*1000/(('Measured Data'!$H10*$J6+'Measured Data'!$H11*$E7)*0.5*($C7-$C6))</f>
        <v>-7.9522253661194059E-2</v>
      </c>
      <c r="BD7" s="108">
        <f>(W7-W6)*1000/(('Measured Data'!$H10*$J6+'Measured Data'!$H11*$E7)*0.5*($C7-$C6))</f>
        <v>-6.5969066667324779E-3</v>
      </c>
      <c r="BE7" s="108">
        <f>(X7-X6)*1000/(('Measured Data'!$H10*$J6+'Measured Data'!$H11*$E7)*0.5*($C7-$C6))</f>
        <v>-8.9546441396814013E-3</v>
      </c>
      <c r="BF7" s="108">
        <f>(Y7-Y6)*1000/(('Measured Data'!$H10*$J6+'Measured Data'!$H11*$E7)*0.5*($C7-$C6))</f>
        <v>-9.9150712905895395E-3</v>
      </c>
      <c r="BG7" s="507">
        <v>3.9649972735798795E-2</v>
      </c>
      <c r="BH7" s="108">
        <f>(AA7-AA6)*1000/(('Measured Data'!$H10*$J6+'Measured Data'!$H11*$E7)*0.5*($C7-$C6))</f>
        <v>-9.8846434858932807E-3</v>
      </c>
      <c r="BI7" s="108">
        <f>(AB7-AB6)*1000/(('Measured Data'!$H10*$J6+'Measured Data'!$H11*$E7)*0.5*($C7-$C6))</f>
        <v>-1.1506082346024229E-2</v>
      </c>
      <c r="BJ7" s="108">
        <f>(AC7-AC6)*1000/(('Measured Data'!$H10*$J6+'Measured Data'!$H11*$E7)*0.5*($C7-$C6))</f>
        <v>1.693950113503476E-3</v>
      </c>
      <c r="BK7" s="108">
        <f>(AD7-AD6)*1000/(('Measured Data'!$H10*$J6+'Measured Data'!$H11*$E7)*0.5*($C7-$C6))</f>
        <v>-1.9719951354295509E-2</v>
      </c>
      <c r="BL7" s="108">
        <f>(AE7-AE6)*1000/(('Measured Data'!$H10*$J6+'Measured Data'!$H11*$E7)*0.5*($C7-$C6))</f>
        <v>-5.1839024426809932E-3</v>
      </c>
      <c r="BM7" s="108">
        <f>(AF7-AF6)*1000/(('Measured Data'!$H10*$J6+'Measured Data'!$H11*$E7)*0.5*($C7-$C6))</f>
        <v>5.6848760035408327E-3</v>
      </c>
      <c r="BN7" s="108">
        <f>(AG7-AG6)*1000/(('Measured Data'!$H10*$J6+'Measured Data'!$H11*$E7)*0.5*($C7-$C6))</f>
        <v>1.0942813176784204E-2</v>
      </c>
      <c r="BO7" s="108">
        <f>(AH7-AH6)*1000/(('Measured Data'!$H10*$J6+'Measured Data'!$H11*$E7)*0.5*($C7-$C6))</f>
        <v>4.7676279527126405E-3</v>
      </c>
      <c r="BP7" s="108">
        <f>(AI7-AI6)*1000/(('Measured Data'!$H10*$J6+'Measured Data'!$H11*$E7)*0.5*($C7-$C6))</f>
        <v>-3.5868183480373766E-3</v>
      </c>
      <c r="BQ7" s="108">
        <f>(AJ7-AJ6)*1000/(('Measured Data'!$H10*$J6+'Measured Data'!$H11*$E7)*0.5*($C7-$C6))</f>
        <v>3.2406864174545549E-3</v>
      </c>
      <c r="BR7" s="108">
        <f>(AK7-AK6)*1000/(('Measured Data'!$H10*$J6+'Measured Data'!$H11*$E7)*0.5*($C7-$C6))</f>
        <v>-2.3673541618405819E-2</v>
      </c>
      <c r="BS7" s="108">
        <f>(AL7-AL6)*1000/(('Measured Data'!$H10*$E7+'Measured Data'!$H11*$E7)*0.5*($C7-$C6))</f>
        <v>0</v>
      </c>
      <c r="BT7" s="109">
        <f t="shared" si="8"/>
        <v>-0.23075543430101986</v>
      </c>
      <c r="BU7" s="109">
        <f t="shared" si="9"/>
        <v>-0.24736487305939228</v>
      </c>
      <c r="BV7" s="109">
        <f t="shared" si="10"/>
        <v>-0.87158881336134653</v>
      </c>
      <c r="BW7" s="109">
        <f t="shared" si="11"/>
        <v>0.13775630315752874</v>
      </c>
      <c r="BX7" s="108">
        <f t="shared" si="4"/>
        <v>0.49867274933927114</v>
      </c>
      <c r="BY7" s="108">
        <f t="shared" si="5"/>
        <v>0</v>
      </c>
      <c r="BZ7" s="108">
        <f t="shared" si="6"/>
        <v>-6.7439868365791203E-2</v>
      </c>
      <c r="CA7" s="108">
        <f t="shared" si="12"/>
        <v>3.677577795551092</v>
      </c>
      <c r="CB7" s="36"/>
    </row>
    <row r="8" spans="1:80">
      <c r="A8" s="94">
        <f>'Measured Data'!$A12</f>
        <v>5</v>
      </c>
      <c r="B8" s="500">
        <f>'Measured Data'!B12</f>
        <v>4.8319444444496185</v>
      </c>
      <c r="C8" s="500">
        <f>'Measured Data'!C12</f>
        <v>115.96666666679084</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7031.0164246023396</v>
      </c>
      <c r="M8" s="102">
        <f>M7 + ('Measured Data'!P12*$E8-'Measured Data'!P11*$J7)/1000</f>
        <v>0</v>
      </c>
      <c r="N8" s="102">
        <f>N7+(-'Measured Data'!S11*'In Process Calc.'!$J7+'Measured Data'!S12*'In Process Calc.'!$E8)/1000</f>
        <v>163.20548592592593</v>
      </c>
      <c r="O8" s="102">
        <f>O7-(-'Measured Data'!U11*'In Process Calc.'!$J7+'Measured Data'!U12*'In Process Calc.'!$E8-$F7*'Measured Data'!AS12)/1000</f>
        <v>-1.0688681851851853</v>
      </c>
      <c r="P8" s="102">
        <f>P7-(-'Measured Data'!V11*'In Process Calc.'!$J7+'Measured Data'!V12*'In Process Calc.'!$E8-$F7*'Measured Data'!AT12)/1000</f>
        <v>-0.8294693703703695</v>
      </c>
      <c r="Q8" s="102">
        <f>Q7-(-'Measured Data'!W11*'In Process Calc.'!$J7+'Measured Data'!W12*'In Process Calc.'!$E8-$F7*'Measured Data'!AU12)/1000</f>
        <v>-0.81022092592592676</v>
      </c>
      <c r="R8" s="102">
        <f>R7-(-'Measured Data'!X11*'In Process Calc.'!$J7+'Measured Data'!X12*'In Process Calc.'!$E8-$F7*'Measured Data'!AV12)/1000</f>
        <v>9.7187592592592464E-2</v>
      </c>
      <c r="S8" s="102">
        <f>S7-(-'Measured Data'!Y11*'In Process Calc.'!$J7+'Measured Data'!Y12*'In Process Calc.'!$E8-$F7*'Measured Data'!AW12)/1000</f>
        <v>0.55143603703703703</v>
      </c>
      <c r="T8" s="102">
        <v>13.450461816251424</v>
      </c>
      <c r="U8" s="102">
        <f>U7-(-'Measured Data'!AA11*'In Process Calc.'!$J7+'Measured Data'!AA12*'In Process Calc.'!$E8-$G7*'Measured Data'!AY12)/1000</f>
        <v>-2.0054276666666668</v>
      </c>
      <c r="V8" s="102">
        <f>V7-(-'Measured Data'!AB11*'In Process Calc.'!$J7+'Measured Data'!AB12*'In Process Calc.'!$E8-$F7*'Measured Data'!AZ12)/1000</f>
        <v>-14.454739222222221</v>
      </c>
      <c r="W8" s="102">
        <f>W7-(-'Measured Data'!AC11*'In Process Calc.'!$J7+'Measured Data'!AC12*'In Process Calc.'!$E8-$F7*'Measured Data'!BA12)/1000</f>
        <v>-1.9715764444444448</v>
      </c>
      <c r="X8" s="102">
        <f>X7-(-'Measured Data'!AD11*'In Process Calc.'!$J7+'Measured Data'!AD12*'In Process Calc.'!$E8-$F7*'Measured Data'!BB12)/1000</f>
        <v>-0.88436370370370376</v>
      </c>
      <c r="Y8" s="102">
        <f>Y7-(-'Measured Data'!AE11*'In Process Calc.'!$J7+'Measured Data'!AE12*'In Process Calc.'!$E8-$F7*'Measured Data'!BC12)/1000</f>
        <v>-1.1376017407407406</v>
      </c>
      <c r="Z8" s="102">
        <f>Z7+(-'Measured Data'!AF11*'In Process Calc.'!$J7+'Measured Data'!AF12*'In Process Calc.'!$E8-$F7*'Measured Data'!BD12)/1000</f>
        <v>11.806875370041446</v>
      </c>
      <c r="AA8" s="102">
        <f>AA7-(-'Measured Data'!AG11*'In Process Calc.'!$J7+'Measured Data'!AG12*'In Process Calc.'!$E8-$F7*'Measured Data'!BE12)/1000</f>
        <v>-0.72249507407407521</v>
      </c>
      <c r="AB8" s="102">
        <f>AB7-(-'Measured Data'!AH11*'In Process Calc.'!$J7+'Measured Data'!AH12*'In Process Calc.'!$E8-$F7*'Measured Data'!BF12)/1000</f>
        <v>-1.6664583703703701</v>
      </c>
      <c r="AC8" s="102">
        <f>AC7-(-'Measured Data'!AI11*'In Process Calc.'!$J7+'Measured Data'!AI12*'In Process Calc.'!$E8-$F7*'Measured Data'!BG12)/1000</f>
        <v>0.53318062962962953</v>
      </c>
      <c r="AD8" s="102">
        <f>AD7-(-'Measured Data'!AJ11*'In Process Calc.'!$J7+'Measured Data'!AJ12*'In Process Calc.'!$E8-$F7*'Measured Data'!BH12)/1000</f>
        <v>-6.3077003703703713</v>
      </c>
      <c r="AE8" s="102">
        <f>AE7-(-'Measured Data'!AK11*'In Process Calc.'!$J7+'Measured Data'!AK12*'In Process Calc.'!$E8-$F7*'Measured Data'!BI12)/1000</f>
        <v>-0.69224218518518499</v>
      </c>
      <c r="AF8" s="102">
        <f>AF7-(-'Measured Data'!AL11*'In Process Calc.'!$J7+'Measured Data'!AL12*'In Process Calc.'!$E8-$F7*'Measured Data'!BJ12)/1000</f>
        <v>1.8051786296296308</v>
      </c>
      <c r="AG8" s="102">
        <f>AG7-(-'Measured Data'!AM11*'In Process Calc.'!$J7+'Measured Data'!AM12*'In Process Calc.'!$E8-$F7*'Measured Data'!BK12)/1000</f>
        <v>4.0377894444444449</v>
      </c>
      <c r="AH8" s="102">
        <f>AH7-(-'Measured Data'!AN11*'In Process Calc.'!$J7+'Measured Data'!AN12*'In Process Calc.'!$E8-$F7*'Measured Data'!BL12)/1000</f>
        <v>1.4363408148148147</v>
      </c>
      <c r="AI8" s="102">
        <f>AI7-(-'Measured Data'!AO11*'In Process Calc.'!$J7+'Measured Data'!AO12*'In Process Calc.'!$E8-$F7*'Measured Data'!BM12)/1000</f>
        <v>-0.36120959259259278</v>
      </c>
      <c r="AJ8" s="102">
        <f>AJ7-(-'Measured Data'!AP11*'In Process Calc.'!$J7+'Measured Data'!AP12*'In Process Calc.'!$E8-$F7*'Measured Data'!BN12)/1000</f>
        <v>0.70221537037037018</v>
      </c>
      <c r="AK8" s="102">
        <f>AK7-(-'Measured Data'!AQ11*'In Process Calc.'!$J7+'Measured Data'!AQ12*'In Process Calc.'!$E8-$F7*'Measured Data'!BO12)/1000</f>
        <v>-3.9301911111111103</v>
      </c>
      <c r="AL8" s="102">
        <f>AL7-(-'Measured Data'!AR11*'In Process Calc.'!$J7+'Measured Data'!AR12*'In Process Calc.'!$E8-'In Process Calc.'!$F7*'Measured Data'!BP12)/1000</f>
        <v>0</v>
      </c>
      <c r="AM8" s="101">
        <f t="shared" si="13"/>
        <v>-23.612850740740743</v>
      </c>
      <c r="AN8" s="101">
        <f t="shared" si="2"/>
        <v>-30.989419296296301</v>
      </c>
      <c r="AO8" s="101">
        <f t="shared" si="7"/>
        <v>-108.00720396296293</v>
      </c>
      <c r="AP8" s="107">
        <f>'Measured Data'!N12/('Measured Data'!H12)</f>
        <v>0</v>
      </c>
      <c r="AQ8" s="108">
        <f>IF('Measured Data'!O12&gt;0,'Measured Data'!O12,('Measured Data'!P12*$E8-'Measured Data'!P11*$J7)/1000/(('Measured Data'!$H11*$J7+'Measured Data'!$H12*$E8)*1000000*0.5*($C8-$C7))*1000000000)</f>
        <v>0</v>
      </c>
      <c r="AR8" s="108">
        <f>(L8-L7)/(('Measured Data'!$H11*$J7+'Measured Data'!$H12*$E8)*0.5*($C8-$C7))</f>
        <v>1.9430666739117541E-2</v>
      </c>
      <c r="AS8" s="108">
        <f t="shared" si="3"/>
        <v>1.9574716018965304E-2</v>
      </c>
      <c r="AT8" s="108">
        <f>('Measured Data'!$I12*$E8-'Measured Data'!$I11*$J7)/(('Measured Data'!$H11*$J7+'Measured Data'!$H12*$E8)*0.5*($C8-$C7))</f>
        <v>1.4404927984776363E-4</v>
      </c>
      <c r="AU8" s="108">
        <f>(N8-N7)*1000/(('Measured Data'!$H11*$J7+'Measured Data'!$H12*$E8)*0.5*($C8-$C7))</f>
        <v>0.86361767103947673</v>
      </c>
      <c r="AV8" s="108">
        <f>(O8-O7)*1000/(('Measured Data'!$H11*$J7+'Measured Data'!$H12*$E8)*0.5*($C8-$C7))</f>
        <v>-5.4901592347746577E-3</v>
      </c>
      <c r="AW8" s="108">
        <f>(P8-P7)*1000/(('Measured Data'!$H11*$J7+'Measured Data'!$H12*$E8)*0.5*($C8-$C7))</f>
        <v>-9.3575533241386493E-3</v>
      </c>
      <c r="AX8" s="108">
        <f>(Q8-Q7)*1000/(('Measured Data'!$H11*$J7+'Measured Data'!$H12*$E8)*0.5*($C8-$C7))</f>
        <v>-2.3956488242273043E-2</v>
      </c>
      <c r="AY8" s="108">
        <f>(R8-R7)*1000/(('Measured Data'!$H11*$J7+'Measured Data'!$H12*$E8)*0.5*($C8-$C7))</f>
        <v>-4.0232876510249913E-3</v>
      </c>
      <c r="AZ8" s="108">
        <f>(S8-S7)*1000/(('Measured Data'!$H11*$J7+'Measured Data'!$H12*$E8)*0.5*($C8-$C7))</f>
        <v>-1.7882688764528327E-4</v>
      </c>
      <c r="BA8" s="507">
        <v>5.4698722786507108E-2</v>
      </c>
      <c r="BB8" s="108">
        <f>(U8-U7)*1000/(('Measured Data'!$H11*$J7+'Measured Data'!$H12*$E8)*0.5*($C8-$C7))</f>
        <v>-6.4126527410491739E-3</v>
      </c>
      <c r="BC8" s="108">
        <f>(V8-V7)*1000/(('Measured Data'!$H11*$J7+'Measured Data'!$H12*$E8)*0.5*($C8-$C7))</f>
        <v>-5.8323694975689865E-2</v>
      </c>
      <c r="BD8" s="108">
        <f>(W8-W7)*1000/(('Measured Data'!$H11*$J7+'Measured Data'!$H12*$E8)*0.5*($C8-$C7))</f>
        <v>-5.8510854098463945E-3</v>
      </c>
      <c r="BE8" s="108">
        <f>(X8-X7)*1000/(('Measured Data'!$H11*$J7+'Measured Data'!$H12*$E8)*0.5*($C8-$C7))</f>
        <v>-5.6542140444228207E-3</v>
      </c>
      <c r="BF8" s="108">
        <f>(Y8-Y7)*1000/(('Measured Data'!$H11*$J7+'Measured Data'!$H12*$E8)*0.5*($C8-$C7))</f>
        <v>-1.1152274153847569E-2</v>
      </c>
      <c r="BG8" s="507">
        <v>2.1589471284054945E-2</v>
      </c>
      <c r="BH8" s="108">
        <f>(AA8-AA7)*1000/(('Measured Data'!$H11*$J7+'Measured Data'!$H12*$E8)*0.5*($C8-$C7))</f>
        <v>-1.3019592144760582E-2</v>
      </c>
      <c r="BI8" s="108">
        <f>(AB8-AB7)*1000/(('Measured Data'!$H11*$J7+'Measured Data'!$H12*$E8)*0.5*($C8-$C7))</f>
        <v>-1.3271735319969481E-2</v>
      </c>
      <c r="BJ8" s="108">
        <f>(AC8-AC7)*1000/(('Measured Data'!$H11*$J7+'Measured Data'!$H12*$E8)*0.5*($C8-$C7))</f>
        <v>-1.5272611857383673E-4</v>
      </c>
      <c r="BK8" s="108">
        <f>(AD8-AD7)*1000/(('Measured Data'!$H11*$J7+'Measured Data'!$H12*$E8)*0.5*($C8-$C7))</f>
        <v>-1.7746245062311997E-2</v>
      </c>
      <c r="BL8" s="108">
        <f>(AE8-AE7)*1000/(('Measured Data'!$H11*$J7+'Measured Data'!$H12*$E8)*0.5*($C8-$C7))</f>
        <v>-5.5625464825907189E-3</v>
      </c>
      <c r="BM8" s="108">
        <f>(AF8-AF7)*1000/(('Measured Data'!$H11*$J7+'Measured Data'!$H12*$E8)*0.5*($C8-$C7))</f>
        <v>-3.4896863769529017E-3</v>
      </c>
      <c r="BN8" s="108">
        <f>(AG8-AG7)*1000/(('Measured Data'!$H11*$J7+'Measured Data'!$H12*$E8)*0.5*($C8-$C7))</f>
        <v>2.1326245809434878E-3</v>
      </c>
      <c r="BO8" s="108">
        <f>(AH8-AH7)*1000/(('Measured Data'!$H11*$J7+'Measured Data'!$H12*$E8)*0.5*($C8-$C7))</f>
        <v>-7.9825419150551563E-4</v>
      </c>
      <c r="BP8" s="108">
        <f>(AI8-AI7)*1000/(('Measured Data'!$H11*$J7+'Measured Data'!$H12*$E8)*0.5*($C8-$C7))</f>
        <v>-4.1069338110144181E-3</v>
      </c>
      <c r="BQ8" s="108">
        <f>(AJ8-AJ7)*1000/(('Measured Data'!$H11*$J7+'Measured Data'!$H12*$E8)*0.5*($C8-$C7))</f>
        <v>-7.0441425678141253E-4</v>
      </c>
      <c r="BR8" s="108">
        <f>(AK8-AK7)*1000/(('Measured Data'!$H11*$J7+'Measured Data'!$H12*$E8)*0.5*($C8-$C7))</f>
        <v>-2.2439238022082527E-2</v>
      </c>
      <c r="BS8" s="108">
        <f>(AL8-AL7)*1000/(('Measured Data'!$H11*$E8+'Measured Data'!$H12*$E8)*0.5*($C8-$C7))</f>
        <v>0</v>
      </c>
      <c r="BT8" s="109">
        <f t="shared" si="8"/>
        <v>-0.25708845811024161</v>
      </c>
      <c r="BU8" s="109">
        <f t="shared" si="9"/>
        <v>-0.26934454393777896</v>
      </c>
      <c r="BV8" s="109">
        <f t="shared" si="10"/>
        <v>-0.97961244343925513</v>
      </c>
      <c r="BW8" s="109">
        <f t="shared" si="11"/>
        <v>6.3978737428304552E-3</v>
      </c>
      <c r="BX8" s="108">
        <f t="shared" si="4"/>
        <v>0.39469790489112777</v>
      </c>
      <c r="BY8" s="108">
        <f t="shared" si="5"/>
        <v>0</v>
      </c>
      <c r="BZ8" s="108">
        <f t="shared" si="6"/>
        <v>-0.11723587708031502</v>
      </c>
      <c r="CA8" s="108">
        <f t="shared" si="12"/>
        <v>2.7673797067964316</v>
      </c>
      <c r="CB8" s="36"/>
    </row>
    <row r="9" spans="1:80">
      <c r="A9" s="94">
        <f>'Measured Data'!$A13</f>
        <v>6</v>
      </c>
      <c r="B9" s="500">
        <f>'Measured Data'!B13</f>
        <v>5.8819444444452529</v>
      </c>
      <c r="C9" s="500">
        <f>'Measured Data'!C13</f>
        <v>141.16666666668607</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11845.628654940967</v>
      </c>
      <c r="M9" s="102">
        <f>M8 + ('Measured Data'!P13*$E9-'Measured Data'!P12*$J8)/1000</f>
        <v>0</v>
      </c>
      <c r="N9" s="102">
        <f>N8+(-'Measured Data'!S12*'In Process Calc.'!$J8+'Measured Data'!S13*'In Process Calc.'!$E9)/1000</f>
        <v>402.43144666666666</v>
      </c>
      <c r="O9" s="102">
        <f>O8-(-'Measured Data'!U12*'In Process Calc.'!$J8+'Measured Data'!U13*'In Process Calc.'!$E9-$F8*'Measured Data'!AS13)/1000</f>
        <v>-2.5133976666666671</v>
      </c>
      <c r="P9" s="102">
        <f>P8-(-'Measured Data'!V12*'In Process Calc.'!$J8+'Measured Data'!V13*'In Process Calc.'!$E9-$F8*'Measured Data'!AT13)/1000</f>
        <v>-1.0411961111111112</v>
      </c>
      <c r="Q9" s="102">
        <f>Q8-(-'Measured Data'!W12*'In Process Calc.'!$J8+'Measured Data'!W13*'In Process Calc.'!$E9-$F8*'Measured Data'!AU13)/1000</f>
        <v>0.89982533333333259</v>
      </c>
      <c r="R9" s="102">
        <f>R8-(-'Measured Data'!X12*'In Process Calc.'!$J8+'Measured Data'!X13*'In Process Calc.'!$E9-$F8*'Measured Data'!AV13)/1000</f>
        <v>-0.44225777777777775</v>
      </c>
      <c r="S9" s="102">
        <f>S8-(-'Measured Data'!Y12*'In Process Calc.'!$J8+'Measured Data'!Y13*'In Process Calc.'!$E9-$F8*'Measured Data'!AW13)/1000</f>
        <v>0.87884966666666675</v>
      </c>
      <c r="T9" s="102">
        <v>21.06940013986409</v>
      </c>
      <c r="U9" s="102">
        <f>U8-(-'Measured Data'!AA12*'In Process Calc.'!$J8+'Measured Data'!AA13*'In Process Calc.'!$E9-$G8*'Measured Data'!AY13)/1000</f>
        <v>-3.0366497777777783</v>
      </c>
      <c r="V9" s="102">
        <f>V8-(-'Measured Data'!AB12*'In Process Calc.'!$J8+'Measured Data'!AB13*'In Process Calc.'!$E9-$F8*'Measured Data'!AZ13)/1000</f>
        <v>-19.546170777777775</v>
      </c>
      <c r="W9" s="102">
        <f>W8-(-'Measured Data'!AC12*'In Process Calc.'!$J8+'Measured Data'!AC13*'In Process Calc.'!$E9-$F8*'Measured Data'!BA13)/1000</f>
        <v>-2.2440228888888889</v>
      </c>
      <c r="X9" s="102">
        <f>X8-(-'Measured Data'!AD12*'In Process Calc.'!$J8+'Measured Data'!AD13*'In Process Calc.'!$E9-$F8*'Measured Data'!BB13)/1000</f>
        <v>-0.82586077777777789</v>
      </c>
      <c r="Y9" s="102">
        <f>Y8-(-'Measured Data'!AE12*'In Process Calc.'!$J8+'Measured Data'!AE13*'In Process Calc.'!$E9-$F8*'Measured Data'!BC13)/1000</f>
        <v>-1.4599227777777777</v>
      </c>
      <c r="Z9" s="102">
        <f>Z8+(-'Measured Data'!AF12*'In Process Calc.'!$J8+'Measured Data'!AF13*'In Process Calc.'!$E9-$F8*'Measured Data'!BD13)/1000</f>
        <v>17.323070850601937</v>
      </c>
      <c r="AA9" s="102">
        <f>AA8-(-'Measured Data'!AG12*'In Process Calc.'!$J8+'Measured Data'!AG13*'In Process Calc.'!$E9-$F8*'Measured Data'!BE13)/1000</f>
        <v>-0.70881633333333427</v>
      </c>
      <c r="AB9" s="102">
        <f>AB8-(-'Measured Data'!AH12*'In Process Calc.'!$J8+'Measured Data'!AH13*'In Process Calc.'!$E9-$F8*'Measured Data'!BF13)/1000</f>
        <v>-2.0172981111111112</v>
      </c>
      <c r="AC9" s="102">
        <f>AC8-(-'Measured Data'!AI12*'In Process Calc.'!$J8+'Measured Data'!AI13*'In Process Calc.'!$E9-$F8*'Measured Data'!BG13)/1000</f>
        <v>0.83186855555555561</v>
      </c>
      <c r="AD9" s="102">
        <f>AD8-(-'Measured Data'!AJ12*'In Process Calc.'!$J8+'Measured Data'!AJ13*'In Process Calc.'!$E9-$F8*'Measured Data'!BH13)/1000</f>
        <v>-9.6309977777777789</v>
      </c>
      <c r="AE9" s="102">
        <f>AE8-(-'Measured Data'!AK12*'In Process Calc.'!$J8+'Measured Data'!AK13*'In Process Calc.'!$E9-$F8*'Measured Data'!BI13)/1000</f>
        <v>-0.87614788888888873</v>
      </c>
      <c r="AF9" s="102">
        <f>AF8-(-'Measured Data'!AL12*'In Process Calc.'!$J8+'Measured Data'!AL13*'In Process Calc.'!$E9-$F8*'Measured Data'!BJ13)/1000</f>
        <v>2.9692012222222224</v>
      </c>
      <c r="AG9" s="102">
        <f>AG8-(-'Measured Data'!AM12*'In Process Calc.'!$J8+'Measured Data'!AM13*'In Process Calc.'!$E9-$F8*'Measured Data'!BK13)/1000</f>
        <v>5.4313156666666664</v>
      </c>
      <c r="AH9" s="102">
        <f>AH8-(-'Measured Data'!AN12*'In Process Calc.'!$J8+'Measured Data'!AN13*'In Process Calc.'!$E9-$F8*'Measured Data'!BL13)/1000</f>
        <v>2.3977358888888878</v>
      </c>
      <c r="AI9" s="102">
        <f>AI8-(-'Measured Data'!AO12*'In Process Calc.'!$J8+'Measured Data'!AO13*'In Process Calc.'!$E9-$F8*'Measured Data'!BM13)/1000</f>
        <v>-0.49350233333333332</v>
      </c>
      <c r="AJ9" s="102">
        <f>AJ8-(-'Measured Data'!AP12*'In Process Calc.'!$J8+'Measured Data'!AP13*'In Process Calc.'!$E9-$F8*'Measured Data'!BN13)/1000</f>
        <v>1.243978888888889</v>
      </c>
      <c r="AK9" s="102">
        <f>AK8-(-'Measured Data'!AQ12*'In Process Calc.'!$J8+'Measured Data'!AQ13*'In Process Calc.'!$E9-$F8*'Measured Data'!BO13)/1000</f>
        <v>-5.3031476666666686</v>
      </c>
      <c r="AL9" s="102">
        <f>AL8-(-'Measured Data'!AR12*'In Process Calc.'!$J8+'Measured Data'!AR13*'In Process Calc.'!$E9-'In Process Calc.'!$F8*'Measured Data'!BP13)/1000</f>
        <v>0</v>
      </c>
      <c r="AM9" s="101">
        <f t="shared" ref="AM9:AM15" si="14">($O9*1+$P9*4+$Q9*2+$R9*1+S9*2+$U9*2+$V9*1+$W9*1+$X9*3+$Y9*1+$AA9*1+$AB9*2+$AC9*1-$AD9*1+$AE9*1+AF9*1+$AG9*1+$AH9*1+AI9*2+$AJ9*1+$AK9*1)</f>
        <v>-24.768702999999991</v>
      </c>
      <c r="AN9" s="101">
        <f t="shared" si="2"/>
        <v>-36.913098444444437</v>
      </c>
      <c r="AO9" s="101">
        <f t="shared" si="7"/>
        <v>-122.82069755555558</v>
      </c>
      <c r="AP9" s="107">
        <f>'Measured Data'!N13/('Measured Data'!H13)</f>
        <v>0</v>
      </c>
      <c r="AQ9" s="108">
        <f>IF('Measured Data'!O13&gt;0,'Measured Data'!O13,('Measured Data'!P13*$E9-'Measured Data'!P12*$J8)/1000/(('Measured Data'!$H12*$J8+'Measured Data'!$H13*$E9)*1000000*0.5*($C9-$C8))*1000000000)</f>
        <v>0</v>
      </c>
      <c r="AR9" s="108">
        <f>(L9-L8)/(('Measured Data'!$H12*$J8+'Measured Data'!$H13*$E9)*0.5*($C9-$C8))</f>
        <v>1.9218179302097769E-2</v>
      </c>
      <c r="AS9" s="108">
        <f t="shared" si="3"/>
        <v>1.9362127916059874E-2</v>
      </c>
      <c r="AT9" s="108">
        <f>('Measured Data'!$I13*$E9-'Measured Data'!$I12*$J8)/(('Measured Data'!$H12*$J8+'Measured Data'!$H13*$E9)*0.5*($C9-$C8))</f>
        <v>1.4394861396210354E-4</v>
      </c>
      <c r="AU9" s="108">
        <f>(N9-N8)*1000/(('Measured Data'!$H12*$J8+'Measured Data'!$H13*$E9)*0.5*($C9-$C8))</f>
        <v>0.9549029469625222</v>
      </c>
      <c r="AV9" s="108">
        <f>(O9-O8)*1000/(('Measured Data'!$H12*$J8+'Measured Data'!$H13*$E9)*0.5*($C9-$C8))</f>
        <v>-5.7660358205680251E-3</v>
      </c>
      <c r="AW9" s="108">
        <f>(P9-P8)*1000/(('Measured Data'!$H12*$J8+'Measured Data'!$H13*$E9)*0.5*($C9-$C8))</f>
        <v>-8.451360715955637E-4</v>
      </c>
      <c r="AX9" s="108">
        <f>(Q9-Q8)*1000/(('Measured Data'!$H12*$J8+'Measured Data'!$H13*$E9)*0.5*($C9-$C8))</f>
        <v>6.8258821381788799E-3</v>
      </c>
      <c r="AY9" s="108">
        <f>(R9-R8)*1000/(('Measured Data'!$H12*$J8+'Measured Data'!$H13*$E9)*0.5*($C9-$C8))</f>
        <v>-2.1532695377079534E-3</v>
      </c>
      <c r="AZ9" s="108">
        <f>(S9-S8)*1000/(('Measured Data'!$H12*$J8+'Measured Data'!$H13*$E9)*0.5*($C9-$C8))</f>
        <v>1.3069160171452266E-3</v>
      </c>
      <c r="BA9" s="507">
        <v>5.1606859714009856E-2</v>
      </c>
      <c r="BB9" s="108">
        <f>(U9-U8)*1000/(('Measured Data'!$H12*$J8+'Measured Data'!$H13*$E9)*0.5*($C9-$C8))</f>
        <v>-4.1162632593211455E-3</v>
      </c>
      <c r="BC9" s="108">
        <f>(V9-V8)*1000/(('Measured Data'!$H12*$J8+'Measured Data'!$H13*$E9)*0.5*($C9-$C8))</f>
        <v>-2.0323141274482915E-2</v>
      </c>
      <c r="BD9" s="108">
        <f>(W9-W8)*1000/(('Measured Data'!$H12*$J8+'Measured Data'!$H13*$E9)*0.5*($C9-$C8))</f>
        <v>-1.0875070242539733E-3</v>
      </c>
      <c r="BE9" s="108">
        <f>(X9-X8)*1000/(('Measured Data'!$H12*$J8+'Measured Data'!$H13*$E9)*0.5*($C9-$C8))</f>
        <v>2.335223827699018E-4</v>
      </c>
      <c r="BF9" s="108">
        <f>(Y9-Y8)*1000/(('Measured Data'!$H12*$J8+'Measured Data'!$H13*$E9)*0.5*($C9-$C8))</f>
        <v>-1.2865882414335578E-3</v>
      </c>
      <c r="BG9" s="507">
        <v>1.9559734864274498E-2</v>
      </c>
      <c r="BH9" s="108">
        <f>(AA9-AA8)*1000/(('Measured Data'!$H12*$J8+'Measured Data'!$H13*$E9)*0.5*($C9-$C8))</f>
        <v>5.4600553399911026E-5</v>
      </c>
      <c r="BI9" s="108">
        <f>(AB9-AB8)*1000/(('Measured Data'!$H12*$J8+'Measured Data'!$H13*$E9)*0.5*($C9-$C8))</f>
        <v>-1.4004245246107465E-3</v>
      </c>
      <c r="BJ9" s="108">
        <f>(AC9-AC8)*1000/(('Measured Data'!$H12*$J8+'Measured Data'!$H13*$E9)*0.5*($C9-$C8))</f>
        <v>1.1922534653247485E-3</v>
      </c>
      <c r="BK9" s="108">
        <f>(AD9-AD8)*1000/(('Measured Data'!$H12*$J8+'Measured Data'!$H13*$E9)*0.5*($C9-$C8))</f>
        <v>-1.326539343029505E-2</v>
      </c>
      <c r="BL9" s="108">
        <f>(AE9-AE8)*1000/(('Measured Data'!$H12*$J8+'Measured Data'!$H13*$E9)*0.5*($C9-$C8))</f>
        <v>-7.3408461977168685E-4</v>
      </c>
      <c r="BM9" s="108">
        <f>(AF9-AF8)*1000/(('Measured Data'!$H12*$J8+'Measured Data'!$H13*$E9)*0.5*($C9-$C8))</f>
        <v>4.6463544364327225E-3</v>
      </c>
      <c r="BN9" s="108">
        <f>(AG9-AG8)*1000/(('Measured Data'!$H12*$J8+'Measured Data'!$H13*$E9)*0.5*($C9-$C8))</f>
        <v>5.5624493769372571E-3</v>
      </c>
      <c r="BO9" s="108">
        <f>(AH9-AH8)*1000/(('Measured Data'!$H12*$J8+'Measured Data'!$H13*$E9)*0.5*($C9-$C8))</f>
        <v>3.8375391474485595E-3</v>
      </c>
      <c r="BP9" s="108">
        <f>(AI9-AI8)*1000/(('Measured Data'!$H12*$J8+'Measured Data'!$H13*$E9)*0.5*($C9-$C8))</f>
        <v>-5.2806446091353647E-4</v>
      </c>
      <c r="BQ9" s="108">
        <f>(AJ9-AJ8)*1000/(('Measured Data'!$H12*$J8+'Measured Data'!$H13*$E9)*0.5*($C9-$C8))</f>
        <v>2.1625227412119066E-3</v>
      </c>
      <c r="BR9" s="108">
        <f>(AK9-AK8)*1000/(('Measured Data'!$H12*$J8+'Measured Data'!$H13*$E9)*0.5*($C9-$C8))</f>
        <v>-5.4803427558280183E-3</v>
      </c>
      <c r="BS9" s="108">
        <f>(AL9-AL8)*1000/(('Measured Data'!$H12*$E9+'Measured Data'!$H13*$E9)*0.5*($C9-$C8))</f>
        <v>0</v>
      </c>
      <c r="BT9" s="109">
        <f t="shared" si="8"/>
        <v>-5.3925929963428588E-3</v>
      </c>
      <c r="BU9" s="109">
        <f t="shared" si="9"/>
        <v>-1.2891950606069881E-2</v>
      </c>
      <c r="BV9" s="109">
        <f t="shared" si="10"/>
        <v>-9.0029837383736475E-2</v>
      </c>
      <c r="BW9" s="109">
        <f t="shared" si="11"/>
        <v>0.11756701117290627</v>
      </c>
      <c r="BX9" s="108">
        <f t="shared" si="4"/>
        <v>0.37901424292562724</v>
      </c>
      <c r="BY9" s="108">
        <f t="shared" si="5"/>
        <v>0</v>
      </c>
      <c r="BZ9" s="108">
        <f t="shared" si="6"/>
        <v>-7.9761940217488031E-2</v>
      </c>
      <c r="CA9" s="108">
        <f t="shared" si="12"/>
        <v>3.2226785787463896</v>
      </c>
      <c r="CB9" s="36"/>
    </row>
    <row r="10" spans="1:80">
      <c r="A10" s="94">
        <f>'Measured Data'!$A14</f>
        <v>7</v>
      </c>
      <c r="B10" s="500">
        <f>'Measured Data'!B14</f>
        <v>6.867361111115315</v>
      </c>
      <c r="C10" s="500">
        <f>'Measured Data'!C14</f>
        <v>164.81666666676756</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17383.913315835569</v>
      </c>
      <c r="M10" s="102">
        <f>M9 + ('Measured Data'!P14*$E10-'Measured Data'!P13*$J9)/1000</f>
        <v>0</v>
      </c>
      <c r="N10" s="102">
        <f>N9+(-'Measured Data'!S13*'In Process Calc.'!$J9+'Measured Data'!S14*'In Process Calc.'!$E10)/1000</f>
        <v>778.40260481481482</v>
      </c>
      <c r="O10" s="102">
        <f>O9-(-'Measured Data'!U13*'In Process Calc.'!$J9+'Measured Data'!U14*'In Process Calc.'!$E10-$F9*'Measured Data'!AS14)/1000</f>
        <v>-5.1370069259259257</v>
      </c>
      <c r="P10" s="102">
        <f>P9-(-'Measured Data'!V13*'In Process Calc.'!$J9+'Measured Data'!V14*'In Process Calc.'!$E10-$F9*'Measured Data'!AT14)/1000</f>
        <v>-2.0895218518518512</v>
      </c>
      <c r="Q10" s="102">
        <f>Q9-(-'Measured Data'!W13*'In Process Calc.'!$J9+'Measured Data'!W14*'In Process Calc.'!$E10-$F9*'Measured Data'!AU14)/1000</f>
        <v>2.3941419259259256</v>
      </c>
      <c r="R10" s="102">
        <f>R9-(-'Measured Data'!X13*'In Process Calc.'!$J9+'Measured Data'!X14*'In Process Calc.'!$E10-$F9*'Measured Data'!AV14)/1000</f>
        <v>-1.6930745185185176</v>
      </c>
      <c r="S10" s="102">
        <f>S9-(-'Measured Data'!Y13*'In Process Calc.'!$J9+'Measured Data'!Y14*'In Process Calc.'!$E10-$F9*'Measured Data'!AW14)/1000</f>
        <v>1.0525784444444446</v>
      </c>
      <c r="T10" s="102">
        <v>30.113780010844337</v>
      </c>
      <c r="U10" s="102">
        <f>U9-(-'Measured Data'!AA13*'In Process Calc.'!$J9+'Measured Data'!AA14*'In Process Calc.'!$E10-$G9*'Measured Data'!AY14)/1000</f>
        <v>-4.8020989259259261</v>
      </c>
      <c r="V10" s="102">
        <f>V9-(-'Measured Data'!AB13*'In Process Calc.'!$J9+'Measured Data'!AB14*'In Process Calc.'!$E10-$F9*'Measured Data'!AZ14)/1000</f>
        <v>-24.860478259259256</v>
      </c>
      <c r="W10" s="102">
        <f>W9-(-'Measured Data'!AC13*'In Process Calc.'!$J9+'Measured Data'!AC14*'In Process Calc.'!$E10-$F9*'Measured Data'!BA14)/1000</f>
        <v>-2.3462947407407406</v>
      </c>
      <c r="X10" s="102">
        <f>X9-(-'Measured Data'!AD13*'In Process Calc.'!$J9+'Measured Data'!AD14*'In Process Calc.'!$E10-$F9*'Measured Data'!BB14)/1000</f>
        <v>5.6980851851851644E-2</v>
      </c>
      <c r="Y10" s="102">
        <f>Y9-(-'Measured Data'!AE13*'In Process Calc.'!$J9+'Measured Data'!AE14*'In Process Calc.'!$E10-$F9*'Measured Data'!BC14)/1000</f>
        <v>-2.1961614074074065</v>
      </c>
      <c r="Z10" s="102">
        <f>Z9+(-'Measured Data'!AF13*'In Process Calc.'!$J9+'Measured Data'!AF14*'In Process Calc.'!$E10-$F9*'Measured Data'!BD14)/1000</f>
        <v>20.388424281297283</v>
      </c>
      <c r="AA10" s="102">
        <f>AA9-(-'Measured Data'!AG13*'In Process Calc.'!$J9+'Measured Data'!AG14*'In Process Calc.'!$E10-$F9*'Measured Data'!BE14)/1000</f>
        <v>-1.1454321111111114</v>
      </c>
      <c r="AB10" s="102">
        <f>AB9-(-'Measured Data'!AH13*'In Process Calc.'!$J9+'Measured Data'!AH14*'In Process Calc.'!$E10-$F9*'Measured Data'!BF14)/1000</f>
        <v>-2.8056807777777779</v>
      </c>
      <c r="AC10" s="102">
        <f>AC9-(-'Measured Data'!AI13*'In Process Calc.'!$J9+'Measured Data'!AI14*'In Process Calc.'!$E10-$F9*'Measured Data'!BG14)/1000</f>
        <v>1.0354489259259259</v>
      </c>
      <c r="AD10" s="102">
        <f>AD9-(-'Measured Data'!AJ13*'In Process Calc.'!$J9+'Measured Data'!AJ14*'In Process Calc.'!$E10-$F9*'Measured Data'!BH14)/1000</f>
        <v>-13.018127407407407</v>
      </c>
      <c r="AE10" s="102">
        <f>AE9-(-'Measured Data'!AK13*'In Process Calc.'!$J9+'Measured Data'!AK14*'In Process Calc.'!$E10-$F9*'Measured Data'!BI14)/1000</f>
        <v>-1.2283965185185184</v>
      </c>
      <c r="AF10" s="102">
        <f>AF9-(-'Measured Data'!AL13*'In Process Calc.'!$J9+'Measured Data'!AL14*'In Process Calc.'!$E10-$F9*'Measured Data'!BJ14)/1000</f>
        <v>3.5482247407407419</v>
      </c>
      <c r="AG10" s="102">
        <f>AG9-(-'Measured Data'!AM13*'In Process Calc.'!$J9+'Measured Data'!AM14*'In Process Calc.'!$E10-$F9*'Measured Data'!BK14)/1000</f>
        <v>6.7156125555555555</v>
      </c>
      <c r="AH10" s="102">
        <f>AH9-(-'Measured Data'!AN13*'In Process Calc.'!$J9+'Measured Data'!AN14*'In Process Calc.'!$E10-$F9*'Measured Data'!BL14)/1000</f>
        <v>3.1271970370370363</v>
      </c>
      <c r="AI10" s="102">
        <f>AI9-(-'Measured Data'!AO13*'In Process Calc.'!$J9+'Measured Data'!AO14*'In Process Calc.'!$E10-$F9*'Measured Data'!BM14)/1000</f>
        <v>-0.7970314814814814</v>
      </c>
      <c r="AJ10" s="102">
        <f>AJ9-(-'Measured Data'!AP13*'In Process Calc.'!$J9+'Measured Data'!AP14*'In Process Calc.'!$E10-$F9*'Measured Data'!BN14)/1000</f>
        <v>1.6250977407407408</v>
      </c>
      <c r="AK10" s="102">
        <f>AK9-(-'Measured Data'!AQ13*'In Process Calc.'!$J9+'Measured Data'!AQ14*'In Process Calc.'!$E10-$F9*'Measured Data'!BO14)/1000</f>
        <v>-7.2903053703703709</v>
      </c>
      <c r="AL10" s="102">
        <f>AL9-(-'Measured Data'!AR13*'In Process Calc.'!$J9+'Measured Data'!AR14*'In Process Calc.'!$E10-'In Process Calc.'!$F9*'Measured Data'!BP14)/1000</f>
        <v>0</v>
      </c>
      <c r="AM10" s="101">
        <f t="shared" si="14"/>
        <v>-34.930767925925913</v>
      </c>
      <c r="AN10" s="101">
        <f t="shared" si="2"/>
        <v>-53.085902259259242</v>
      </c>
      <c r="AO10" s="101">
        <f t="shared" si="7"/>
        <v>-163.62817411111109</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1.5490074064633326E-2</v>
      </c>
      <c r="AS10" s="108">
        <f t="shared" si="3"/>
        <v>1.5578763516628199E-2</v>
      </c>
      <c r="AT10" s="108">
        <f>('Measured Data'!$I14*$E10-'Measured Data'!$I13*$J9)/(('Measured Data'!$H13*$J9+'Measured Data'!$H14*$E10)*0.5*($C10-$C9))</f>
        <v>8.8689451994873201E-5</v>
      </c>
      <c r="AU10" s="108">
        <f>(N10-N9)*1000/(('Measured Data'!$H13*$J9+'Measured Data'!$H14*$E10)*0.5*($C10-$C9))</f>
        <v>1.0515568343755122</v>
      </c>
      <c r="AV10" s="108">
        <f>(O10-O9)*1000/(('Measured Data'!$H13*$J9+'Measured Data'!$H14*$E10)*0.5*($C10-$C9))</f>
        <v>-7.3379943847124516E-3</v>
      </c>
      <c r="AW10" s="108">
        <f>(P10-P9)*1000/(('Measured Data'!$H13*$J9+'Measured Data'!$H14*$E10)*0.5*($C10-$C9))</f>
        <v>-2.9320709140495172E-3</v>
      </c>
      <c r="AX10" s="108">
        <f>(Q10-Q9)*1000/(('Measured Data'!$H13*$J9+'Measured Data'!$H14*$E10)*0.5*($C10-$C9))</f>
        <v>4.1794664074798222E-3</v>
      </c>
      <c r="AY10" s="108">
        <f>(R10-R9)*1000/(('Measured Data'!$H13*$J9+'Measured Data'!$H14*$E10)*0.5*($C10-$C9))</f>
        <v>-3.4984196627097217E-3</v>
      </c>
      <c r="AZ10" s="108">
        <f>(S10-S9)*1000/(('Measured Data'!$H13*$J9+'Measured Data'!$H14*$E10)*0.5*($C10-$C9))</f>
        <v>4.8590345200878732E-4</v>
      </c>
      <c r="BA10" s="507">
        <v>3.9303993792439866E-2</v>
      </c>
      <c r="BB10" s="108">
        <f>(U10-U9)*1000/(('Measured Data'!$H13*$J9+'Measured Data'!$H14*$E10)*0.5*($C10-$C9))</f>
        <v>-4.9377992892371946E-3</v>
      </c>
      <c r="BC10" s="108">
        <f>(V10-V9)*1000/(('Measured Data'!$H13*$J9+'Measured Data'!$H14*$E10)*0.5*($C10-$C9))</f>
        <v>-1.4863630443489359E-2</v>
      </c>
      <c r="BD10" s="108">
        <f>(W10-W9)*1000/(('Measured Data'!$H13*$J9+'Measured Data'!$H14*$E10)*0.5*($C10-$C9))</f>
        <v>-2.8604498629301113E-4</v>
      </c>
      <c r="BE10" s="108">
        <f>(X10-X9)*1000/(('Measured Data'!$H13*$J9+'Measured Data'!$H14*$E10)*0.5*($C10-$C9))</f>
        <v>2.4692270382677601E-3</v>
      </c>
      <c r="BF10" s="108">
        <f>(Y10-Y9)*1000/(('Measured Data'!$H13*$J9+'Measured Data'!$H14*$E10)*0.5*($C10-$C9))</f>
        <v>-2.0591918979413629E-3</v>
      </c>
      <c r="BG10" s="507">
        <v>6.7571345057275255E-3</v>
      </c>
      <c r="BH10" s="108">
        <f>(AA10-AA9)*1000/(('Measured Data'!$H13*$J9+'Measured Data'!$H14*$E10)*0.5*($C10-$C9))</f>
        <v>-1.2211742713984638E-3</v>
      </c>
      <c r="BI10" s="108">
        <f>(AB10-AB9)*1000/(('Measured Data'!$H13*$J9+'Measured Data'!$H14*$E10)*0.5*($C10-$C9))</f>
        <v>-2.205033985372497E-3</v>
      </c>
      <c r="BJ10" s="108">
        <f>(AC10-AC9)*1000/(('Measured Data'!$H13*$J9+'Measured Data'!$H14*$E10)*0.5*($C10-$C9))</f>
        <v>5.6939561763752619E-4</v>
      </c>
      <c r="BK10" s="108">
        <f>(AD10-AD9)*1000/(('Measured Data'!$H13*$J9+'Measured Data'!$H14*$E10)*0.5*($C10-$C9))</f>
        <v>-9.4734908084341731E-3</v>
      </c>
      <c r="BL10" s="108">
        <f>(AE10-AE9)*1000/(('Measured Data'!$H13*$J9+'Measured Data'!$H14*$E10)*0.5*($C10-$C9))</f>
        <v>-9.8520709862666899E-4</v>
      </c>
      <c r="BM10" s="108">
        <f>(AF10-AF9)*1000/(('Measured Data'!$H13*$J9+'Measured Data'!$H14*$E10)*0.5*($C10-$C9))</f>
        <v>1.6194756564874126E-3</v>
      </c>
      <c r="BN10" s="108">
        <f>(AG10-AG9)*1000/(('Measured Data'!$H13*$J9+'Measured Data'!$H14*$E10)*0.5*($C10-$C9))</f>
        <v>3.5920605653111345E-3</v>
      </c>
      <c r="BO10" s="108">
        <f>(AH10-AH9)*1000/(('Measured Data'!$H13*$J9+'Measured Data'!$H14*$E10)*0.5*($C10-$C9))</f>
        <v>2.0402359040645785E-3</v>
      </c>
      <c r="BP10" s="108">
        <f>(AI10-AI9)*1000/(('Measured Data'!$H13*$J9+'Measured Data'!$H14*$E10)*0.5*($C10-$C9))</f>
        <v>-8.4894317888499591E-4</v>
      </c>
      <c r="BQ10" s="108">
        <f>(AJ10-AJ9)*1000/(('Measured Data'!$H13*$J9+'Measured Data'!$H14*$E10)*0.5*($C10-$C9))</f>
        <v>1.0659544613691985E-3</v>
      </c>
      <c r="BR10" s="108">
        <f>(AK10-AK9)*1000/(('Measured Data'!$H13*$J9+'Measured Data'!$H14*$E10)*0.5*($C10-$C9))</f>
        <v>-5.557897777595442E-3</v>
      </c>
      <c r="BS10" s="108">
        <f>(AL10-AL9)*1000/(('Measured Data'!$H13*$E10+'Measured Data'!$H14*$E10)*0.5*($C10-$C9))</f>
        <v>0</v>
      </c>
      <c r="BT10" s="109">
        <f t="shared" si="8"/>
        <v>-2.8059323511993195E-2</v>
      </c>
      <c r="BU10" s="109">
        <f t="shared" si="9"/>
        <v>-3.019481993571492E-2</v>
      </c>
      <c r="BV10" s="109">
        <f t="shared" si="10"/>
        <v>-0.15222013193820552</v>
      </c>
      <c r="BW10" s="109">
        <f t="shared" si="11"/>
        <v>7.3923720406717769E-2</v>
      </c>
      <c r="BX10" s="108">
        <f t="shared" si="4"/>
        <v>0.17191979373422511</v>
      </c>
      <c r="BY10" s="108">
        <f t="shared" si="5"/>
        <v>0</v>
      </c>
      <c r="BZ10" s="108">
        <f t="shared" si="6"/>
        <v>-0.12563098079327964</v>
      </c>
      <c r="CA10" s="108">
        <f t="shared" si="12"/>
        <v>1.9185653878405546</v>
      </c>
      <c r="CB10" s="36"/>
    </row>
    <row r="11" spans="1:80">
      <c r="A11" s="94">
        <f>'Measured Data'!$A15</f>
        <v>8</v>
      </c>
      <c r="B11" s="500">
        <f>'Measured Data'!B15</f>
        <v>7.8833333333313931</v>
      </c>
      <c r="C11" s="500">
        <f>'Measured Data'!C15</f>
        <v>189.19999999995343</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22575.925730425577</v>
      </c>
      <c r="M11" s="102">
        <f>M10 + ('Measured Data'!P15*$E11-'Measured Data'!P14*$J10)/1000</f>
        <v>0</v>
      </c>
      <c r="N11" s="102">
        <f>N10+(-'Measured Data'!S14*'In Process Calc.'!$J10+'Measured Data'!S15*'In Process Calc.'!$E11)/1000</f>
        <v>1416.7101851851853</v>
      </c>
      <c r="O11" s="102">
        <f>O10-(-'Measured Data'!U14*'In Process Calc.'!$J10+'Measured Data'!U15*'In Process Calc.'!$E11-$F10*'Measured Data'!AS15)/1000</f>
        <v>-9.1255826296296298</v>
      </c>
      <c r="P11" s="102">
        <f>P10-(-'Measured Data'!V14*'In Process Calc.'!$J10+'Measured Data'!V15*'In Process Calc.'!$E11-$F10*'Measured Data'!AT15)/1000</f>
        <v>-1.9321040370370364</v>
      </c>
      <c r="Q11" s="102">
        <f>Q10-(-'Measured Data'!W14*'In Process Calc.'!$J10+'Measured Data'!W15*'In Process Calc.'!$E11-$F10*'Measured Data'!AU15)/1000</f>
        <v>10.069861481481482</v>
      </c>
      <c r="R11" s="102">
        <f>R10-(-'Measured Data'!X14*'In Process Calc.'!$J10+'Measured Data'!X15*'In Process Calc.'!$E11-$F10*'Measured Data'!AV15)/1000</f>
        <v>-3.2334283703703703</v>
      </c>
      <c r="S11" s="102">
        <f>S10-(-'Measured Data'!Y14*'In Process Calc.'!$J10+'Measured Data'!Y15*'In Process Calc.'!$E11-$F10*'Measured Data'!AW15)/1000</f>
        <v>1.3124135925925926</v>
      </c>
      <c r="T11" s="102">
        <v>41.34882051236805</v>
      </c>
      <c r="U11" s="102">
        <f>U10-(-'Measured Data'!AA14*'In Process Calc.'!$J10+'Measured Data'!AA15*'In Process Calc.'!$E11-$G10*'Measured Data'!AY15)/1000</f>
        <v>-7.5052022962962965</v>
      </c>
      <c r="V11" s="102">
        <f>V10-(-'Measured Data'!AB14*'In Process Calc.'!$J10+'Measured Data'!AB15*'In Process Calc.'!$E11-$F10*'Measured Data'!AZ15)/1000</f>
        <v>-24.228604629629629</v>
      </c>
      <c r="W11" s="102">
        <f>W10-(-'Measured Data'!AC14*'In Process Calc.'!$J10+'Measured Data'!AC15*'In Process Calc.'!$E11-$F10*'Measured Data'!BA15)/1000</f>
        <v>-1.6432894074074071</v>
      </c>
      <c r="X11" s="102">
        <f>X10-(-'Measured Data'!AD14*'In Process Calc.'!$J10+'Measured Data'!AD15*'In Process Calc.'!$E11-$F10*'Measured Data'!BB15)/1000</f>
        <v>0.46403788888888903</v>
      </c>
      <c r="Y11" s="102">
        <f>Y10-(-'Measured Data'!AE14*'In Process Calc.'!$J10+'Measured Data'!AE15*'In Process Calc.'!$E11-$F10*'Measured Data'!BC15)/1000</f>
        <v>-1.6563149259259258</v>
      </c>
      <c r="Z11" s="102">
        <f>Z10+(-'Measured Data'!AF14*'In Process Calc.'!$J10+'Measured Data'!AF15*'In Process Calc.'!$E11-$F10*'Measured Data'!BD15)/1000</f>
        <v>20.889226037760675</v>
      </c>
      <c r="AA11" s="102">
        <f>AA10-(-'Measured Data'!AG14*'In Process Calc.'!$J10+'Measured Data'!AG15*'In Process Calc.'!$E11-$F10*'Measured Data'!BE15)/1000</f>
        <v>0.18156662962962922</v>
      </c>
      <c r="AB11" s="102">
        <f>AB10-(-'Measured Data'!AH14*'In Process Calc.'!$J10+'Measured Data'!AH15*'In Process Calc.'!$E11-$F10*'Measured Data'!BF15)/1000</f>
        <v>-2.2689813703703714</v>
      </c>
      <c r="AC11" s="102">
        <f>AC10-(-'Measured Data'!AI14*'In Process Calc.'!$J10+'Measured Data'!AI15*'In Process Calc.'!$E11-$F10*'Measured Data'!BG15)/1000</f>
        <v>1.2833422592592592</v>
      </c>
      <c r="AD11" s="102">
        <f>AD10-(-'Measured Data'!AJ14*'In Process Calc.'!$J10+'Measured Data'!AJ15*'In Process Calc.'!$E11-$F10*'Measured Data'!BH15)/1000</f>
        <v>-15.781331851851853</v>
      </c>
      <c r="AE11" s="102">
        <f>AE10-(-'Measured Data'!AK14*'In Process Calc.'!$J10+'Measured Data'!AK15*'In Process Calc.'!$E11-$F10*'Measured Data'!BI15)/1000</f>
        <v>-0.88764625925925933</v>
      </c>
      <c r="AF11" s="102">
        <f>AF10-(-'Measured Data'!AL14*'In Process Calc.'!$J10+'Measured Data'!AL15*'In Process Calc.'!$E11-$F10*'Measured Data'!BJ15)/1000</f>
        <v>4.4561549259259268</v>
      </c>
      <c r="AG11" s="102">
        <f>AG10-(-'Measured Data'!AM14*'In Process Calc.'!$J10+'Measured Data'!AM15*'In Process Calc.'!$E11-$F10*'Measured Data'!BK15)/1000</f>
        <v>7.5166258148148142</v>
      </c>
      <c r="AH11" s="102">
        <f>AH10-(-'Measured Data'!AN14*'In Process Calc.'!$J10+'Measured Data'!AN15*'In Process Calc.'!$E11-$F10*'Measured Data'!BL15)/1000</f>
        <v>4.2374001851851846</v>
      </c>
      <c r="AI11" s="102">
        <f>AI10-(-'Measured Data'!AO14*'In Process Calc.'!$J10+'Measured Data'!AO15*'In Process Calc.'!$E11-$F10*'Measured Data'!BM15)/1000</f>
        <v>-0.71779159259259262</v>
      </c>
      <c r="AJ11" s="102">
        <f>AJ10-(-'Measured Data'!AP14*'In Process Calc.'!$J10+'Measured Data'!AP15*'In Process Calc.'!$E11-$F10*'Measured Data'!BN15)/1000</f>
        <v>2.125324148148148</v>
      </c>
      <c r="AK11" s="102">
        <f>AK10-(-'Measured Data'!AQ14*'In Process Calc.'!$J10+'Measured Data'!AQ15*'In Process Calc.'!$E11-$F10*'Measured Data'!BO15)/1000</f>
        <v>-6.9291575185185188</v>
      </c>
      <c r="AL11" s="102">
        <f>AL10-(-'Measured Data'!AR14*'In Process Calc.'!$J10+'Measured Data'!AR15*'In Process Calc.'!$E11-'In Process Calc.'!$F10*'Measured Data'!BP15)/1000</f>
        <v>0</v>
      </c>
      <c r="AM11" s="101">
        <f t="shared" si="14"/>
        <v>-16.677980777777787</v>
      </c>
      <c r="AN11" s="101">
        <f t="shared" si="2"/>
        <v>-41.58489525925927</v>
      </c>
      <c r="AO11" s="101">
        <f t="shared" si="7"/>
        <v>-93.834856444444469</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1.0395578626986469E-2</v>
      </c>
      <c r="AS11" s="108">
        <f t="shared" si="3"/>
        <v>1.0521149162244073E-2</v>
      </c>
      <c r="AT11" s="108">
        <f>('Measured Data'!$I15*$E11-'Measured Data'!$I14*$J10)/(('Measured Data'!$H14*$J10+'Measured Data'!$H15*$E11)*0.5*($C11-$C10))</f>
        <v>1.2557053525760458E-4</v>
      </c>
      <c r="AU11" s="108">
        <f>(N11-N10)*1000/(('Measured Data'!$H14*$J10+'Measured Data'!$H15*$E11)*0.5*($C11-$C10))</f>
        <v>1.2780355881459609</v>
      </c>
      <c r="AV11" s="108">
        <f>(O11-O10)*1000/(('Measured Data'!$H14*$J10+'Measured Data'!$H15*$E11)*0.5*($C11-$C10))</f>
        <v>-7.9860271945851932E-3</v>
      </c>
      <c r="AW11" s="108">
        <f>(P11-P10)*1000/(('Measured Data'!$H14*$J10+'Measured Data'!$H15*$E11)*0.5*($C11-$C10))</f>
        <v>3.151859318743611E-4</v>
      </c>
      <c r="AX11" s="108">
        <f>(Q11-Q10)*1000/(('Measured Data'!$H14*$J10+'Measured Data'!$H15*$E11)*0.5*($C11-$C10))</f>
        <v>1.5368519908436386E-2</v>
      </c>
      <c r="AY11" s="108">
        <f>(R11-R10)*1000/(('Measured Data'!$H14*$J10+'Measured Data'!$H15*$E11)*0.5*($C11-$C10))</f>
        <v>-3.084135456862514E-3</v>
      </c>
      <c r="AZ11" s="108">
        <f>(S11-S10)*1000/(('Measured Data'!$H14*$J10+'Measured Data'!$H15*$E11)*0.5*($C11-$C10))</f>
        <v>5.2024850808105158E-4</v>
      </c>
      <c r="BA11" s="507">
        <v>3.3393142088633906E-2</v>
      </c>
      <c r="BB11" s="108">
        <f>(U11-U10)*1000/(('Measured Data'!$H14*$J10+'Measured Data'!$H15*$E11)*0.5*($C11-$C10))</f>
        <v>-5.4122219632204557E-3</v>
      </c>
      <c r="BC11" s="108">
        <f>(V11-V10)*1000/(('Measured Data'!$H14*$J10+'Measured Data'!$H15*$E11)*0.5*($C11-$C10))</f>
        <v>1.2651533691783012E-3</v>
      </c>
      <c r="BD11" s="108">
        <f>(W11-W10)*1000/(('Measured Data'!$H14*$J10+'Measured Data'!$H15*$E11)*0.5*($C11-$C10))</f>
        <v>1.407575066138318E-3</v>
      </c>
      <c r="BE11" s="108">
        <f>(X11-X10)*1000/(('Measured Data'!$H14*$J10+'Measured Data'!$H15*$E11)*0.5*($C11-$C10))</f>
        <v>8.1501989908489393E-4</v>
      </c>
      <c r="BF11" s="108">
        <f>(Y11-Y10)*1000/(('Measured Data'!$H14*$J10+'Measured Data'!$H15*$E11)*0.5*($C11-$C10))</f>
        <v>1.0808942846462521E-3</v>
      </c>
      <c r="BG11" s="507">
        <v>3.3011045832648299E-4</v>
      </c>
      <c r="BH11" s="108">
        <f>(AA11-AA10)*1000/(('Measured Data'!$H14*$J10+'Measured Data'!$H15*$E11)*0.5*($C11-$C10))</f>
        <v>2.6569504549945745E-3</v>
      </c>
      <c r="BI11" s="108">
        <f>(AB11-AB10)*1000/(('Measured Data'!$H14*$J10+'Measured Data'!$H15*$E11)*0.5*($C11-$C10))</f>
        <v>1.0745931333065414E-3</v>
      </c>
      <c r="BJ11" s="108">
        <f>(AC11-AC10)*1000/(('Measured Data'!$H14*$J10+'Measured Data'!$H15*$E11)*0.5*($C11-$C10))</f>
        <v>4.963383043019797E-4</v>
      </c>
      <c r="BK11" s="108">
        <f>(AD11-AD10)*1000/(('Measured Data'!$H14*$J10+'Measured Data'!$H15*$E11)*0.5*($C11-$C10))</f>
        <v>-5.5325578544343675E-3</v>
      </c>
      <c r="BL11" s="108">
        <f>(AE11-AE10)*1000/(('Measured Data'!$H14*$J10+'Measured Data'!$H15*$E11)*0.5*($C11-$C10))</f>
        <v>6.8225879089608683E-4</v>
      </c>
      <c r="BM11" s="108">
        <f>(AF11-AF10)*1000/(('Measured Data'!$H14*$J10+'Measured Data'!$H15*$E11)*0.5*($C11-$C10))</f>
        <v>1.8178807896113804E-3</v>
      </c>
      <c r="BN11" s="108">
        <f>(AG11-AG10)*1000/(('Measured Data'!$H14*$J10+'Measured Data'!$H15*$E11)*0.5*($C11-$C10))</f>
        <v>1.603809015265205E-3</v>
      </c>
      <c r="BO11" s="108">
        <f>(AH11-AH10)*1000/(('Measured Data'!$H14*$J10+'Measured Data'!$H15*$E11)*0.5*($C11-$C10))</f>
        <v>2.2228768340518969E-3</v>
      </c>
      <c r="BP11" s="108">
        <f>(AI11-AI10)*1000/(('Measured Data'!$H14*$J10+'Measured Data'!$H15*$E11)*0.5*($C11-$C10))</f>
        <v>1.5865611049452051E-4</v>
      </c>
      <c r="BQ11" s="108">
        <f>(AJ11-AJ10)*1000/(('Measured Data'!$H14*$J10+'Measured Data'!$H15*$E11)*0.5*($C11-$C10))</f>
        <v>1.0015659698512684E-3</v>
      </c>
      <c r="BR11" s="108">
        <f>(AK11-AK10)*1000/(('Measured Data'!$H14*$J10+'Measured Data'!$H15*$E11)*0.5*($C11-$C10))</f>
        <v>7.2309936689349263E-4</v>
      </c>
      <c r="BS11" s="108">
        <f>(AL11-AL10)*1000/(('Measured Data'!$H14*$E11+'Measured Data'!$H15*$E11)*0.5*($C11-$C10))</f>
        <v>0</v>
      </c>
      <c r="BT11" s="109">
        <f t="shared" si="8"/>
        <v>3.5867287649188062E-2</v>
      </c>
      <c r="BU11" s="109">
        <f t="shared" si="9"/>
        <v>3.8320756989338886E-2</v>
      </c>
      <c r="BV11" s="109">
        <f t="shared" si="10"/>
        <v>9.0715190631273548E-2</v>
      </c>
      <c r="BW11" s="109">
        <f t="shared" si="11"/>
        <v>0.15407092385858145</v>
      </c>
      <c r="BX11" s="108">
        <f t="shared" si="4"/>
        <v>9.8855764291448153E-3</v>
      </c>
      <c r="BY11" s="108">
        <f t="shared" si="5"/>
        <v>0</v>
      </c>
      <c r="BZ11" s="108">
        <f t="shared" si="6"/>
        <v>-0.1620758522469985</v>
      </c>
      <c r="CA11" s="108">
        <f t="shared" si="12"/>
        <v>1.0222341012677736</v>
      </c>
      <c r="CB11" s="36"/>
    </row>
    <row r="12" spans="1:80">
      <c r="A12" s="94">
        <f>'Measured Data'!$A16</f>
        <v>9</v>
      </c>
      <c r="B12" s="500">
        <f>'Measured Data'!B16</f>
        <v>8.8812499999985448</v>
      </c>
      <c r="C12" s="500">
        <f>'Measured Data'!C16</f>
        <v>213.14999999996508</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27230.16513016052</v>
      </c>
      <c r="M12" s="102">
        <f>M11 + ('Measured Data'!P16*$E12-'Measured Data'!P15*$J11)/1000</f>
        <v>0</v>
      </c>
      <c r="N12" s="102">
        <f>N11+(-'Measured Data'!S15*'In Process Calc.'!$J11+'Measured Data'!S16*'In Process Calc.'!$E12)/1000</f>
        <v>2255.076229166667</v>
      </c>
      <c r="O12" s="102">
        <f>O11-(-'Measured Data'!U15*'In Process Calc.'!$J11+'Measured Data'!U16*'In Process Calc.'!$E12-$F11*'Measured Data'!AS16)/1000</f>
        <v>-11.882110166666667</v>
      </c>
      <c r="P12" s="102">
        <f>P11-(-'Measured Data'!V15*'In Process Calc.'!$J11+'Measured Data'!V16*'In Process Calc.'!$E12-$F11*'Measured Data'!AT16)/1000</f>
        <v>-1.0961921944444437</v>
      </c>
      <c r="Q12" s="102">
        <f>Q11-(-'Measured Data'!W15*'In Process Calc.'!$J11+'Measured Data'!W16*'In Process Calc.'!$E12-$F11*'Measured Data'!AU16)/1000</f>
        <v>12.884201666666666</v>
      </c>
      <c r="R12" s="102">
        <f>R11-(-'Measured Data'!X15*'In Process Calc.'!$J11+'Measured Data'!X16*'In Process Calc.'!$E12-$F11*'Measured Data'!AV16)/1000</f>
        <v>-2.3334581111111117</v>
      </c>
      <c r="S12" s="102">
        <f>S11-(-'Measured Data'!Y15*'In Process Calc.'!$J11+'Measured Data'!Y16*'In Process Calc.'!$E12-$F11*'Measured Data'!AW16)/1000</f>
        <v>1.6568463055555556</v>
      </c>
      <c r="T12" s="102">
        <v>53.032254089398172</v>
      </c>
      <c r="U12" s="102">
        <f>U11-(-'Measured Data'!AA15*'In Process Calc.'!$J11+'Measured Data'!AA16*'In Process Calc.'!$E12-$G11*'Measured Data'!AY16)/1000</f>
        <v>-9.7245065555555552</v>
      </c>
      <c r="V12" s="102">
        <f>V11-(-'Measured Data'!AB15*'In Process Calc.'!$J11+'Measured Data'!AB16*'In Process Calc.'!$E12-$F11*'Measured Data'!AZ16)/1000</f>
        <v>-18.69282872222222</v>
      </c>
      <c r="W12" s="102">
        <f>W11-(-'Measured Data'!AC15*'In Process Calc.'!$J11+'Measured Data'!AC16*'In Process Calc.'!$E12-$F11*'Measured Data'!BA16)/1000</f>
        <v>-0.50888786111111095</v>
      </c>
      <c r="X12" s="102">
        <f>X11-(-'Measured Data'!AD15*'In Process Calc.'!$J11+'Measured Data'!AD16*'In Process Calc.'!$E12-$F11*'Measured Data'!BB16)/1000</f>
        <v>0.84820372222222207</v>
      </c>
      <c r="Y12" s="102">
        <f>Y11-(-'Measured Data'!AE15*'In Process Calc.'!$J11+'Measured Data'!AE16*'In Process Calc.'!$E12-$F11*'Measured Data'!BC16)/1000</f>
        <v>-0.28179130555555498</v>
      </c>
      <c r="Z12" s="102">
        <f>Z11+(-'Measured Data'!AF15*'In Process Calc.'!$J11+'Measured Data'!AF16*'In Process Calc.'!$E12-$F11*'Measured Data'!BD16)/1000</f>
        <v>13.621934823366885</v>
      </c>
      <c r="AA12" s="102">
        <f>AA11-(-'Measured Data'!AG15*'In Process Calc.'!$J11+'Measured Data'!AG16*'In Process Calc.'!$E12-$F11*'Measured Data'!BE16)/1000</f>
        <v>2.4727908611111094</v>
      </c>
      <c r="AB12" s="102">
        <f>AB11-(-'Measured Data'!AH15*'In Process Calc.'!$J11+'Measured Data'!AH16*'In Process Calc.'!$E12-$F11*'Measured Data'!BF16)/1000</f>
        <v>-0.811971555555556</v>
      </c>
      <c r="AC12" s="102">
        <f>AC11-(-'Measured Data'!AI15*'In Process Calc.'!$J11+'Measured Data'!AI16*'In Process Calc.'!$E12-$F11*'Measured Data'!BG16)/1000</f>
        <v>1.6079849999999998</v>
      </c>
      <c r="AD12" s="102">
        <f>AD11-(-'Measured Data'!AJ15*'In Process Calc.'!$J11+'Measured Data'!AJ16*'In Process Calc.'!$E12-$F11*'Measured Data'!BH16)/1000</f>
        <v>-12.50024777777778</v>
      </c>
      <c r="AE12" s="102">
        <f>AE11-(-'Measured Data'!AK15*'In Process Calc.'!$J11+'Measured Data'!AK16*'In Process Calc.'!$E12-$F11*'Measured Data'!BI16)/1000</f>
        <v>-0.13536619444444475</v>
      </c>
      <c r="AF12" s="102">
        <f>AF11-(-'Measured Data'!AL15*'In Process Calc.'!$J11+'Measured Data'!AL16*'In Process Calc.'!$E12-$F11*'Measured Data'!BJ16)/1000</f>
        <v>5.65041525</v>
      </c>
      <c r="AG12" s="102">
        <f>AG11-(-'Measured Data'!AM15*'In Process Calc.'!$J11+'Measured Data'!AM16*'In Process Calc.'!$E12-$F11*'Measured Data'!BK16)/1000</f>
        <v>9.7241768611111112</v>
      </c>
      <c r="AH12" s="102">
        <f>AH11-(-'Measured Data'!AN15*'In Process Calc.'!$J11+'Measured Data'!AN16*'In Process Calc.'!$E12-$F11*'Measured Data'!BL16)/1000</f>
        <v>5.5080714444444432</v>
      </c>
      <c r="AI12" s="102">
        <f>AI11-(-'Measured Data'!AO15*'In Process Calc.'!$J11+'Measured Data'!AO16*'In Process Calc.'!$E12-$F11*'Measured Data'!BM16)/1000</f>
        <v>-0.34993280555555561</v>
      </c>
      <c r="AJ12" s="102">
        <f>AJ11-(-'Measured Data'!AP15*'In Process Calc.'!$J11+'Measured Data'!AP16*'In Process Calc.'!$E12-$F11*'Measured Data'!BN16)/1000</f>
        <v>2.79022975</v>
      </c>
      <c r="AK12" s="102">
        <f>AK11-(-'Measured Data'!AQ15*'In Process Calc.'!$J11+'Measured Data'!AQ16*'In Process Calc.'!$E12-$F11*'Measured Data'!BO16)/1000</f>
        <v>-4.8899358611111126</v>
      </c>
      <c r="AL12" s="102">
        <f>AL11-(-'Measured Data'!AR15*'In Process Calc.'!$J11+'Measured Data'!AR16*'In Process Calc.'!$E12-'In Process Calc.'!$F11*'Measured Data'!BP16)/1000</f>
        <v>0</v>
      </c>
      <c r="AM12" s="101">
        <f t="shared" si="14"/>
        <v>6.9986552222222222</v>
      </c>
      <c r="AN12" s="101">
        <f t="shared" si="2"/>
        <v>-17.383702722222225</v>
      </c>
      <c r="AO12" s="101">
        <f t="shared" si="7"/>
        <v>34.563817055555532</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7.6489957706565624E-3</v>
      </c>
      <c r="AS12" s="108">
        <f t="shared" si="3"/>
        <v>7.7228739597883572E-3</v>
      </c>
      <c r="AT12" s="108">
        <f>('Measured Data'!$I16*$E12-'Measured Data'!$I15*$J11)/(('Measured Data'!$H15*$J11+'Measured Data'!$H16*$E12)*0.5*($C12-$C11))</f>
        <v>7.3878189131795105E-5</v>
      </c>
      <c r="AU12" s="108">
        <f>(N12-N11)*1000/(('Measured Data'!$H15*$J11+'Measured Data'!$H16*$E12)*0.5*($C12-$C11))</f>
        <v>1.3778101584206488</v>
      </c>
      <c r="AV12" s="108">
        <f>(O12-O11)*1000/(('Measured Data'!$H15*$J11+'Measured Data'!$H16*$E12)*0.5*($C12-$C11))</f>
        <v>-4.5302069063519624E-3</v>
      </c>
      <c r="AW12" s="108">
        <f>(P12-P11)*1000/(('Measured Data'!$H15*$J11+'Measured Data'!$H16*$E12)*0.5*($C12-$C11))</f>
        <v>1.3737768085149648E-3</v>
      </c>
      <c r="AX12" s="108">
        <f>(Q12-Q11)*1000/(('Measured Data'!$H15*$J11+'Measured Data'!$H16*$E12)*0.5*($C12-$C11))</f>
        <v>4.6252189294122316E-3</v>
      </c>
      <c r="AY12" s="108">
        <f>(R12-R11)*1000/(('Measured Data'!$H15*$J11+'Measured Data'!$H16*$E12)*0.5*($C12-$C11))</f>
        <v>1.4790534210987929E-3</v>
      </c>
      <c r="AZ12" s="108">
        <f>(S12-S11)*1000/(('Measured Data'!$H15*$J11+'Measured Data'!$H16*$E12)*0.5*($C12-$C11))</f>
        <v>5.6605690821995682E-4</v>
      </c>
      <c r="BA12" s="507">
        <v>2.9533231743167482E-2</v>
      </c>
      <c r="BB12" s="108">
        <f>(U12-U11)*1000/(('Measured Data'!$H15*$J11+'Measured Data'!$H16*$E12)*0.5*($C12-$C11))</f>
        <v>-3.647308923095127E-3</v>
      </c>
      <c r="BC12" s="108">
        <f>(V12-V11)*1000/(('Measured Data'!$H15*$J11+'Measured Data'!$H16*$E12)*0.5*($C12-$C11))</f>
        <v>9.0977542980434558E-3</v>
      </c>
      <c r="BD12" s="108">
        <f>(W12-W11)*1000/(('Measured Data'!$H15*$J11+'Measured Data'!$H16*$E12)*0.5*($C12-$C11))</f>
        <v>1.8643288160769701E-3</v>
      </c>
      <c r="BE12" s="108">
        <f>(X12-X11)*1000/(('Measured Data'!$H15*$J11+'Measured Data'!$H16*$E12)*0.5*($C12-$C11))</f>
        <v>6.3135618562396327E-4</v>
      </c>
      <c r="BF12" s="108">
        <f>(Y12-Y11)*1000/(('Measured Data'!$H15*$J11+'Measured Data'!$H16*$E12)*0.5*($C12-$C11))</f>
        <v>2.2589567179288768E-3</v>
      </c>
      <c r="BG12" s="507">
        <v>-9.5454418647481082E-3</v>
      </c>
      <c r="BH12" s="108">
        <f>(AA12-AA11)*1000/(('Measured Data'!$H15*$J11+'Measured Data'!$H16*$E12)*0.5*($C12-$C11))</f>
        <v>3.7655055855583502E-3</v>
      </c>
      <c r="BI12" s="108">
        <f>(AB12-AB11)*1000/(('Measured Data'!$H15*$J11+'Measured Data'!$H16*$E12)*0.5*($C12-$C11))</f>
        <v>2.3945184065861133E-3</v>
      </c>
      <c r="BJ12" s="108">
        <f>(AC12-AC11)*1000/(('Measured Data'!$H15*$J11+'Measured Data'!$H16*$E12)*0.5*($C12-$C11))</f>
        <v>5.3353313777578708E-4</v>
      </c>
      <c r="BK12" s="108">
        <f>(AD12-AD11)*1000/(('Measured Data'!$H15*$J11+'Measured Data'!$H16*$E12)*0.5*($C12-$C11))</f>
        <v>5.3922877725607436E-3</v>
      </c>
      <c r="BL12" s="108">
        <f>(AE12-AE11)*1000/(('Measured Data'!$H15*$J11+'Measured Data'!$H16*$E12)*0.5*($C12-$C11))</f>
        <v>1.2363324143673099E-3</v>
      </c>
      <c r="BM12" s="108">
        <f>(AF12-AF11)*1000/(('Measured Data'!$H15*$J11+'Measured Data'!$H16*$E12)*0.5*($C12-$C11))</f>
        <v>1.962703544735097E-3</v>
      </c>
      <c r="BN12" s="108">
        <f>(AG12-AG11)*1000/(('Measured Data'!$H15*$J11+'Measured Data'!$H16*$E12)*0.5*($C12-$C11))</f>
        <v>3.627993140531291E-3</v>
      </c>
      <c r="BO12" s="108">
        <f>(AH12-AH11)*1000/(('Measured Data'!$H15*$J11+'Measured Data'!$H16*$E12)*0.5*($C12-$C11))</f>
        <v>2.0882808667990805E-3</v>
      </c>
      <c r="BP12" s="108">
        <f>(AI12-AI11)*1000/(('Measured Data'!$H15*$J11+'Measured Data'!$H16*$E12)*0.5*($C12-$C11))</f>
        <v>6.0455641933790329E-4</v>
      </c>
      <c r="BQ12" s="108">
        <f>(AJ12-AJ11)*1000/(('Measured Data'!$H15*$J11+'Measured Data'!$H16*$E12)*0.5*($C12-$C11))</f>
        <v>1.0927371154866485E-3</v>
      </c>
      <c r="BR12" s="108">
        <f>(AK12-AK11)*1000/(('Measured Data'!$H15*$J11+'Measured Data'!$H16*$E12)*0.5*($C12-$C11))</f>
        <v>3.3513527116436717E-3</v>
      </c>
      <c r="BS12" s="108">
        <f>(AL12-AL11)*1000/(('Measured Data'!$H15*$E12+'Measured Data'!$H16*$E12)*0.5*($C12-$C11))</f>
        <v>0</v>
      </c>
      <c r="BT12" s="109">
        <f t="shared" si="8"/>
        <v>3.7740683035428671E-2</v>
      </c>
      <c r="BU12" s="109">
        <f t="shared" si="9"/>
        <v>4.7663177714341379E-2</v>
      </c>
      <c r="BV12" s="109">
        <f t="shared" si="10"/>
        <v>0.17960327817007735</v>
      </c>
      <c r="BW12" s="109">
        <f t="shared" si="11"/>
        <v>0.21143044350460893</v>
      </c>
      <c r="BX12" s="108">
        <f t="shared" si="4"/>
        <v>-0.32321020427967379</v>
      </c>
      <c r="BY12" s="108">
        <f t="shared" si="5"/>
        <v>0</v>
      </c>
      <c r="BZ12" s="108">
        <f t="shared" si="6"/>
        <v>-0.12349846961597531</v>
      </c>
      <c r="CA12" s="108">
        <f t="shared" si="12"/>
        <v>-1.4784291339886881</v>
      </c>
      <c r="CB12" s="36"/>
    </row>
    <row r="13" spans="1:80" ht="12.75" customHeight="1">
      <c r="A13" s="94">
        <f>'Measured Data'!$A17</f>
        <v>10</v>
      </c>
      <c r="B13" s="500">
        <f>'Measured Data'!B17</f>
        <v>9.9277777777824667</v>
      </c>
      <c r="C13" s="500">
        <f>'Measured Data'!C17</f>
        <v>238.2666666667792</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27640.911844966511</v>
      </c>
      <c r="M13" s="102">
        <f>M12 + ('Measured Data'!P17*$E13-'Measured Data'!P16*$J12)/1000</f>
        <v>0</v>
      </c>
      <c r="N13" s="102">
        <f>N12+(-'Measured Data'!S16*'In Process Calc.'!$J12+'Measured Data'!S17*'In Process Calc.'!$E13)/1000</f>
        <v>2668.8415194444447</v>
      </c>
      <c r="O13" s="102">
        <f>O12-(-'Measured Data'!U16*'In Process Calc.'!$J12+'Measured Data'!U17*'In Process Calc.'!$E13-$F12*'Measured Data'!AS17)/1000</f>
        <v>-11.950793416666667</v>
      </c>
      <c r="P13" s="102">
        <f>P12-(-'Measured Data'!V16*'In Process Calc.'!$J12+'Measured Data'!V17*'In Process Calc.'!$E13-$F12*'Measured Data'!AT17)/1000</f>
        <v>-0.68007022222222235</v>
      </c>
      <c r="Q13" s="102">
        <f>Q12-(-'Measured Data'!W16*'In Process Calc.'!$J12+'Measured Data'!W17*'In Process Calc.'!$E13-$F12*'Measured Data'!AU17)/1000</f>
        <v>12.865207999999999</v>
      </c>
      <c r="R13" s="102">
        <f>R12-(-'Measured Data'!X16*'In Process Calc.'!$J12+'Measured Data'!X17*'In Process Calc.'!$E13-$F12*'Measured Data'!AV17)/1000</f>
        <v>-0.86617505555555607</v>
      </c>
      <c r="S13" s="102">
        <f>S12-(-'Measured Data'!Y16*'In Process Calc.'!$J12+'Measured Data'!Y17*'In Process Calc.'!$E13-$F12*'Measured Data'!AW17)/1000</f>
        <v>1.8842701388888889</v>
      </c>
      <c r="T13" s="102">
        <v>62.980321981010789</v>
      </c>
      <c r="U13" s="102">
        <f>U12-(-'Measured Data'!AA16*'In Process Calc.'!$J12+'Measured Data'!AA17*'In Process Calc.'!$E13-$G12*'Measured Data'!AY17)/1000</f>
        <v>-10.960747888888891</v>
      </c>
      <c r="V13" s="102">
        <f>V12-(-'Measured Data'!AB16*'In Process Calc.'!$J12+'Measured Data'!AB17*'In Process Calc.'!$E13-$F12*'Measured Data'!AZ17)/1000</f>
        <v>-12.378621138888887</v>
      </c>
      <c r="W13" s="102">
        <f>W12-(-'Measured Data'!AC16*'In Process Calc.'!$J12+'Measured Data'!AC17*'In Process Calc.'!$E13-$F12*'Measured Data'!BA17)/1000</f>
        <v>-0.32745099999999988</v>
      </c>
      <c r="X13" s="102">
        <f>X12-(-'Measured Data'!AD16*'In Process Calc.'!$J12+'Measured Data'!AD17*'In Process Calc.'!$E13-$F12*'Measured Data'!BB17)/1000</f>
        <v>0.96629552777777783</v>
      </c>
      <c r="Y13" s="102">
        <f>Y12-(-'Measured Data'!AE16*'In Process Calc.'!$J12+'Measured Data'!AE17*'In Process Calc.'!$E13-$F12*'Measured Data'!BC17)/1000</f>
        <v>0.29144227777777776</v>
      </c>
      <c r="Z13" s="102">
        <f>Z12+(-'Measured Data'!AF16*'In Process Calc.'!$J12+'Measured Data'!AF17*'In Process Calc.'!$E13-$F12*'Measured Data'!BD17)/1000</f>
        <v>5.1217775557529119</v>
      </c>
      <c r="AA13" s="102">
        <f>AA12-(-'Measured Data'!AG16*'In Process Calc.'!$J12+'Measured Data'!AG17*'In Process Calc.'!$E13-$F12*'Measured Data'!BE17)/1000</f>
        <v>3.5985168611111087</v>
      </c>
      <c r="AB13" s="102">
        <f>AB12-(-'Measured Data'!AH16*'In Process Calc.'!$J12+'Measured Data'!AH17*'In Process Calc.'!$E13-$F12*'Measured Data'!BF17)/1000</f>
        <v>-8.7548861111110599E-2</v>
      </c>
      <c r="AC13" s="102">
        <f>AC12-(-'Measured Data'!AI16*'In Process Calc.'!$J12+'Measured Data'!AI17*'In Process Calc.'!$E13-$F12*'Measured Data'!BG17)/1000</f>
        <v>1.6079849999999998</v>
      </c>
      <c r="AD13" s="102">
        <f>AD12-(-'Measured Data'!AJ16*'In Process Calc.'!$J12+'Measured Data'!AJ17*'In Process Calc.'!$E13-$F12*'Measured Data'!BH17)/1000</f>
        <v>-11.633586388888892</v>
      </c>
      <c r="AE13" s="102">
        <f>AE12-(-'Measured Data'!AK16*'In Process Calc.'!$J12+'Measured Data'!AK17*'In Process Calc.'!$E13-$F12*'Measured Data'!BI17)/1000</f>
        <v>0.21346180555555566</v>
      </c>
      <c r="AF13" s="102">
        <f>AF12-(-'Measured Data'!AL16*'In Process Calc.'!$J12+'Measured Data'!AL17*'In Process Calc.'!$E13-$F12*'Measured Data'!BJ17)/1000</f>
        <v>5.8315533888888886</v>
      </c>
      <c r="AG13" s="102">
        <f>AG12-(-'Measured Data'!AM16*'In Process Calc.'!$J12+'Measured Data'!AM17*'In Process Calc.'!$E13-$F12*'Measured Data'!BK17)/1000</f>
        <v>9.5063785833333334</v>
      </c>
      <c r="AH13" s="102">
        <f>AH12-(-'Measured Data'!AN16*'In Process Calc.'!$J12+'Measured Data'!AN17*'In Process Calc.'!$E13-$F12*'Measured Data'!BL17)/1000</f>
        <v>5.7944710277777762</v>
      </c>
      <c r="AI13" s="102">
        <f>AI12-(-'Measured Data'!AO16*'In Process Calc.'!$J12+'Measured Data'!AO17*'In Process Calc.'!$E13-$F12*'Measured Data'!BM17)/1000</f>
        <v>-0.14488841666666663</v>
      </c>
      <c r="AJ13" s="102">
        <f>AJ12-(-'Measured Data'!AP16*'In Process Calc.'!$J12+'Measured Data'!AP17*'In Process Calc.'!$E13-$F12*'Measured Data'!BN17)/1000</f>
        <v>2.8955104444444446</v>
      </c>
      <c r="AK13" s="102">
        <f>AK12-(-'Measured Data'!AQ16*'In Process Calc.'!$J12+'Measured Data'!AQ17*'In Process Calc.'!$E13-$F12*'Measured Data'!BO17)/1000</f>
        <v>-3.677895222222225</v>
      </c>
      <c r="AL13" s="102">
        <f>AL12-(-'Measured Data'!AR16*'In Process Calc.'!$J12+'Measured Data'!AR17*'In Process Calc.'!$E13-'In Process Calc.'!$F12*'Measured Data'!BP17)/1000</f>
        <v>0</v>
      </c>
      <c r="AM13" s="101">
        <f t="shared" si="14"/>
        <v>19.463161583333321</v>
      </c>
      <c r="AN13" s="101">
        <f t="shared" si="2"/>
        <v>-4.1212182222222378</v>
      </c>
      <c r="AO13" s="101">
        <f t="shared" si="7"/>
        <v>99.226412583333314</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5.8533818759091494E-4</v>
      </c>
      <c r="AS13" s="108">
        <f t="shared" si="3"/>
        <v>1.0426544828749363E-3</v>
      </c>
      <c r="AT13" s="108">
        <f>('Measured Data'!$I17*$E13-'Measured Data'!$I16*$J12)/(('Measured Data'!$H16*$J12+'Measured Data'!$H17*$E13)*0.5*($C13-$C12))</f>
        <v>4.5731629528402139E-4</v>
      </c>
      <c r="AU13" s="108">
        <f>(N13-N12)*1000/(('Measured Data'!$H16*$J12+'Measured Data'!$H17*$E13)*0.5*($C13-$C12))</f>
        <v>0.58963983488856009</v>
      </c>
      <c r="AV13" s="108">
        <f>(O13-O12)*1000/(('Measured Data'!$H16*$J12+'Measured Data'!$H17*$E13)*0.5*($C13-$C12))</f>
        <v>-9.7877664321289776E-5</v>
      </c>
      <c r="AW13" s="108">
        <f>(P13-P12)*1000/(('Measured Data'!$H16*$J12+'Measured Data'!$H17*$E13)*0.5*($C13-$C12))</f>
        <v>5.929982450434421E-4</v>
      </c>
      <c r="AX13" s="108">
        <f>(Q13-Q12)*1000/(('Measured Data'!$H16*$J12+'Measured Data'!$H17*$E13)*0.5*($C13-$C12))</f>
        <v>-2.706709030557668E-5</v>
      </c>
      <c r="AY13" s="108">
        <f>(R13-R12)*1000/(('Measured Data'!$H16*$J12+'Measured Data'!$H17*$E13)*0.5*($C13-$C12))</f>
        <v>2.0909645128322301E-3</v>
      </c>
      <c r="AZ13" s="108">
        <f>(S13-S12)*1000/(('Measured Data'!$H16*$J12+'Measured Data'!$H17*$E13)*0.5*($C13-$C12))</f>
        <v>3.2409231679719796E-4</v>
      </c>
      <c r="BA13" s="507">
        <v>2.4144522984423475E-2</v>
      </c>
      <c r="BB13" s="108">
        <f>(U13-U12)*1000/(('Measured Data'!$H16*$J12+'Measured Data'!$H17*$E13)*0.5*($C13-$C12))</f>
        <v>-1.7617164919264152E-3</v>
      </c>
      <c r="BC13" s="108">
        <f>(V13-V12)*1000/(('Measured Data'!$H16*$J12+'Measured Data'!$H17*$E13)*0.5*($C13-$C12))</f>
        <v>8.9981165756781688E-3</v>
      </c>
      <c r="BD13" s="108">
        <f>(W13-W12)*1000/(('Measured Data'!$H16*$J12+'Measured Data'!$H17*$E13)*0.5*($C13-$C12))</f>
        <v>2.5855818103164826E-4</v>
      </c>
      <c r="BE13" s="108">
        <f>(X13-X12)*1000/(('Measured Data'!$H16*$J12+'Measured Data'!$H17*$E13)*0.5*($C13-$C12))</f>
        <v>1.6828775725175803E-4</v>
      </c>
      <c r="BF13" s="108">
        <f>(Y13-Y12)*1000/(('Measured Data'!$H16*$J12+'Measured Data'!$H17*$E13)*0.5*($C13-$C12))</f>
        <v>8.168915164496512E-4</v>
      </c>
      <c r="BG13" s="507">
        <v>-1.0512866189746886E-2</v>
      </c>
      <c r="BH13" s="108">
        <f>(AA13-AA12)*1000/(('Measured Data'!$H16*$J12+'Measured Data'!$H17*$E13)*0.5*($C13-$C12))</f>
        <v>1.6042256524807597E-3</v>
      </c>
      <c r="BI13" s="108">
        <f>(AB13-AB12)*1000/(('Measured Data'!$H16*$J12+'Measured Data'!$H17*$E13)*0.5*($C13-$C12))</f>
        <v>1.032344877587451E-3</v>
      </c>
      <c r="BJ13" s="108">
        <f>(AC13-AC12)*1000/(('Measured Data'!$H16*$J12+'Measured Data'!$H17*$E13)*0.5*($C13-$C12))</f>
        <v>0</v>
      </c>
      <c r="BK13" s="108">
        <f>(AD13-AD12)*1000/(('Measured Data'!$H16*$J12+'Measured Data'!$H17*$E13)*0.5*($C13-$C12))</f>
        <v>1.2350433694079718E-3</v>
      </c>
      <c r="BL13" s="108">
        <f>(AE13-AE12)*1000/(('Measured Data'!$H16*$J12+'Measured Data'!$H17*$E13)*0.5*($C13-$C12))</f>
        <v>4.9710038313369273E-4</v>
      </c>
      <c r="BM13" s="108">
        <f>(AF13-AF12)*1000/(('Measured Data'!$H16*$J12+'Measured Data'!$H17*$E13)*0.5*($C13-$C12))</f>
        <v>2.5813248432405222E-4</v>
      </c>
      <c r="BN13" s="108">
        <f>(AG13-AG12)*1000/(('Measured Data'!$H16*$J12+'Measured Data'!$H17*$E13)*0.5*($C13-$C12))</f>
        <v>-3.1037533491919128E-4</v>
      </c>
      <c r="BO13" s="108">
        <f>(AH13-AH12)*1000/(('Measured Data'!$H16*$J12+'Measured Data'!$H17*$E13)*0.5*($C13-$C12))</f>
        <v>4.0813622359538127E-4</v>
      </c>
      <c r="BP13" s="108">
        <f>(AI13-AI12)*1000/(('Measured Data'!$H16*$J12+'Measured Data'!$H17*$E13)*0.5*($C13-$C12))</f>
        <v>2.922002943458681E-4</v>
      </c>
      <c r="BQ13" s="108">
        <f>(AJ13-AJ12)*1000/(('Measured Data'!$H16*$J12+'Measured Data'!$H17*$E13)*0.5*($C13-$C12))</f>
        <v>1.5003117165168683E-4</v>
      </c>
      <c r="BR13" s="108">
        <f>(AK13-AK12)*1000/(('Measured Data'!$H16*$J12+'Measured Data'!$H17*$E13)*0.5*($C13-$C12))</f>
        <v>1.7272290812815228E-3</v>
      </c>
      <c r="BS13" s="108">
        <f>(AL13-AL12)*1000/(('Measured Data'!$H16*$E13+'Measured Data'!$H17*$E13)*0.5*($C13-$C12))</f>
        <v>0</v>
      </c>
      <c r="BT13" s="109">
        <f t="shared" si="8"/>
        <v>1.7146360867593368E-2</v>
      </c>
      <c r="BU13" s="109">
        <f t="shared" si="9"/>
        <v>1.8479281901322628E-2</v>
      </c>
      <c r="BV13" s="109">
        <f t="shared" si="10"/>
        <v>8.9515327559730087E-2</v>
      </c>
      <c r="BW13" s="109">
        <f t="shared" si="11"/>
        <v>9.9656937378305929E-2</v>
      </c>
      <c r="BX13" s="108">
        <f t="shared" si="4"/>
        <v>-0.43541411841224298</v>
      </c>
      <c r="BY13" s="108">
        <f t="shared" si="5"/>
        <v>0</v>
      </c>
      <c r="BZ13" s="108">
        <f t="shared" si="6"/>
        <v>-7.2965471012327046E-2</v>
      </c>
      <c r="CA13" s="108">
        <f t="shared" si="12"/>
        <v>-0.70104547188376898</v>
      </c>
      <c r="CB13" s="36"/>
    </row>
    <row r="14" spans="1:80">
      <c r="A14" s="94">
        <f>'Measured Data'!$A18</f>
        <v>11</v>
      </c>
      <c r="B14" s="500">
        <f>'Measured Data'!B18</f>
        <v>10.913194444445253</v>
      </c>
      <c r="C14" s="500">
        <f>'Measured Data'!C18</f>
        <v>261.91666666668607</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28557.62884349018</v>
      </c>
      <c r="M14" s="102">
        <f>M13 + ('Measured Data'!P18*$E14-'Measured Data'!P17*$J13)/1000</f>
        <v>0</v>
      </c>
      <c r="N14" s="102">
        <f>N13+(-'Measured Data'!S17*'In Process Calc.'!$J13+'Measured Data'!S18*'In Process Calc.'!$E14)/1000</f>
        <v>3275.5721833333337</v>
      </c>
      <c r="O14" s="102">
        <f>O13-(-'Measured Data'!U17*'In Process Calc.'!$J13+'Measured Data'!U18*'In Process Calc.'!$E14-$F13*'Measured Data'!AS18)/1000</f>
        <v>-9.030172499999999</v>
      </c>
      <c r="P14" s="102">
        <f>P13-(-'Measured Data'!V17*'In Process Calc.'!$J13+'Measured Data'!V18*'In Process Calc.'!$E14-$F13*'Measured Data'!AT18)/1000</f>
        <v>-7.219777777777725E-2</v>
      </c>
      <c r="Q14" s="102">
        <f>Q13-(-'Measured Data'!W17*'In Process Calc.'!$J13+'Measured Data'!W18*'In Process Calc.'!$E14-$F13*'Measured Data'!AU18)/1000</f>
        <v>12.856644722222221</v>
      </c>
      <c r="R14" s="102">
        <f>R13-(-'Measured Data'!X17*'In Process Calc.'!$J13+'Measured Data'!X18*'In Process Calc.'!$E14-$F13*'Measured Data'!AV18)/1000</f>
        <v>-1.0927230555555558</v>
      </c>
      <c r="S14" s="102">
        <f>S13-(-'Measured Data'!Y17*'In Process Calc.'!$J13+'Measured Data'!Y18*'In Process Calc.'!$E14-$F13*'Measured Data'!AW18)/1000</f>
        <v>1.9951116666666666</v>
      </c>
      <c r="T14" s="102">
        <v>76.351001640459856</v>
      </c>
      <c r="U14" s="102">
        <f>U13-(-'Measured Data'!AA17*'In Process Calc.'!$J13+'Measured Data'!AA18*'In Process Calc.'!$E14-$G13*'Measured Data'!AY18)/1000</f>
        <v>-8.1997708333333339</v>
      </c>
      <c r="V14" s="102">
        <f>V13-(-'Measured Data'!AB17*'In Process Calc.'!$J13+'Measured Data'!AB18*'In Process Calc.'!$E14-$F13*'Measured Data'!AZ18)/1000</f>
        <v>-8.1024688888888861</v>
      </c>
      <c r="W14" s="102">
        <f>W13-(-'Measured Data'!AC17*'In Process Calc.'!$J13+'Measured Data'!AC18*'In Process Calc.'!$E14-$F13*'Measured Data'!BA18)/1000</f>
        <v>0.22120833333333351</v>
      </c>
      <c r="X14" s="102">
        <f>X13-(-'Measured Data'!AD17*'In Process Calc.'!$J13+'Measured Data'!AD18*'In Process Calc.'!$E14-$F13*'Measured Data'!BB18)/1000</f>
        <v>1.1672130555555555</v>
      </c>
      <c r="Y14" s="102">
        <f>Y13-(-'Measured Data'!AE17*'In Process Calc.'!$J13+'Measured Data'!AE18*'In Process Calc.'!$E14-$F13*'Measured Data'!BC18)/1000</f>
        <v>0.67958055555555497</v>
      </c>
      <c r="Z14" s="102">
        <f>Z13+(-'Measured Data'!AF17*'In Process Calc.'!$J13+'Measured Data'!AF18*'In Process Calc.'!$E14-$F13*'Measured Data'!BD18)/1000</f>
        <v>4.6767996348924417</v>
      </c>
      <c r="AA14" s="102">
        <f>AA13-(-'Measured Data'!AG17*'In Process Calc.'!$J13+'Measured Data'!AG18*'In Process Calc.'!$E14-$F13*'Measured Data'!BE18)/1000</f>
        <v>5.0900524999999979</v>
      </c>
      <c r="AB14" s="102">
        <f>AB13-(-'Measured Data'!AH17*'In Process Calc.'!$J13+'Measured Data'!AH18*'In Process Calc.'!$E14-$F13*'Measured Data'!BF18)/1000</f>
        <v>1.3310908333333336</v>
      </c>
      <c r="AC14" s="102">
        <f>AC13-(-'Measured Data'!AI17*'In Process Calc.'!$J13+'Measured Data'!AI18*'In Process Calc.'!$E14-$F13*'Measured Data'!BG18)/1000</f>
        <v>1.6079849999999998</v>
      </c>
      <c r="AD14" s="102">
        <f>AD13-(-'Measured Data'!AJ17*'In Process Calc.'!$J13+'Measured Data'!AJ18*'In Process Calc.'!$E14-$F13*'Measured Data'!BH18)/1000</f>
        <v>-17.811011111111114</v>
      </c>
      <c r="AE14" s="102">
        <f>AE13-(-'Measured Data'!AK17*'In Process Calc.'!$J13+'Measured Data'!AK18*'In Process Calc.'!$E14-$F13*'Measured Data'!BI18)/1000</f>
        <v>0.86909833333333331</v>
      </c>
      <c r="AF14" s="102">
        <f>AF13-(-'Measured Data'!AL17*'In Process Calc.'!$J13+'Measured Data'!AL18*'In Process Calc.'!$E14-$F13*'Measured Data'!BJ18)/1000</f>
        <v>5.7157597222222227</v>
      </c>
      <c r="AG14" s="102">
        <f>AG13-(-'Measured Data'!AM17*'In Process Calc.'!$J13+'Measured Data'!AM18*'In Process Calc.'!$E14-$F13*'Measured Data'!BK18)/1000</f>
        <v>9.5129219444444448</v>
      </c>
      <c r="AH14" s="102">
        <f>AH13-(-'Measured Data'!AN17*'In Process Calc.'!$J13+'Measured Data'!AN18*'In Process Calc.'!$E14-$F13*'Measured Data'!BL18)/1000</f>
        <v>6.0344213888888873</v>
      </c>
      <c r="AI14" s="102">
        <f>AI13-(-'Measured Data'!AO17*'In Process Calc.'!$J13+'Measured Data'!AO18*'In Process Calc.'!$E14-$F13*'Measured Data'!BM18)/1000</f>
        <v>0.18244527777777791</v>
      </c>
      <c r="AJ14" s="102">
        <f>AJ13-(-'Measured Data'!AP17*'In Process Calc.'!$J13+'Measured Data'!AP18*'In Process Calc.'!$E14-$F13*'Measured Data'!BN18)/1000</f>
        <v>3.0147300000000001</v>
      </c>
      <c r="AK14" s="102">
        <f>AK13-(-'Measured Data'!AQ17*'In Process Calc.'!$J13+'Measured Data'!AQ18*'In Process Calc.'!$E14-$F13*'Measured Data'!BO18)/1000</f>
        <v>-1.8132688888888895</v>
      </c>
      <c r="AL14" s="102">
        <f>AL13-(-'Measured Data'!AR17*'In Process Calc.'!$J13+'Measured Data'!AR18*'In Process Calc.'!$E14-'In Process Calc.'!$F13*'Measured Data'!BP18)/1000</f>
        <v>0</v>
      </c>
      <c r="AM14" s="101">
        <f t="shared" si="14"/>
        <v>50.06202694444444</v>
      </c>
      <c r="AN14" s="101">
        <f t="shared" si="2"/>
        <v>23.220843333333328</v>
      </c>
      <c r="AO14" s="101">
        <f t="shared" si="7"/>
        <v>171.41271083333334</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1.3551960083395115E-3</v>
      </c>
      <c r="AS14" s="108">
        <f t="shared" si="3"/>
        <v>1.3620446749401851E-3</v>
      </c>
      <c r="AT14" s="108">
        <f>('Measured Data'!$I18*$E14-'Measured Data'!$I17*$J13)/(('Measured Data'!$H17*$J13+'Measured Data'!$H18*$E14)*0.5*($C14-$C13))</f>
        <v>6.8486666006736217E-6</v>
      </c>
      <c r="AU14" s="108">
        <f>(N14-N13)*1000/(('Measured Data'!$H17*$J13+'Measured Data'!$H18*$E14)*0.5*($C14-$C13))</f>
        <v>0.89693872281585574</v>
      </c>
      <c r="AV14" s="108">
        <f>(O14-O13)*1000/(('Measured Data'!$H17*$J13+'Measured Data'!$H18*$E14)*0.5*($C14-$C13))</f>
        <v>4.3175961769158369E-3</v>
      </c>
      <c r="AW14" s="108">
        <f>(P14-P13)*1000/(('Measured Data'!$H17*$J13+'Measured Data'!$H18*$E14)*0.5*($C14-$C13))</f>
        <v>8.9862663353833749E-4</v>
      </c>
      <c r="AX14" s="108">
        <f>(Q14-Q13)*1000/(('Measured Data'!$H17*$J13+'Measured Data'!$H18*$E14)*0.5*($C14-$C13))</f>
        <v>-1.265921749180682E-5</v>
      </c>
      <c r="AY14" s="108">
        <f>(R14-R13)*1000/(('Measured Data'!$H17*$J13+'Measured Data'!$H18*$E14)*0.5*($C14-$C13))</f>
        <v>-3.3490918766831664E-4</v>
      </c>
      <c r="AZ14" s="108">
        <f>(S14-S13)*1000/(('Measured Data'!$H17*$J13+'Measured Data'!$H18*$E14)*0.5*($C14-$C13))</f>
        <v>1.6385863493816196E-4</v>
      </c>
      <c r="BA14" s="507">
        <v>3.1093867846328657E-2</v>
      </c>
      <c r="BB14" s="108">
        <f>(U14-U13)*1000/(('Measured Data'!$H17*$J13+'Measured Data'!$H18*$E14)*0.5*($C14-$C13))</f>
        <v>4.0815923462002458E-3</v>
      </c>
      <c r="BC14" s="108">
        <f>(V14-V13)*1000/(('Measured Data'!$H17*$J13+'Measured Data'!$H18*$E14)*0.5*($C14-$C13))</f>
        <v>6.3214977682148872E-3</v>
      </c>
      <c r="BD14" s="108">
        <f>(W14-W13)*1000/(('Measured Data'!$H17*$J13+'Measured Data'!$H18*$E14)*0.5*($C14-$C13))</f>
        <v>8.1109103427665238E-4</v>
      </c>
      <c r="BE14" s="108">
        <f>(X14-X13)*1000/(('Measured Data'!$H17*$J13+'Measured Data'!$H18*$E14)*0.5*($C14-$C13))</f>
        <v>2.9701928958270231E-4</v>
      </c>
      <c r="BF14" s="108">
        <f>(Y14-Y13)*1000/(('Measured Data'!$H17*$J13+'Measured Data'!$H18*$E14)*0.5*($C14-$C13))</f>
        <v>5.7379043431650216E-4</v>
      </c>
      <c r="BG14" s="507">
        <v>-5.1656847741637165E-4</v>
      </c>
      <c r="BH14" s="108">
        <f>(AA14-AA13)*1000/(('Measured Data'!$H17*$J13+'Measured Data'!$H18*$E14)*0.5*($C14-$C13))</f>
        <v>2.2049587248557574E-3</v>
      </c>
      <c r="BI14" s="108">
        <f>(AB14-AB13)*1000/(('Measured Data'!$H17*$J13+'Measured Data'!$H18*$E14)*0.5*($C14-$C13))</f>
        <v>2.0971955950192375E-3</v>
      </c>
      <c r="BJ14" s="108">
        <f>(AC14-AC13)*1000/(('Measured Data'!$H17*$J13+'Measured Data'!$H18*$E14)*0.5*($C14-$C13))</f>
        <v>0</v>
      </c>
      <c r="BK14" s="108">
        <f>(AD14-AD13)*1000/(('Measured Data'!$H17*$J13+'Measured Data'!$H18*$E14)*0.5*($C14-$C13))</f>
        <v>-9.1321763847026817E-3</v>
      </c>
      <c r="BL14" s="108">
        <f>(AE14-AE13)*1000/(('Measured Data'!$H17*$J13+'Measured Data'!$H18*$E14)*0.5*($C14-$C13))</f>
        <v>9.6923696931216097E-4</v>
      </c>
      <c r="BM14" s="108">
        <f>(AF14-AF13)*1000/(('Measured Data'!$H17*$J13+'Measured Data'!$H18*$E14)*0.5*($C14-$C13))</f>
        <v>-1.7117945353951018E-4</v>
      </c>
      <c r="BN14" s="108">
        <f>(AG14-AG13)*1000/(('Measured Data'!$H17*$J13+'Measured Data'!$H18*$E14)*0.5*($C14-$C13))</f>
        <v>9.6731454453042315E-6</v>
      </c>
      <c r="BO14" s="108">
        <f>(AH14-AH13)*1000/(('Measured Data'!$H17*$J13+'Measured Data'!$H18*$E14)*0.5*($C14-$C13))</f>
        <v>3.5472209209722245E-4</v>
      </c>
      <c r="BP14" s="108">
        <f>(AI14-AI13)*1000/(('Measured Data'!$H17*$J13+'Measured Data'!$H18*$E14)*0.5*($C14-$C13))</f>
        <v>4.8390213863224574E-4</v>
      </c>
      <c r="BQ14" s="108">
        <f>(AJ14-AJ13)*1000/(('Measured Data'!$H17*$J13+'Measured Data'!$H18*$E14)*0.5*($C14-$C13))</f>
        <v>1.7624399467348594E-4</v>
      </c>
      <c r="BR14" s="108">
        <f>(AK14-AK13)*1000/(('Measured Data'!$H17*$J13+'Measured Data'!$H18*$E14)*0.5*($C14-$C13))</f>
        <v>2.7565040989177563E-3</v>
      </c>
      <c r="BS14" s="108">
        <f>(AL14-AL13)*1000/(('Measured Data'!$H17*$E14+'Measured Data'!$H18*$E14)*0.5*($C14-$C13))</f>
        <v>0</v>
      </c>
      <c r="BT14" s="109">
        <f t="shared" si="8"/>
        <v>4.4586984806447641E-2</v>
      </c>
      <c r="BU14" s="109">
        <f t="shared" si="9"/>
        <v>3.1137212244829127E-2</v>
      </c>
      <c r="BV14" s="109">
        <f t="shared" si="10"/>
        <v>0.12923231168625604</v>
      </c>
      <c r="BW14" s="109">
        <f t="shared" si="11"/>
        <v>0.13147848257459407</v>
      </c>
      <c r="BX14" s="108">
        <f t="shared" si="4"/>
        <v>-1.6613194600599179E-2</v>
      </c>
      <c r="BY14" s="108">
        <f t="shared" si="5"/>
        <v>0</v>
      </c>
      <c r="BZ14" s="108">
        <f t="shared" si="6"/>
        <v>0.13126679403064909</v>
      </c>
      <c r="CA14" s="108">
        <f t="shared" si="12"/>
        <v>-2.2374053090344193</v>
      </c>
      <c r="CB14" s="36"/>
    </row>
    <row r="15" spans="1:80">
      <c r="A15" s="94">
        <f>'Measured Data'!$A19</f>
        <v>12</v>
      </c>
      <c r="B15" s="500">
        <f>'Measured Data'!B19</f>
        <v>11.871527777781012</v>
      </c>
      <c r="C15" s="500">
        <f>'Measured Data'!C19</f>
        <v>284.91666666674428</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25639.273359953819</v>
      </c>
      <c r="M15" s="102">
        <f>M14 + ('Measured Data'!P19*$E15-'Measured Data'!P18*$J14)/1000</f>
        <v>0</v>
      </c>
      <c r="N15" s="102">
        <f>N14+(-'Measured Data'!S18*'In Process Calc.'!$J14+'Measured Data'!S19*'In Process Calc.'!$E15)/1000</f>
        <v>3932.6663466666673</v>
      </c>
      <c r="O15" s="102">
        <f>O14-(-'Measured Data'!U18*'In Process Calc.'!$J14+'Measured Data'!U19*'In Process Calc.'!$E15-$F14*'Measured Data'!AS19)/1000</f>
        <v>-6.7129214444444436</v>
      </c>
      <c r="P15" s="102">
        <f>P14-(-'Measured Data'!V18*'In Process Calc.'!$J14+'Measured Data'!V19*'In Process Calc.'!$E15-$F14*'Measured Data'!AT19)/1000</f>
        <v>0.98084833333333366</v>
      </c>
      <c r="Q15" s="102">
        <f>Q14-(-'Measured Data'!W18*'In Process Calc.'!$J14+'Measured Data'!W19*'In Process Calc.'!$E15-$F14*'Measured Data'!AU19)/1000</f>
        <v>12.86190511111111</v>
      </c>
      <c r="R15" s="102">
        <f>R14-(-'Measured Data'!X18*'In Process Calc.'!$J14+'Measured Data'!X19*'In Process Calc.'!$E15-$F14*'Measured Data'!AV19)/1000</f>
        <v>-0.74663177777777734</v>
      </c>
      <c r="S15" s="102">
        <f>S14-(-'Measured Data'!Y18*'In Process Calc.'!$J14+'Measured Data'!Y19*'In Process Calc.'!$E15-$F14*'Measured Data'!AW19)/1000</f>
        <v>1.9650594444444445</v>
      </c>
      <c r="T15" s="102">
        <v>92.722816786932441</v>
      </c>
      <c r="U15" s="102">
        <f>U14-(-'Measured Data'!AA18*'In Process Calc.'!$J14+'Measured Data'!AA19*'In Process Calc.'!$E15-$G14*'Measured Data'!AY19)/1000</f>
        <v>-4.3867471111111112</v>
      </c>
      <c r="V15" s="102">
        <f>V14-(-'Measured Data'!AB18*'In Process Calc.'!$J14+'Measured Data'!AB19*'In Process Calc.'!$E15-$F14*'Measured Data'!AZ19)/1000</f>
        <v>-4.127792555555553</v>
      </c>
      <c r="W15" s="102">
        <f>W14-(-'Measured Data'!AC18*'In Process Calc.'!$J14+'Measured Data'!AC19*'In Process Calc.'!$E15-$F14*'Measured Data'!BA19)/1000</f>
        <v>0.18238400000000016</v>
      </c>
      <c r="X15" s="102">
        <f>X14-(-'Measured Data'!AD18*'In Process Calc.'!$J14+'Measured Data'!AD19*'In Process Calc.'!$E15-$F14*'Measured Data'!BB19)/1000</f>
        <v>1.435324111111111</v>
      </c>
      <c r="Y15" s="102">
        <f>Y14-(-'Measured Data'!AE18*'In Process Calc.'!$J14+'Measured Data'!AE19*'In Process Calc.'!$E15-$F14*'Measured Data'!BC19)/1000</f>
        <v>1.3107136666666661</v>
      </c>
      <c r="Z15" s="102">
        <f>Z14+(-'Measured Data'!AF18*'In Process Calc.'!$J14+'Measured Data'!AF19*'In Process Calc.'!$E15-$F14*'Measured Data'!BD19)/1000</f>
        <v>4.9339352674166186</v>
      </c>
      <c r="AA15" s="102">
        <f>AA14-(-'Measured Data'!AG18*'In Process Calc.'!$J14+'Measured Data'!AG19*'In Process Calc.'!$E15-$F14*'Measured Data'!BE19)/1000</f>
        <v>6.6029096666666653</v>
      </c>
      <c r="AB15" s="102">
        <f>AB14-(-'Measured Data'!AH18*'In Process Calc.'!$J14+'Measured Data'!AH19*'In Process Calc.'!$E15-$F14*'Measured Data'!BF19)/1000</f>
        <v>3.1116707777777775</v>
      </c>
      <c r="AC15" s="102">
        <f>AC14-(-'Measured Data'!AI18*'In Process Calc.'!$J14+'Measured Data'!AI19*'In Process Calc.'!$E15-$F14*'Measured Data'!BG19)/1000</f>
        <v>1.486834111111111</v>
      </c>
      <c r="AD15" s="102">
        <f>AD14-(-'Measured Data'!AJ18*'In Process Calc.'!$J14+'Measured Data'!AJ19*'In Process Calc.'!$E15-$F14*'Measured Data'!BH19)/1000</f>
        <v>-18.48930444444445</v>
      </c>
      <c r="AE15" s="102">
        <f>AE14-(-'Measured Data'!AK18*'In Process Calc.'!$J14+'Measured Data'!AK19*'In Process Calc.'!$E15-$F14*'Measured Data'!BI19)/1000</f>
        <v>1.6457385555555555</v>
      </c>
      <c r="AF15" s="102">
        <f>AF14-(-'Measured Data'!AL18*'In Process Calc.'!$J14+'Measured Data'!AL19*'In Process Calc.'!$E15-$F14*'Measured Data'!BJ19)/1000</f>
        <v>5.760639888888889</v>
      </c>
      <c r="AG15" s="102">
        <f>AG14-(-'Measured Data'!AM18*'In Process Calc.'!$J14+'Measured Data'!AM19*'In Process Calc.'!$E15-$F14*'Measured Data'!BK19)/1000</f>
        <v>9.1768918888888891</v>
      </c>
      <c r="AH15" s="102">
        <f>AH14-(-'Measured Data'!AN18*'In Process Calc.'!$J14+'Measured Data'!AN19*'In Process Calc.'!$E15-$F14*'Measured Data'!BL19)/1000</f>
        <v>6.1534803333333317</v>
      </c>
      <c r="AI15" s="102">
        <f>AI14-(-'Measured Data'!AO18*'In Process Calc.'!$J14+'Measured Data'!AO19*'In Process Calc.'!$E15-$F14*'Measured Data'!BM19)/1000</f>
        <v>0.64553100000000008</v>
      </c>
      <c r="AJ15" s="102">
        <f>AJ14-(-'Measured Data'!AP18*'In Process Calc.'!$J14+'Measured Data'!AP19*'In Process Calc.'!$E15-$F14*'Measured Data'!BN19)/1000</f>
        <v>2.9062366666666666</v>
      </c>
      <c r="AK15" s="102">
        <f>AK14-(-'Measured Data'!AQ18*'In Process Calc.'!$J14+'Measured Data'!AQ19*'In Process Calc.'!$E15-$F14*'Measured Data'!BO19)/1000</f>
        <v>0.49193655555555349</v>
      </c>
      <c r="AL15" s="102">
        <f>AL14-(-'Measured Data'!AR18*'In Process Calc.'!$J14+'Measured Data'!AR19*'In Process Calc.'!$E15-'In Process Calc.'!$F14*'Measured Data'!BP19)/1000</f>
        <v>0</v>
      </c>
      <c r="AM15" s="101">
        <f t="shared" si="14"/>
        <v>79.243928111111117</v>
      </c>
      <c r="AN15" s="101">
        <f t="shared" si="2"/>
        <v>54.041702222222227</v>
      </c>
      <c r="AO15" s="101">
        <f t="shared" si="7"/>
        <v>257.74135111111104</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-4.5970250206367157E-3</v>
      </c>
      <c r="AS15" s="108">
        <f t="shared" si="3"/>
        <v>-3.3883610261743673E-3</v>
      </c>
      <c r="AT15" s="108">
        <f>('Measured Data'!$I19*$E15-'Measured Data'!$I18*$J14)/(('Measured Data'!$H18*$J14+'Measured Data'!$H19*$E15)*0.5*($C15-$C14))</f>
        <v>1.2086639944623484E-3</v>
      </c>
      <c r="AU15" s="108">
        <f>(N15-N14)*1000/(('Measured Data'!$H18*$J14+'Measured Data'!$H19*$E15)*0.5*($C15-$C14))</f>
        <v>1.0350618102553193</v>
      </c>
      <c r="AV15" s="108">
        <f>(O15-O14)*1000/(('Measured Data'!$H18*$J14+'Measured Data'!$H19*$E15)*0.5*($C15-$C14))</f>
        <v>3.6501588451374844E-3</v>
      </c>
      <c r="AW15" s="108">
        <f>(P15-P14)*1000/(('Measured Data'!$H18*$J14+'Measured Data'!$H19*$E15)*0.5*($C15-$C14))</f>
        <v>1.6587695871772138E-3</v>
      </c>
      <c r="AX15" s="108">
        <f>(Q15-Q14)*1000/(('Measured Data'!$H18*$J14+'Measured Data'!$H19*$E15)*0.5*($C15-$C14))</f>
        <v>8.2862212903544675E-6</v>
      </c>
      <c r="AY15" s="108">
        <f>(R15-R14)*1000/(('Measured Data'!$H18*$J14+'Measured Data'!$H19*$E15)*0.5*($C15-$C14))</f>
        <v>5.4516671198694177E-4</v>
      </c>
      <c r="AZ15" s="108">
        <f>(S15-S14)*1000/(('Measured Data'!$H18*$J14+'Measured Data'!$H19*$E15)*0.5*($C15-$C14))</f>
        <v>-4.7338584439303335E-5</v>
      </c>
      <c r="BA15" s="507">
        <v>3.4066597514338048E-2</v>
      </c>
      <c r="BB15" s="108">
        <f>(U15-U14)*1000/(('Measured Data'!$H18*$J14+'Measured Data'!$H19*$E15)*0.5*($C15-$C14))</f>
        <v>6.0063160756880785E-3</v>
      </c>
      <c r="BC15" s="108">
        <f>(V15-V14)*1000/(('Measured Data'!$H18*$J14+'Measured Data'!$H19*$E15)*0.5*($C15-$C14))</f>
        <v>6.2609530114970573E-3</v>
      </c>
      <c r="BD15" s="108">
        <f>(W15-W14)*1000/(('Measured Data'!$H18*$J14+'Measured Data'!$H19*$E15)*0.5*($C15-$C14))</f>
        <v>-6.1156508434195958E-5</v>
      </c>
      <c r="BE15" s="108">
        <f>(X15-X14)*1000/(('Measured Data'!$H18*$J14+'Measured Data'!$H19*$E15)*0.5*($C15-$C14))</f>
        <v>4.2233142523291671E-4</v>
      </c>
      <c r="BF15" s="108">
        <f>(Y15-Y14)*1000/(('Measured Data'!$H18*$J14+'Measured Data'!$H19*$E15)*0.5*($C15-$C14))</f>
        <v>9.9416768090717115E-4</v>
      </c>
      <c r="BG15" s="507">
        <v>4.6220917623535286E-4</v>
      </c>
      <c r="BH15" s="108">
        <f>(AA15-AA14)*1000/(('Measured Data'!$H18*$J14+'Measured Data'!$H19*$E15)*0.5*($C15-$C14))</f>
        <v>2.3830689191396415E-3</v>
      </c>
      <c r="BI15" s="108">
        <f>(AB15-AB14)*1000/(('Measured Data'!$H18*$J14+'Measured Data'!$H19*$E15)*0.5*($C15-$C14))</f>
        <v>2.8047887250309536E-3</v>
      </c>
      <c r="BJ15" s="108">
        <f>(AC15-AC14)*1000/(('Measured Data'!$H18*$J14+'Measured Data'!$H19*$E15)*0.5*($C15-$C14))</f>
        <v>-1.9083818631297371E-4</v>
      </c>
      <c r="BK15" s="108">
        <f>(AD15-AD14)*1000/(('Measured Data'!$H18*$J14+'Measured Data'!$H19*$E15)*0.5*($C15-$C14))</f>
        <v>-1.0684549713888807E-3</v>
      </c>
      <c r="BL15" s="108">
        <f>(AE15-AE14)*1000/(('Measured Data'!$H18*$J14+'Measured Data'!$H19*$E15)*0.5*($C15-$C14))</f>
        <v>1.2233720510505216E-3</v>
      </c>
      <c r="BM15" s="108">
        <f>(AF15-AF14)*1000/(('Measured Data'!$H18*$J14+'Measured Data'!$H19*$E15)*0.5*($C15-$C14))</f>
        <v>7.0695722389174195E-5</v>
      </c>
      <c r="BN15" s="108">
        <f>(AG15-AG14)*1000/(('Measured Data'!$H18*$J14+'Measured Data'!$H19*$E15)*0.5*($C15-$C14))</f>
        <v>-5.2931816627183991E-4</v>
      </c>
      <c r="BO15" s="108">
        <f>(AH15-AH14)*1000/(('Measured Data'!$H18*$J14+'Measured Data'!$H19*$E15)*0.5*($C15-$C14))</f>
        <v>1.8754293287070282E-4</v>
      </c>
      <c r="BP15" s="108">
        <f>(AI15-AI14)*1000/(('Measured Data'!$H18*$J14+'Measured Data'!$H19*$E15)*0.5*($C15-$C14))</f>
        <v>7.2945762220014186E-4</v>
      </c>
      <c r="BQ15" s="108">
        <f>(AJ15-AJ14)*1000/(('Measured Data'!$H18*$J14+'Measured Data'!$H19*$E15)*0.5*($C15-$C14))</f>
        <v>-1.7089986833997693E-4</v>
      </c>
      <c r="BR15" s="108">
        <f>(AK15-AK14)*1000/(('Measured Data'!$H18*$J14+'Measured Data'!$H19*$E15)*0.5*($C15-$C14))</f>
        <v>3.6311844686507848E-3</v>
      </c>
      <c r="BS15" s="108">
        <f>(AL15-AL14)*1000/(('Measured Data'!$H18*$E15+'Measured Data'!$H19*$E15)*0.5*($C15-$C14))</f>
        <v>0</v>
      </c>
      <c r="BT15" s="109">
        <f t="shared" si="8"/>
        <v>4.5285526291846588E-2</v>
      </c>
      <c r="BU15" s="109">
        <f t="shared" si="9"/>
        <v>4.0566912475320224E-2</v>
      </c>
      <c r="BV15" s="109">
        <f t="shared" si="10"/>
        <v>0.15278055459536816</v>
      </c>
      <c r="BW15" s="109">
        <f t="shared" si="11"/>
        <v>0.15726714336431252</v>
      </c>
      <c r="BX15" s="108">
        <f t="shared" si="4"/>
        <v>1.3567811579680563E-2</v>
      </c>
      <c r="BY15" s="108">
        <f t="shared" si="5"/>
        <v>0</v>
      </c>
      <c r="BZ15" s="108">
        <f t="shared" si="6"/>
        <v>0.17631100591011833</v>
      </c>
      <c r="CA15" s="108">
        <f t="shared" si="12"/>
        <v>-0.17788856895388733</v>
      </c>
      <c r="CB15" s="36"/>
    </row>
    <row r="16" spans="1:80">
      <c r="A16" s="94">
        <f>'Measured Data'!$A20</f>
        <v>13</v>
      </c>
      <c r="B16" s="500">
        <f>'Measured Data'!B20</f>
        <v>12.864583333335759</v>
      </c>
      <c r="C16" s="500">
        <f>'Measured Data'!C20</f>
        <v>308.75000000005821</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24612.108495146269</v>
      </c>
      <c r="M16" s="102">
        <f>M15 + ('Measured Data'!P20*$E16-'Measured Data'!P19*$J15)/1000</f>
        <v>0</v>
      </c>
      <c r="N16" s="102">
        <f>N15+(-'Measured Data'!S19*'In Process Calc.'!$J15+'Measured Data'!S20*'In Process Calc.'!$E16)/1000</f>
        <v>4486.9930672222226</v>
      </c>
      <c r="O16" s="102">
        <f>O15-(-'Measured Data'!U19*'In Process Calc.'!$J15+'Measured Data'!U20*'In Process Calc.'!$E16-$F15*'Measured Data'!AS20)/1000</f>
        <v>-4.6902081111111107</v>
      </c>
      <c r="P16" s="102">
        <f>P15-(-'Measured Data'!V19*'In Process Calc.'!$J15+'Measured Data'!V20*'In Process Calc.'!$E16-$F15*'Measured Data'!AT20)/1000</f>
        <v>1.4493301111111112</v>
      </c>
      <c r="Q16" s="102">
        <f>Q15-(-'Measured Data'!W19*'In Process Calc.'!$J15+'Measured Data'!W20*'In Process Calc.'!$E16-$F15*'Measured Data'!AU20)/1000</f>
        <v>12.864150833333332</v>
      </c>
      <c r="R16" s="102">
        <f>R15-(-'Measured Data'!X19*'In Process Calc.'!$J15+'Measured Data'!X20*'In Process Calc.'!$E16-$F15*'Measured Data'!AV20)/1000</f>
        <v>-0.59187627777777807</v>
      </c>
      <c r="S16" s="102">
        <f>S15-(-'Measured Data'!Y19*'In Process Calc.'!$J15+'Measured Data'!Y20*'In Process Calc.'!$E16-$F15*'Measured Data'!AW20)/1000</f>
        <v>1.7746770555555555</v>
      </c>
      <c r="T16" s="102">
        <v>108.72893640756354</v>
      </c>
      <c r="U16" s="102">
        <f>U15-(-'Measured Data'!AA19*'In Process Calc.'!$J15+'Measured Data'!AA20*'In Process Calc.'!$E16-$G15*'Measured Data'!AY20)/1000</f>
        <v>-4.1148538333333331</v>
      </c>
      <c r="V16" s="102">
        <f>V15-(-'Measured Data'!AB19*'In Process Calc.'!$J15+'Measured Data'!AB20*'In Process Calc.'!$E16-$F15*'Measured Data'!AZ20)/1000</f>
        <v>-1.63320872222222</v>
      </c>
      <c r="W16" s="102">
        <f>W15-(-'Measured Data'!AC19*'In Process Calc.'!$J15+'Measured Data'!AC20*'In Process Calc.'!$E16-$F15*'Measured Data'!BA20)/1000</f>
        <v>-0.47295055555555549</v>
      </c>
      <c r="X16" s="102">
        <f>X15-(-'Measured Data'!AD19*'In Process Calc.'!$J15+'Measured Data'!AD20*'In Process Calc.'!$E16-$F15*'Measured Data'!BB20)/1000</f>
        <v>1.5614273888888888</v>
      </c>
      <c r="Y16" s="102">
        <f>Y15-(-'Measured Data'!AE19*'In Process Calc.'!$J15+'Measured Data'!AE20*'In Process Calc.'!$E16-$F15*'Measured Data'!BC20)/1000</f>
        <v>1.3593265555555549</v>
      </c>
      <c r="Z16" s="102">
        <f>Z15+(-'Measured Data'!AF19*'In Process Calc.'!$J15+'Measured Data'!AF20*'In Process Calc.'!$E16-$F15*'Measured Data'!BD20)/1000</f>
        <v>3.1130723307677135</v>
      </c>
      <c r="AA16" s="102">
        <f>AA15-(-'Measured Data'!AG19*'In Process Calc.'!$J15+'Measured Data'!AG20*'In Process Calc.'!$E16-$F15*'Measured Data'!BE20)/1000</f>
        <v>7.3059642777777762</v>
      </c>
      <c r="AB16" s="102">
        <f>AB15-(-'Measured Data'!AH19*'In Process Calc.'!$J15+'Measured Data'!AH20*'In Process Calc.'!$E16-$F15*'Measured Data'!BF20)/1000</f>
        <v>4.2123419999999996</v>
      </c>
      <c r="AC16" s="102">
        <f>AC15-(-'Measured Data'!AI19*'In Process Calc.'!$J15+'Measured Data'!AI20*'In Process Calc.'!$E16-$F15*'Measured Data'!BG20)/1000</f>
        <v>1.2763454444444442</v>
      </c>
      <c r="AD16" s="102">
        <f>AD15-(-'Measured Data'!AJ19*'In Process Calc.'!$J15+'Measured Data'!AJ20*'In Process Calc.'!$E16-$F15*'Measured Data'!BH20)/1000</f>
        <v>-20.210027777777785</v>
      </c>
      <c r="AE16" s="102">
        <f>AE15-(-'Measured Data'!AK19*'In Process Calc.'!$J15+'Measured Data'!AK20*'In Process Calc.'!$E16-$F15*'Measured Data'!BI20)/1000</f>
        <v>2.1463595555555557</v>
      </c>
      <c r="AF16" s="102">
        <f>AF15-(-'Measured Data'!AL19*'In Process Calc.'!$J15+'Measured Data'!AL20*'In Process Calc.'!$E16-$F15*'Measured Data'!BJ20)/1000</f>
        <v>5.0974608333333329</v>
      </c>
      <c r="AG16" s="102">
        <f>AG15-(-'Measured Data'!AM19*'In Process Calc.'!$J15+'Measured Data'!AM20*'In Process Calc.'!$E16-$F15*'Measured Data'!BK20)/1000</f>
        <v>8.2478684999999992</v>
      </c>
      <c r="AH16" s="102">
        <f>AH15-(-'Measured Data'!AN19*'In Process Calc.'!$J15+'Measured Data'!AN20*'In Process Calc.'!$E16-$F15*'Measured Data'!BL20)/1000</f>
        <v>5.8331976111111095</v>
      </c>
      <c r="AI16" s="102">
        <f>AI15-(-'Measured Data'!AO19*'In Process Calc.'!$J15+'Measured Data'!AO20*'In Process Calc.'!$E16-$F15*'Measured Data'!BM20)/1000</f>
        <v>0.93895322222222233</v>
      </c>
      <c r="AJ16" s="102">
        <f>AJ15-(-'Measured Data'!AP19*'In Process Calc.'!$J15+'Measured Data'!AP20*'In Process Calc.'!$E16-$F15*'Measured Data'!BN20)/1000</f>
        <v>2.5875638333333333</v>
      </c>
      <c r="AK16" s="102">
        <f>AK15-(-'Measured Data'!AQ19*'In Process Calc.'!$J15+'Measured Data'!AQ20*'In Process Calc.'!$E16-$F15*'Measured Data'!BO20)/1000</f>
        <v>1.9328280555555541</v>
      </c>
      <c r="AL16" s="102">
        <f>AL15-(-'Measured Data'!AR19*'In Process Calc.'!$J15+'Measured Data'!AR20*'In Process Calc.'!$E16-'In Process Calc.'!$F15*'Measured Data'!BP20)/1000</f>
        <v>0</v>
      </c>
      <c r="AM16" s="101">
        <f t="shared" ref="AM16:AM17" si="15">($O16*1+$P16*4+$Q16*2+$R16*1+S16*2+$U16*2+$V16*1+$W16*1+$X16*3+$Y16*1+$AA16*1+$AB16*2+$AC16*1-$AD16*1+$AE16*1+AF16*1+$AG16*1+$AH16*1+AI16*2+$AJ16*1+$AK16*1)</f>
        <v>90.440839944444434</v>
      </c>
      <c r="AN16" s="101">
        <f t="shared" si="2"/>
        <v>65.540604055555548</v>
      </c>
      <c r="AO16" s="101">
        <f t="shared" ref="AO16:AO17" si="16">(-$O16*3+$P16*6+$Q16*4+$R16*4+S16*6+$U16*5+$V16*5+$W16*2+$X16*6+$Y16*6+$AA16*6+$AB16*6+$AC16*5+$AE16*9+AF16*5+$AG16*3+$AH16*4+AI16*11+$AJ16*9+$AK16*5)</f>
        <v>281.99527655555556</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-1.681617623605026E-3</v>
      </c>
      <c r="AS16" s="108">
        <f t="shared" si="3"/>
        <v>-4.9869797095263946E-4</v>
      </c>
      <c r="AT16" s="108">
        <f>('Measured Data'!$I20*$E16-'Measured Data'!$I19*$J15)/(('Measured Data'!$H19*$J15+'Measured Data'!$H20*$E16)*0.5*($C16-$C15))</f>
        <v>1.1829196526523865E-3</v>
      </c>
      <c r="AU16" s="108">
        <f>(N16-N15)*1000/(('Measured Data'!$H19*$J15+'Measured Data'!$H20*$E16)*0.5*($C16-$C15))</f>
        <v>0.90751311153546066</v>
      </c>
      <c r="AV16" s="108">
        <f>(O16-O15)*1000/(('Measured Data'!$H19*$J15+'Measured Data'!$H20*$E16)*0.5*($C16-$C15))</f>
        <v>3.3114746282443125E-3</v>
      </c>
      <c r="AW16" s="108">
        <f>(P16-P15)*1000/(('Measured Data'!$H19*$J15+'Measured Data'!$H20*$E16)*0.5*($C16-$C15))</f>
        <v>7.6697250932208265E-4</v>
      </c>
      <c r="AX16" s="108">
        <f>(Q16-Q15)*1000/(('Measured Data'!$H19*$J15+'Measured Data'!$H20*$E16)*0.5*($C16-$C15))</f>
        <v>3.6765724724407076E-6</v>
      </c>
      <c r="AY16" s="108">
        <f>(R16-R15)*1000/(('Measured Data'!$H19*$J15+'Measured Data'!$H20*$E16)*0.5*($C16-$C15))</f>
        <v>2.5335716306706523E-4</v>
      </c>
      <c r="AZ16" s="108">
        <f>(S16-S15)*1000/(('Measured Data'!$H19*$J15+'Measured Data'!$H20*$E16)*0.5*($C16-$C15))</f>
        <v>-3.1168353917514972E-4</v>
      </c>
      <c r="BA16" s="507">
        <v>3.6613476096878504E-2</v>
      </c>
      <c r="BB16" s="108">
        <f>(U16-U15)*1000/(('Measured Data'!$H19*$J15+'Measured Data'!$H20*$E16)*0.5*($C16-$C15))</f>
        <v>4.4512866757422966E-4</v>
      </c>
      <c r="BC16" s="108">
        <f>(V16-V15)*1000/(('Measured Data'!$H19*$J15+'Measured Data'!$H20*$E16)*0.5*($C16-$C15))</f>
        <v>4.0839949665524063E-3</v>
      </c>
      <c r="BD16" s="108">
        <f>(W16-W15)*1000/(('Measured Data'!$H19*$J15+'Measured Data'!$H20*$E16)*0.5*($C16-$C15))</f>
        <v>-1.0728775639985164E-3</v>
      </c>
      <c r="BE16" s="108">
        <f>(X16-X15)*1000/(('Measured Data'!$H19*$J15+'Measured Data'!$H20*$E16)*0.5*($C16-$C15))</f>
        <v>2.0644932626779668E-4</v>
      </c>
      <c r="BF16" s="108">
        <f>(Y16-Y15)*1000/(('Measured Data'!$H19*$J15+'Measured Data'!$H20*$E16)*0.5*($C16-$C15))</f>
        <v>7.9586338562334682E-5</v>
      </c>
      <c r="BG16" s="507">
        <v>-2.2865149991606868E-3</v>
      </c>
      <c r="BH16" s="108">
        <f>(AA16-AA15)*1000/(('Measured Data'!$H19*$J15+'Measured Data'!$H20*$E16)*0.5*($C16-$C15))</f>
        <v>1.1510022051063173E-3</v>
      </c>
      <c r="BI16" s="108">
        <f>(AB16-AB15)*1000/(('Measured Data'!$H19*$J15+'Measured Data'!$H20*$E16)*0.5*($C16-$C15))</f>
        <v>1.8019581748744493E-3</v>
      </c>
      <c r="BJ16" s="108">
        <f>(AC16-AC15)*1000/(('Measured Data'!$H19*$J15+'Measured Data'!$H20*$E16)*0.5*($C16-$C15))</f>
        <v>-3.4460042741250602E-4</v>
      </c>
      <c r="BK16" s="108">
        <f>(AD16-AD15)*1000/(('Measured Data'!$H19*$J15+'Measured Data'!$H20*$E16)*0.5*($C16-$C15))</f>
        <v>-2.8170732681981575E-3</v>
      </c>
      <c r="BL16" s="108">
        <f>(AE16-AE15)*1000/(('Measured Data'!$H19*$J15+'Measured Data'!$H20*$E16)*0.5*($C16-$C15))</f>
        <v>8.1958907006082435E-4</v>
      </c>
      <c r="BM16" s="108">
        <f>(AF16-AF15)*1000/(('Measured Data'!$H19*$J15+'Measured Data'!$H20*$E16)*0.5*($C16-$C15))</f>
        <v>-1.0857201464313198E-3</v>
      </c>
      <c r="BN16" s="108">
        <f>(AG16-AG15)*1000/(('Measured Data'!$H19*$J15+'Measured Data'!$H20*$E16)*0.5*($C16-$C15))</f>
        <v>-1.5209458160248982E-3</v>
      </c>
      <c r="BO16" s="108">
        <f>(AH16-AH15)*1000/(('Measured Data'!$H19*$J15+'Measured Data'!$H20*$E16)*0.5*($C16-$C15))</f>
        <v>-5.2434919522485138E-4</v>
      </c>
      <c r="BP16" s="108">
        <f>(AI16-AI15)*1000/(('Measured Data'!$H19*$J15+'Measured Data'!$H20*$E16)*0.5*($C16-$C15))</f>
        <v>4.8037466715597548E-4</v>
      </c>
      <c r="BQ16" s="108">
        <f>(AJ16-AJ15)*1000/(('Measured Data'!$H19*$J15+'Measured Data'!$H20*$E16)*0.5*($C16-$C15))</f>
        <v>-5.2171357399173146E-4</v>
      </c>
      <c r="BR16" s="108">
        <f>(AK16-AK15)*1000/(('Measured Data'!$H19*$J15+'Measured Data'!$H20*$E16)*0.5*($C16-$C15))</f>
        <v>2.358948035626844E-3</v>
      </c>
      <c r="BS16" s="108">
        <f>(AL16-AL15)*1000/(('Measured Data'!$H19*$E16+'Measured Data'!$H20*$E16)*0.5*($C16-$C15))</f>
        <v>0</v>
      </c>
      <c r="BT16" s="109">
        <f t="shared" si="8"/>
        <v>1.8162274926249226E-2</v>
      </c>
      <c r="BU16" s="109">
        <f t="shared" si="9"/>
        <v>1.2033727029806755E-2</v>
      </c>
      <c r="BV16" s="109">
        <f t="shared" si="10"/>
        <v>5.6213413172460834E-2</v>
      </c>
      <c r="BW16" s="109">
        <f t="shared" si="11"/>
        <v>7.8736528799627573E-2</v>
      </c>
      <c r="BX16" s="108">
        <f t="shared" si="4"/>
        <v>-6.2450093323851992E-2</v>
      </c>
      <c r="BY16" s="108">
        <f t="shared" si="5"/>
        <v>0</v>
      </c>
      <c r="BZ16" s="108">
        <f t="shared" si="6"/>
        <v>1.2157509065690139E-2</v>
      </c>
      <c r="CA16" s="108">
        <f t="shared" si="12"/>
        <v>-6.3286718502092034</v>
      </c>
      <c r="CB16" s="36"/>
    </row>
    <row r="17" spans="1:80">
      <c r="A17" s="94">
        <f>'Measured Data'!$A21</f>
        <v>14</v>
      </c>
      <c r="B17" s="500">
        <f>'Measured Data'!B21</f>
        <v>13.879166666665697</v>
      </c>
      <c r="C17" s="500">
        <f>'Measured Data'!C21</f>
        <v>333.09999999997672</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23192.684258825007</v>
      </c>
      <c r="M17" s="102">
        <f>M16 + ('Measured Data'!P21*$E17-'Measured Data'!P20*$J16)/1000</f>
        <v>0</v>
      </c>
      <c r="N17" s="102">
        <f>N16+(-'Measured Data'!S20*'In Process Calc.'!$J16+'Measured Data'!S21*'In Process Calc.'!$E17)/1000</f>
        <v>4903.661315555556</v>
      </c>
      <c r="O17" s="102">
        <f>O16-(-'Measured Data'!U20*'In Process Calc.'!$J16+'Measured Data'!U21*'In Process Calc.'!$E17-$F16*'Measured Data'!AS21)/1000</f>
        <v>-3.9211245555555552</v>
      </c>
      <c r="P17" s="102">
        <f>P16-(-'Measured Data'!V20*'In Process Calc.'!$J16+'Measured Data'!V21*'In Process Calc.'!$E17-$F16*'Measured Data'!AT21)/1000</f>
        <v>1.8019878888888896</v>
      </c>
      <c r="Q17" s="102">
        <f>Q16-(-'Measured Data'!W20*'In Process Calc.'!$J16+'Measured Data'!W21*'In Process Calc.'!$E17-$F16*'Measured Data'!AU21)/1000</f>
        <v>12.869713999999998</v>
      </c>
      <c r="R17" s="102">
        <f>R16-(-'Measured Data'!X20*'In Process Calc.'!$J16+'Measured Data'!X21*'In Process Calc.'!$E17-$F16*'Measured Data'!AV21)/1000</f>
        <v>-0.60838511111111138</v>
      </c>
      <c r="S17" s="102">
        <f>S16-(-'Measured Data'!Y20*'In Process Calc.'!$J16+'Measured Data'!Y21*'In Process Calc.'!$E17-$F16*'Measured Data'!AW21)/1000</f>
        <v>1.4601169999999999</v>
      </c>
      <c r="T17" s="102">
        <v>124.64949700428625</v>
      </c>
      <c r="U17" s="102">
        <f>U16-(-'Measured Data'!AA20*'In Process Calc.'!$J16+'Measured Data'!AA21*'In Process Calc.'!$E17-$G16*'Measured Data'!AY21)/1000</f>
        <v>-3.6778540000000004</v>
      </c>
      <c r="V17" s="102">
        <f>V16-(-'Measured Data'!AB20*'In Process Calc.'!$J16+'Measured Data'!AB21*'In Process Calc.'!$E17-$F16*'Measured Data'!AZ21)/1000</f>
        <v>-1.1321716666666646</v>
      </c>
      <c r="W17" s="102">
        <f>W16-(-'Measured Data'!AC20*'In Process Calc.'!$J16+'Measured Data'!AC21*'In Process Calc.'!$E17-$F16*'Measured Data'!BA21)/1000</f>
        <v>-1.7356448888888887</v>
      </c>
      <c r="X17" s="102">
        <f>X16-(-'Measured Data'!AD20*'In Process Calc.'!$J16+'Measured Data'!AD21*'In Process Calc.'!$E17-$F16*'Measured Data'!BB21)/1000</f>
        <v>1.6436052222222222</v>
      </c>
      <c r="Y17" s="102">
        <f>Y16-(-'Measured Data'!AE20*'In Process Calc.'!$J16+'Measured Data'!AE21*'In Process Calc.'!$E17-$F16*'Measured Data'!BC21)/1000</f>
        <v>1.3556207777777776</v>
      </c>
      <c r="Z17" s="102">
        <f>Z16+(-'Measured Data'!AF20*'In Process Calc.'!$J16+'Measured Data'!AF21*'In Process Calc.'!$E17-$F16*'Measured Data'!BD21)/1000</f>
        <v>7.1047217288336304</v>
      </c>
      <c r="AA17" s="102">
        <f>AA16-(-'Measured Data'!AG20*'In Process Calc.'!$J16+'Measured Data'!AG21*'In Process Calc.'!$E17-$F16*'Measured Data'!BE21)/1000</f>
        <v>7.6210901111111093</v>
      </c>
      <c r="AB17" s="102">
        <f>AB16-(-'Measured Data'!AH20*'In Process Calc.'!$J16+'Measured Data'!AH21*'In Process Calc.'!$E17-$F16*'Measured Data'!BF21)/1000</f>
        <v>4.8545798888888889</v>
      </c>
      <c r="AC17" s="102">
        <f>AC16-(-'Measured Data'!AI20*'In Process Calc.'!$J16+'Measured Data'!AI21*'In Process Calc.'!$E17-$F16*'Measured Data'!BG21)/1000</f>
        <v>1.0859205555555553</v>
      </c>
      <c r="AD17" s="102">
        <f>AD16-(-'Measured Data'!AJ20*'In Process Calc.'!$J16+'Measured Data'!AJ21*'In Process Calc.'!$E17-$F16*'Measured Data'!BH21)/1000</f>
        <v>-21.498406666666675</v>
      </c>
      <c r="AE17" s="102">
        <f>AE16-(-'Measured Data'!AK20*'In Process Calc.'!$J16+'Measured Data'!AK21*'In Process Calc.'!$E17-$F16*'Measured Data'!BI21)/1000</f>
        <v>2.436771666666667</v>
      </c>
      <c r="AF17" s="102">
        <f>AF16-(-'Measured Data'!AL20*'In Process Calc.'!$J16+'Measured Data'!AL21*'In Process Calc.'!$E17-$F16*'Measured Data'!BJ21)/1000</f>
        <v>4.4519878888888886</v>
      </c>
      <c r="AG17" s="102">
        <f>AG16-(-'Measured Data'!AM20*'In Process Calc.'!$J16+'Measured Data'!AM21*'In Process Calc.'!$E17-$F16*'Measured Data'!BK21)/1000</f>
        <v>7.8197798888888883</v>
      </c>
      <c r="AH17" s="102">
        <f>AH16-(-'Measured Data'!AN20*'In Process Calc.'!$J16+'Measured Data'!AN21*'In Process Calc.'!$E17-$F16*'Measured Data'!BL21)/1000</f>
        <v>5.4971432222222205</v>
      </c>
      <c r="AI17" s="102">
        <f>AI16-(-'Measured Data'!AO20*'In Process Calc.'!$J16+'Measured Data'!AO21*'In Process Calc.'!$E17-$F16*'Measured Data'!BM21)/1000</f>
        <v>1.129501888888889</v>
      </c>
      <c r="AJ17" s="102">
        <f>AJ16-(-'Measured Data'!AP20*'In Process Calc.'!$J16+'Measured Data'!AP21*'In Process Calc.'!$E17-$F16*'Measured Data'!BN21)/1000</f>
        <v>2.336046222222222</v>
      </c>
      <c r="AK17" s="102">
        <f>AK16-(-'Measured Data'!AQ20*'In Process Calc.'!$J16+'Measured Data'!AQ21*'In Process Calc.'!$E17-$F16*'Measured Data'!BO21)/1000</f>
        <v>2.8832205555555541</v>
      </c>
      <c r="AL17" s="102">
        <f>AL16-(-'Measured Data'!AR20*'In Process Calc.'!$J16+'Measured Data'!AR21*'In Process Calc.'!$E17-'In Process Calc.'!$F16*'Measured Data'!BP21)/1000</f>
        <v>0</v>
      </c>
      <c r="AM17" s="101">
        <f t="shared" si="15"/>
        <v>94.999546111111115</v>
      </c>
      <c r="AN17" s="101">
        <f t="shared" si="2"/>
        <v>69.580014888888897</v>
      </c>
      <c r="AO17" s="101">
        <f t="shared" si="16"/>
        <v>288.64271577777777</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-2.3885019808678491E-3</v>
      </c>
      <c r="AS17" s="108">
        <f t="shared" si="3"/>
        <v>-3.92964300819287E-5</v>
      </c>
      <c r="AT17" s="108">
        <f>('Measured Data'!$I21*$E17-'Measured Data'!$I20*$J16)/(('Measured Data'!$H20*$J16+'Measured Data'!$H21*$E17)*0.5*($C17-$C16))</f>
        <v>2.3492055507859204E-3</v>
      </c>
      <c r="AU17" s="108">
        <f>(N17-N16)*1000/(('Measured Data'!$H20*$J16+'Measured Data'!$H21*$E17)*0.5*($C17-$C16))</f>
        <v>0.70113846941785962</v>
      </c>
      <c r="AV17" s="108">
        <f>(O17-O16)*1000/(('Measured Data'!$H20*$J16+'Measured Data'!$H21*$E17)*0.5*($C17-$C16))</f>
        <v>1.2941568481726065E-3</v>
      </c>
      <c r="AW17" s="108">
        <f>(P17-P16)*1000/(('Measured Data'!$H20*$J16+'Measured Data'!$H21*$E17)*0.5*($C17-$C16))</f>
        <v>5.9342639024801899E-4</v>
      </c>
      <c r="AX17" s="108">
        <f>(Q17-Q16)*1000/(('Measured Data'!$H20*$J16+'Measured Data'!$H21*$E17)*0.5*($C17-$C16))</f>
        <v>9.361284852842205E-6</v>
      </c>
      <c r="AY17" s="108">
        <f>(R17-R16)*1000/(('Measured Data'!$H20*$J16+'Measured Data'!$H21*$E17)*0.5*($C17-$C16))</f>
        <v>-2.7779842072218344E-5</v>
      </c>
      <c r="AZ17" s="108">
        <f>(S17-S16)*1000/(('Measured Data'!$H20*$J16+'Measured Data'!$H21*$E17)*0.5*($C17-$C16))</f>
        <v>-5.2931836484881303E-4</v>
      </c>
      <c r="BA17" s="507">
        <v>3.9810151286534236E-2</v>
      </c>
      <c r="BB17" s="108">
        <f>(U17-U16)*1000/(('Measured Data'!$H20*$J16+'Measured Data'!$H21*$E17)*0.5*($C17-$C16))</f>
        <v>7.3535095487783746E-4</v>
      </c>
      <c r="BC17" s="108">
        <f>(V17-V16)*1000/(('Measured Data'!$H20*$J16+'Measured Data'!$H21*$E17)*0.5*($C17-$C16))</f>
        <v>8.4310804977109075E-4</v>
      </c>
      <c r="BD17" s="108">
        <f>(W17-W16)*1000/(('Measured Data'!$H20*$J16+'Measured Data'!$H21*$E17)*0.5*($C17-$C16))</f>
        <v>-2.1247685076969951E-3</v>
      </c>
      <c r="BE17" s="108">
        <f>(X17-X16)*1000/(('Measured Data'!$H20*$J16+'Measured Data'!$H21*$E17)*0.5*($C17-$C16))</f>
        <v>1.3828277175878081E-4</v>
      </c>
      <c r="BF17" s="108">
        <f>(Y17-Y16)*1000/(('Measured Data'!$H20*$J16+'Measured Data'!$H21*$E17)*0.5*($C17-$C16))</f>
        <v>-6.2358083907438387E-6</v>
      </c>
      <c r="BG17" s="507">
        <v>5.5544633826823961E-3</v>
      </c>
      <c r="BH17" s="108">
        <f>(AA17-AA16)*1000/(('Measured Data'!$H20*$J16+'Measured Data'!$H21*$E17)*0.5*($C17-$C16))</f>
        <v>5.3027041379117483E-4</v>
      </c>
      <c r="BI17" s="108">
        <f>(AB17-AB16)*1000/(('Measured Data'!$H20*$J16+'Measured Data'!$H21*$E17)*0.5*($C17-$C16))</f>
        <v>1.0807103546260056E-3</v>
      </c>
      <c r="BJ17" s="108">
        <f>(AC17-AC16)*1000/(('Measured Data'!$H20*$J16+'Measured Data'!$H21*$E17)*0.5*($C17-$C16))</f>
        <v>-3.2043289995980335E-4</v>
      </c>
      <c r="BK17" s="108">
        <f>(AD17-AD16)*1000/(('Measured Data'!$H20*$J16+'Measured Data'!$H21*$E17)*0.5*($C17-$C16))</f>
        <v>-2.1679885755613794E-3</v>
      </c>
      <c r="BL17" s="108">
        <f>(AE17-AE16)*1000/(('Measured Data'!$H20*$J16+'Measured Data'!$H21*$E17)*0.5*($C17-$C16))</f>
        <v>4.886839923592144E-4</v>
      </c>
      <c r="BM17" s="108">
        <f>(AF17-AF16)*1000/(('Measured Data'!$H20*$J16+'Measured Data'!$H21*$E17)*0.5*($C17-$C16))</f>
        <v>-1.0861540665233636E-3</v>
      </c>
      <c r="BN17" s="108">
        <f>(AG17-AG16)*1000/(('Measured Data'!$H20*$J16+'Measured Data'!$H21*$E17)*0.5*($C17-$C16))</f>
        <v>-7.203558100965326E-4</v>
      </c>
      <c r="BO17" s="108">
        <f>(AH17-AH16)*1000/(('Measured Data'!$H20*$J16+'Measured Data'!$H21*$E17)*0.5*($C17-$C16))</f>
        <v>-5.6548743708979214E-4</v>
      </c>
      <c r="BP17" s="108">
        <f>(AI17-AI16)*1000/(('Measured Data'!$H20*$J16+'Measured Data'!$H21*$E17)*0.5*($C17-$C16))</f>
        <v>3.2064118403713881E-4</v>
      </c>
      <c r="BQ17" s="108">
        <f>(AJ17-AJ16)*1000/(('Measured Data'!$H20*$J16+'Measured Data'!$H21*$E17)*0.5*($C17-$C16))</f>
        <v>-4.2323520832574348E-4</v>
      </c>
      <c r="BR17" s="108">
        <f>(AK17-AK16)*1000/(('Measured Data'!$H20*$J16+'Measured Data'!$H21*$E17)*0.5*($C17-$C16))</f>
        <v>1.5992501119574862E-3</v>
      </c>
      <c r="BS17" s="108">
        <f>(AL17-AL16)*1000/(('Measured Data'!$H20*$E17+'Measured Data'!$H21*$E17)*0.5*($C17-$C16))</f>
        <v>0</v>
      </c>
      <c r="BT17" s="109">
        <f t="shared" si="8"/>
        <v>7.8797302956278743E-3</v>
      </c>
      <c r="BU17" s="109">
        <f t="shared" si="9"/>
        <v>4.4175848718938891E-3</v>
      </c>
      <c r="BV17" s="109">
        <f t="shared" si="10"/>
        <v>1.6706271207770129E-2</v>
      </c>
      <c r="BW17" s="109">
        <f t="shared" si="11"/>
        <v>3.9545321516886625E-2</v>
      </c>
      <c r="BX17" s="108">
        <f t="shared" si="4"/>
        <v>0.13952379489100789</v>
      </c>
      <c r="BY17" s="108">
        <f t="shared" si="5"/>
        <v>0</v>
      </c>
      <c r="BZ17" s="108">
        <f t="shared" si="6"/>
        <v>1.8471443365917817E-2</v>
      </c>
      <c r="CA17" s="108">
        <f t="shared" si="12"/>
        <v>-2.9482365681044684</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351</v>
      </c>
      <c r="B1" s="93" t="s">
        <v>1</v>
      </c>
      <c r="C1" s="255" t="s">
        <v>409</v>
      </c>
      <c r="D1" s="255" t="s">
        <v>410</v>
      </c>
      <c r="E1" s="255" t="s">
        <v>411</v>
      </c>
      <c r="F1" s="255" t="s">
        <v>5</v>
      </c>
      <c r="G1" s="255" t="s">
        <v>480</v>
      </c>
      <c r="H1" s="291" t="s">
        <v>472</v>
      </c>
      <c r="I1" s="291" t="s">
        <v>473</v>
      </c>
      <c r="J1" s="59" t="s">
        <v>109</v>
      </c>
      <c r="K1" s="104" t="s">
        <v>479</v>
      </c>
      <c r="L1" s="105" t="s">
        <v>61</v>
      </c>
      <c r="M1" s="255" t="s">
        <v>480</v>
      </c>
      <c r="N1" s="291" t="s">
        <v>472</v>
      </c>
      <c r="O1" s="291" t="s">
        <v>473</v>
      </c>
      <c r="P1" s="104" t="s">
        <v>479</v>
      </c>
      <c r="Q1" s="59" t="s">
        <v>109</v>
      </c>
      <c r="R1" s="93" t="s">
        <v>351</v>
      </c>
      <c r="S1" s="93" t="s">
        <v>1</v>
      </c>
      <c r="T1" s="104" t="s">
        <v>479</v>
      </c>
    </row>
    <row r="2" spans="1:20">
      <c r="A2" s="95">
        <f>'In Process Calc.'!B3</f>
        <v>2.5694444448163267E-2</v>
      </c>
      <c r="B2" s="95">
        <f>'In Process Calc.'!C3</f>
        <v>0.61666666675591841</v>
      </c>
      <c r="C2" s="290">
        <f>'Measured Data'!H7</f>
        <v>0.26</v>
      </c>
      <c r="D2" s="252">
        <f>E2-C2</f>
        <v>1.0441767068273267E-3</v>
      </c>
      <c r="E2" s="252">
        <f>C2/F2*100</f>
        <v>0.26104417670682734</v>
      </c>
      <c r="F2" s="290">
        <f>'Measured Data'!K7</f>
        <v>99.6</v>
      </c>
      <c r="G2">
        <f>$H$24/(1+$I$24*EXP(-$J$24*B2))</f>
        <v>0.33633868996305777</v>
      </c>
      <c r="H2" s="296">
        <f>G2-C2</f>
        <v>7.633868996305776E-2</v>
      </c>
      <c r="I2" s="296">
        <f>H2^2</f>
        <v>5.8275955852758552E-3</v>
      </c>
      <c r="J2">
        <v>0</v>
      </c>
      <c r="K2">
        <f>$H$24*$I$24*$J$24*(1+$I$24*EXP(-$J$24*B2))^-2*EXP(-$J$24*B2)</f>
        <v>9.5697623320803362E-3</v>
      </c>
      <c r="L2">
        <f>'In Process Calc.'!AS3</f>
        <v>0</v>
      </c>
      <c r="M2">
        <f>$N$24*$M$24/($M$24+($N$24-$M$24)*EXP(-$O$24*B2))</f>
        <v>0.26422524334438419</v>
      </c>
      <c r="N2" s="296">
        <f>M2-E2</f>
        <v>3.1810666375568508E-3</v>
      </c>
      <c r="O2" s="292">
        <f>N2^2</f>
        <v>1.011918495257725E-5</v>
      </c>
      <c r="P2">
        <f>($N$24-$M$24)*$O$24*EXP(-$O$24*B2)/($M$24+($N$24-$M$24)*EXP(-$O$24*B2))</f>
        <v>2.61377814069895E-2</v>
      </c>
      <c r="Q2">
        <f>P2*'Post Process Calc.'!A4*1000</f>
        <v>11.304590149429014</v>
      </c>
      <c r="R2" s="477">
        <f>AVERAGE(A2:A3)</f>
        <v>0.45625000000291038</v>
      </c>
      <c r="S2" s="477">
        <f>AVERAGE(B2:B3)</f>
        <v>10.950000000069849</v>
      </c>
      <c r="T2">
        <f>($N$24-$M$24)*$O$24*EXP(-$O$24*S2)/($M$24+($N$24-$M$24)*EXP(-$O$24*S2))</f>
        <v>2.6012391822342888E-2</v>
      </c>
    </row>
    <row r="3" spans="1:20">
      <c r="A3" s="95">
        <f>'In Process Calc.'!B4</f>
        <v>0.8868055555576575</v>
      </c>
      <c r="B3" s="95">
        <f>'In Process Calc.'!C4</f>
        <v>21.28333333338378</v>
      </c>
      <c r="C3" s="290">
        <f>'Measured Data'!H8</f>
        <v>0.43249998817443841</v>
      </c>
      <c r="D3" s="252">
        <f t="shared" ref="D3:D13" si="0">E3-C3</f>
        <v>2.5590320804282363E-3</v>
      </c>
      <c r="E3" s="252">
        <f t="shared" ref="E3:E13" si="1">C3/F3*100</f>
        <v>0.43505902025486665</v>
      </c>
      <c r="F3" s="290">
        <f>'Measured Data'!K8</f>
        <v>99.411796569824219</v>
      </c>
      <c r="G3">
        <f t="shared" ref="G3:G13" si="2">$H$24/(1+$I$24*EXP(-$J$24*B3))</f>
        <v>0.59349492836012863</v>
      </c>
      <c r="H3" s="296">
        <f t="shared" ref="H3:H13" si="3">G3-C3</f>
        <v>0.16099494018569022</v>
      </c>
      <c r="I3" s="296">
        <f t="shared" ref="I3:I13" si="4">H3^2</f>
        <v>2.5919370765393971E-2</v>
      </c>
      <c r="J3">
        <v>1</v>
      </c>
      <c r="K3">
        <f t="shared" ref="K3:K13" si="5">$H$24*$I$24*$J$24*(1+$I$24*EXP(-$J$24*B3))^-2*EXP(-$J$24*B3)</f>
        <v>1.5629096791840314E-2</v>
      </c>
      <c r="L3">
        <f>'In Process Calc.'!AS4</f>
        <v>2.3962614215634895E-2</v>
      </c>
      <c r="M3">
        <f t="shared" ref="M3:M13" si="6">$N$24*$M$24/($M$24+($N$24-$M$24)*EXP(-$O$24*B3))</f>
        <v>0.4522619673430347</v>
      </c>
      <c r="N3" s="296">
        <f>M3-E3</f>
        <v>1.7202947088168052E-2</v>
      </c>
      <c r="O3" s="292">
        <f t="shared" ref="O3:O13" si="7">N3^2</f>
        <v>2.9594138851830968E-4</v>
      </c>
      <c r="P3">
        <f t="shared" ref="P3:P13" si="8">($N$24-$M$24)*$O$24*EXP(-$O$24*B3)/($M$24+($N$24-$M$24)*EXP(-$O$24*B3))</f>
        <v>2.5849252378696761E-2</v>
      </c>
      <c r="Q3">
        <f>P3*'Post Process Calc.'!A5*1000</f>
        <v>21.713371998105277</v>
      </c>
      <c r="R3" s="477">
        <f t="shared" ref="R3:R15" si="9">AVERAGE(A3:A4)</f>
        <v>1.4548611111131322</v>
      </c>
      <c r="S3" s="477">
        <f t="shared" ref="S3:S15" si="10">AVERAGE(B3:B4)</f>
        <v>34.916666666715173</v>
      </c>
      <c r="T3">
        <f t="shared" ref="T3:T16" si="11">($N$24-$M$24)*$O$24*EXP(-$O$24*S3)/($M$24+($N$24-$M$24)*EXP(-$O$24*S3))</f>
        <v>2.5557905144305008E-2</v>
      </c>
    </row>
    <row r="4" spans="1:20">
      <c r="A4" s="95">
        <f>'In Process Calc.'!B5</f>
        <v>2.0229166666686069</v>
      </c>
      <c r="B4" s="95">
        <f>'In Process Calc.'!C5</f>
        <v>48.550000000046566</v>
      </c>
      <c r="C4" s="290">
        <f>'Measured Data'!H9</f>
        <v>0.84</v>
      </c>
      <c r="D4" s="252">
        <f t="shared" si="0"/>
        <v>1.1063829787234081E-2</v>
      </c>
      <c r="E4" s="252">
        <f t="shared" si="1"/>
        <v>0.85106382978723405</v>
      </c>
      <c r="F4" s="290">
        <f>'Measured Data'!K9</f>
        <v>98.7</v>
      </c>
      <c r="G4">
        <f t="shared" si="2"/>
        <v>1.1488659553357035</v>
      </c>
      <c r="H4" s="296">
        <f t="shared" si="3"/>
        <v>0.30886595533570349</v>
      </c>
      <c r="I4" s="296">
        <f t="shared" si="4"/>
        <v>9.5398178365436778E-2</v>
      </c>
      <c r="J4">
        <v>2</v>
      </c>
      <c r="K4">
        <f t="shared" si="5"/>
        <v>2.4997265230995956E-2</v>
      </c>
      <c r="L4">
        <f>'In Process Calc.'!AS5</f>
        <v>2.3718472247711016E-2</v>
      </c>
      <c r="M4">
        <f t="shared" si="6"/>
        <v>0.90742946672569902</v>
      </c>
      <c r="N4" s="296">
        <f t="shared" ref="N4:N13" si="12">M4-E4</f>
        <v>5.6365636938464969E-2</v>
      </c>
      <c r="O4" s="292">
        <f t="shared" si="7"/>
        <v>3.1770850274788465E-3</v>
      </c>
      <c r="P4">
        <f t="shared" si="8"/>
        <v>2.5150830105033578E-2</v>
      </c>
      <c r="Q4">
        <f>P4*'Post Process Calc.'!A6*1000</f>
        <v>37.406830162090422</v>
      </c>
      <c r="R4" s="477">
        <f t="shared" si="9"/>
        <v>2.4916666666686069</v>
      </c>
      <c r="S4" s="477">
        <f t="shared" si="10"/>
        <v>59.800000000046566</v>
      </c>
      <c r="T4">
        <f t="shared" si="11"/>
        <v>2.4699947760576185E-2</v>
      </c>
    </row>
    <row r="5" spans="1:20">
      <c r="A5" s="95">
        <f>'In Process Calc.'!B6</f>
        <v>2.9604166666686069</v>
      </c>
      <c r="B5" s="95">
        <f>'In Process Calc.'!C6</f>
        <v>71.050000000046566</v>
      </c>
      <c r="C5" s="290">
        <f>'Measured Data'!H10</f>
        <v>1.4873000217437744</v>
      </c>
      <c r="D5" s="252">
        <f t="shared" si="0"/>
        <v>1.7401904409480418E-2</v>
      </c>
      <c r="E5" s="252">
        <f t="shared" si="1"/>
        <v>1.5047019261532548</v>
      </c>
      <c r="F5" s="290">
        <f>'Measured Data'!K10</f>
        <v>98.843498229980469</v>
      </c>
      <c r="G5">
        <f t="shared" si="2"/>
        <v>1.7720631717526127</v>
      </c>
      <c r="H5" s="296">
        <f t="shared" si="3"/>
        <v>0.28476315000883834</v>
      </c>
      <c r="I5" s="296">
        <f t="shared" si="4"/>
        <v>8.1090051602956167E-2</v>
      </c>
      <c r="J5">
        <v>3</v>
      </c>
      <c r="K5">
        <f t="shared" si="5"/>
        <v>2.9458040932986523E-2</v>
      </c>
      <c r="L5">
        <f>'In Process Calc.'!AS6</f>
        <v>2.4326836394827106E-2</v>
      </c>
      <c r="M5">
        <f t="shared" si="6"/>
        <v>1.5810908239377788</v>
      </c>
      <c r="N5" s="296">
        <f t="shared" si="12"/>
        <v>7.6388897784523957E-2</v>
      </c>
      <c r="O5" s="292">
        <f t="shared" si="7"/>
        <v>5.835263704734449E-3</v>
      </c>
      <c r="P5">
        <f t="shared" si="8"/>
        <v>2.4117144489471783E-2</v>
      </c>
      <c r="Q5">
        <f>P5*'Post Process Calc.'!A7*1000</f>
        <v>65.29234649074175</v>
      </c>
      <c r="R5" s="477">
        <f t="shared" si="9"/>
        <v>3.4704861111131322</v>
      </c>
      <c r="S5" s="477">
        <f t="shared" si="10"/>
        <v>83.291666666715173</v>
      </c>
      <c r="T5">
        <f t="shared" si="11"/>
        <v>2.3299511775973725E-2</v>
      </c>
    </row>
    <row r="6" spans="1:20">
      <c r="A6" s="95">
        <f>'In Process Calc.'!B7</f>
        <v>3.9805555555576575</v>
      </c>
      <c r="B6" s="95">
        <f>'In Process Calc.'!C7</f>
        <v>95.53333333338378</v>
      </c>
      <c r="C6" s="290">
        <f>'Measured Data'!H11</f>
        <v>2.7073000503540041</v>
      </c>
      <c r="D6" s="252">
        <f t="shared" si="0"/>
        <v>2.5588091386322009E-2</v>
      </c>
      <c r="E6" s="252">
        <f t="shared" si="1"/>
        <v>2.7328881417403261</v>
      </c>
      <c r="F6" s="290">
        <f>'Measured Data'!K11</f>
        <v>99.063697814941406</v>
      </c>
      <c r="G6">
        <f t="shared" si="2"/>
        <v>2.4767587779858693</v>
      </c>
      <c r="H6" s="296">
        <f t="shared" si="3"/>
        <v>-0.23054127236813482</v>
      </c>
      <c r="I6" s="296">
        <f t="shared" si="4"/>
        <v>5.3149278265118526E-2</v>
      </c>
      <c r="J6">
        <v>4</v>
      </c>
      <c r="K6">
        <f t="shared" si="5"/>
        <v>2.6792289894484473E-2</v>
      </c>
      <c r="L6">
        <f>'In Process Calc.'!AS7</f>
        <v>2.3614773155183351E-2</v>
      </c>
      <c r="M6">
        <f t="shared" si="6"/>
        <v>2.7944610104844041</v>
      </c>
      <c r="N6" s="296">
        <f t="shared" si="12"/>
        <v>6.1572868744077969E-2</v>
      </c>
      <c r="O6" s="292">
        <f t="shared" si="7"/>
        <v>3.7912181653754536E-3</v>
      </c>
      <c r="P6">
        <f t="shared" si="8"/>
        <v>2.2255313920214542E-2</v>
      </c>
      <c r="Q6">
        <f>P6*'Post Process Calc.'!A8*1000</f>
        <v>89.546480325299655</v>
      </c>
      <c r="R6" s="477">
        <f t="shared" si="9"/>
        <v>4.406250000003638</v>
      </c>
      <c r="S6" s="477">
        <f t="shared" si="10"/>
        <v>105.75000000008731</v>
      </c>
      <c r="T6">
        <f t="shared" si="11"/>
        <v>2.1189009065378649E-2</v>
      </c>
    </row>
    <row r="7" spans="1:20">
      <c r="A7" s="95">
        <f>'In Process Calc.'!B8</f>
        <v>4.8319444444496185</v>
      </c>
      <c r="B7" s="95">
        <f>'In Process Calc.'!C8</f>
        <v>115.96666666679084</v>
      </c>
      <c r="C7" s="290">
        <f>'Measured Data'!H12</f>
        <v>4.0235999656677244</v>
      </c>
      <c r="D7" s="252">
        <f t="shared" si="0"/>
        <v>3.531265124853622E-2</v>
      </c>
      <c r="E7" s="252">
        <f t="shared" si="1"/>
        <v>4.0589126169162606</v>
      </c>
      <c r="F7" s="290">
        <f>'Measured Data'!K12</f>
        <v>99.129997253417969</v>
      </c>
      <c r="G7">
        <f t="shared" si="2"/>
        <v>2.9605221159533488</v>
      </c>
      <c r="H7" s="296">
        <f t="shared" si="3"/>
        <v>-1.0630778497143756</v>
      </c>
      <c r="I7" s="296">
        <f t="shared" si="4"/>
        <v>1.1301345145533406</v>
      </c>
      <c r="J7">
        <v>5</v>
      </c>
      <c r="K7">
        <f t="shared" si="5"/>
        <v>2.0225323589129721E-2</v>
      </c>
      <c r="L7">
        <f>'In Process Calc.'!AS8</f>
        <v>1.9574716018965304E-2</v>
      </c>
      <c r="M7">
        <f t="shared" si="6"/>
        <v>4.3058084994111043</v>
      </c>
      <c r="N7" s="296">
        <f t="shared" si="12"/>
        <v>0.24689588249484373</v>
      </c>
      <c r="O7" s="292">
        <f t="shared" si="7"/>
        <v>6.0957576792907683E-2</v>
      </c>
      <c r="P7">
        <f t="shared" si="8"/>
        <v>1.9936258295762066E-2</v>
      </c>
      <c r="Q7">
        <f>P7*'Post Process Calc.'!A9*1000</f>
        <v>130.68815599873977</v>
      </c>
      <c r="R7" s="477">
        <f t="shared" si="9"/>
        <v>5.3569444444474357</v>
      </c>
      <c r="S7" s="477">
        <f t="shared" si="10"/>
        <v>128.56666666673846</v>
      </c>
      <c r="T7">
        <f t="shared" si="11"/>
        <v>1.8142683509561001E-2</v>
      </c>
    </row>
    <row r="8" spans="1:20">
      <c r="A8" s="95">
        <f>'In Process Calc.'!B9</f>
        <v>5.8819444444452529</v>
      </c>
      <c r="B8" s="95">
        <f>'In Process Calc.'!C9</f>
        <v>141.16666666668607</v>
      </c>
      <c r="C8" s="290">
        <f>'Measured Data'!H13</f>
        <v>6.555300099945069</v>
      </c>
      <c r="D8" s="252">
        <f t="shared" si="0"/>
        <v>5.4244639370184977E-2</v>
      </c>
      <c r="E8" s="252">
        <f t="shared" si="1"/>
        <v>6.609544739315254</v>
      </c>
      <c r="F8" s="290">
        <f>'Measured Data'!K13</f>
        <v>99.179298400878906</v>
      </c>
      <c r="G8">
        <f t="shared" si="2"/>
        <v>3.3611080059223535</v>
      </c>
      <c r="H8" s="296">
        <f t="shared" si="3"/>
        <v>-3.1941920940227155</v>
      </c>
      <c r="I8" s="296">
        <f t="shared" si="4"/>
        <v>10.202863133517221</v>
      </c>
      <c r="J8">
        <v>6</v>
      </c>
      <c r="K8">
        <f t="shared" si="5"/>
        <v>1.1868681657477032E-2</v>
      </c>
      <c r="L8">
        <f>'In Process Calc.'!AS9</f>
        <v>1.9362127916059874E-2</v>
      </c>
      <c r="M8">
        <f t="shared" si="6"/>
        <v>6.794947168399406</v>
      </c>
      <c r="N8" s="296">
        <f t="shared" si="12"/>
        <v>0.18540242908415205</v>
      </c>
      <c r="O8" s="292">
        <f t="shared" si="7"/>
        <v>3.4374060710304029E-2</v>
      </c>
      <c r="P8">
        <f t="shared" si="8"/>
        <v>1.6116851393872915E-2</v>
      </c>
      <c r="Q8">
        <f>P8*'Post Process Calc.'!A10*1000</f>
        <v>152.06249747537058</v>
      </c>
      <c r="R8" s="477">
        <f t="shared" si="9"/>
        <v>6.3746527777802839</v>
      </c>
      <c r="S8" s="477">
        <f t="shared" si="10"/>
        <v>152.99166666672681</v>
      </c>
      <c r="T8">
        <f t="shared" si="11"/>
        <v>1.4077887281302399E-2</v>
      </c>
    </row>
    <row r="9" spans="1:20">
      <c r="A9" s="95">
        <f>'In Process Calc.'!B10</f>
        <v>6.867361111115315</v>
      </c>
      <c r="B9" s="95">
        <f>'In Process Calc.'!C10</f>
        <v>164.81666666676756</v>
      </c>
      <c r="C9" s="290">
        <f>'Measured Data'!H14</f>
        <v>9.4350002838134763</v>
      </c>
      <c r="D9" s="252">
        <f t="shared" si="0"/>
        <v>7.062644689919928E-2</v>
      </c>
      <c r="E9" s="252">
        <f t="shared" si="1"/>
        <v>9.5056267307126756</v>
      </c>
      <c r="F9" s="290">
        <f>'Measured Data'!K14</f>
        <v>99.257003784179688</v>
      </c>
      <c r="G9">
        <f t="shared" si="2"/>
        <v>3.572038320920313</v>
      </c>
      <c r="H9" s="296">
        <f t="shared" si="3"/>
        <v>-5.8629619628931628</v>
      </c>
      <c r="I9" s="296">
        <f t="shared" si="4"/>
        <v>34.374322978332046</v>
      </c>
      <c r="J9">
        <v>7</v>
      </c>
      <c r="K9">
        <f t="shared" si="5"/>
        <v>6.4057062892559176E-3</v>
      </c>
      <c r="L9">
        <f>'In Process Calc.'!AS10</f>
        <v>1.5578763516628199E-2</v>
      </c>
      <c r="M9">
        <f t="shared" si="6"/>
        <v>9.477938649514325</v>
      </c>
      <c r="N9" s="296">
        <f t="shared" si="12"/>
        <v>-2.7688081198350645E-2</v>
      </c>
      <c r="O9" s="292">
        <f t="shared" si="7"/>
        <v>7.6662984044645842E-4</v>
      </c>
      <c r="P9">
        <f t="shared" si="8"/>
        <v>1.1999991088599072E-2</v>
      </c>
      <c r="Q9">
        <f>P9*'Post Process Calc.'!A11*1000</f>
        <v>144.17149546260944</v>
      </c>
      <c r="R9" s="477">
        <f t="shared" si="9"/>
        <v>7.375347222223354</v>
      </c>
      <c r="S9" s="477">
        <f t="shared" si="10"/>
        <v>177.0083333333605</v>
      </c>
      <c r="T9">
        <f t="shared" si="11"/>
        <v>9.9226216485171284E-3</v>
      </c>
    </row>
    <row r="10" spans="1:20">
      <c r="A10" s="95">
        <f>'In Process Calc.'!B11</f>
        <v>7.8833333333313931</v>
      </c>
      <c r="B10" s="95">
        <f>'In Process Calc.'!C11</f>
        <v>189.19999999995343</v>
      </c>
      <c r="C10" s="290">
        <f>'Measured Data'!H15</f>
        <v>12.014300210571289</v>
      </c>
      <c r="D10" s="252">
        <f t="shared" si="0"/>
        <v>0.10234978773979186</v>
      </c>
      <c r="E10" s="252">
        <f t="shared" si="1"/>
        <v>12.116649998311081</v>
      </c>
      <c r="F10" s="290">
        <f>'Measured Data'!K15</f>
        <v>99.155296325683594</v>
      </c>
      <c r="G10">
        <f t="shared" si="2"/>
        <v>3.6848299093168304</v>
      </c>
      <c r="H10" s="296">
        <f t="shared" si="3"/>
        <v>-8.3294703012544584</v>
      </c>
      <c r="I10" s="296">
        <f t="shared" si="4"/>
        <v>69.380075499480043</v>
      </c>
      <c r="J10">
        <v>8</v>
      </c>
      <c r="K10">
        <f t="shared" si="5"/>
        <v>3.1836306842650433E-3</v>
      </c>
      <c r="L10">
        <f>'In Process Calc.'!AS11</f>
        <v>1.0521149162244073E-2</v>
      </c>
      <c r="M10">
        <f t="shared" si="6"/>
        <v>12.08028062729122</v>
      </c>
      <c r="N10" s="296">
        <f t="shared" si="12"/>
        <v>-3.6369371019860708E-2</v>
      </c>
      <c r="O10" s="292">
        <f t="shared" si="7"/>
        <v>1.3227311483802839E-3</v>
      </c>
      <c r="P10">
        <f t="shared" si="8"/>
        <v>8.0068817312016569E-3</v>
      </c>
      <c r="Q10">
        <f>P10*'Post Process Calc.'!A12*1000</f>
        <v>115.72666822561999</v>
      </c>
      <c r="R10" s="477">
        <f t="shared" si="9"/>
        <v>8.3822916666649689</v>
      </c>
      <c r="S10" s="477">
        <f t="shared" si="10"/>
        <v>201.17499999995925</v>
      </c>
      <c r="T10">
        <f t="shared" si="11"/>
        <v>6.3480941484517694E-3</v>
      </c>
    </row>
    <row r="11" spans="1:20">
      <c r="A11" s="95">
        <f>'In Process Calc.'!B12</f>
        <v>8.8812499999985448</v>
      </c>
      <c r="B11" s="95">
        <f>'In Process Calc.'!C12</f>
        <v>213.14999999996508</v>
      </c>
      <c r="C11" s="290">
        <f>'Measured Data'!H16</f>
        <v>14.453400476074219</v>
      </c>
      <c r="D11" s="252">
        <f t="shared" si="0"/>
        <v>0.12589256020654993</v>
      </c>
      <c r="E11" s="252">
        <f t="shared" si="1"/>
        <v>14.579293036280768</v>
      </c>
      <c r="F11" s="290">
        <f>'Measured Data'!K16</f>
        <v>99.136497497558594</v>
      </c>
      <c r="G11">
        <f t="shared" si="2"/>
        <v>3.7393165843665228</v>
      </c>
      <c r="H11" s="296">
        <f t="shared" si="3"/>
        <v>-10.714083891707695</v>
      </c>
      <c r="I11" s="296">
        <f t="shared" si="4"/>
        <v>114.79159363855031</v>
      </c>
      <c r="J11">
        <v>9</v>
      </c>
      <c r="K11">
        <f t="shared" si="5"/>
        <v>1.5520346367752971E-3</v>
      </c>
      <c r="L11">
        <f>'In Process Calc.'!AS12</f>
        <v>7.7228739597883572E-3</v>
      </c>
      <c r="M11">
        <f t="shared" si="6"/>
        <v>14.078113579028139</v>
      </c>
      <c r="N11" s="296">
        <f t="shared" si="12"/>
        <v>-0.50117945725262913</v>
      </c>
      <c r="O11" s="292">
        <f t="shared" si="7"/>
        <v>0.25118084837203991</v>
      </c>
      <c r="P11">
        <f t="shared" si="8"/>
        <v>4.9413486374640745E-3</v>
      </c>
      <c r="Q11">
        <f>P11*'Post Process Calc.'!A13*1000</f>
        <v>74.655872787228475</v>
      </c>
      <c r="R11" s="477">
        <f t="shared" si="9"/>
        <v>9.4045138888905058</v>
      </c>
      <c r="S11" s="477">
        <f t="shared" si="10"/>
        <v>225.70833333337214</v>
      </c>
      <c r="T11">
        <f t="shared" si="11"/>
        <v>3.7378668758009403E-3</v>
      </c>
    </row>
    <row r="12" spans="1:20">
      <c r="A12" s="95">
        <f>'In Process Calc.'!B13</f>
        <v>9.9277777777824667</v>
      </c>
      <c r="B12" s="95">
        <f>'In Process Calc.'!C13</f>
        <v>238.2666666667792</v>
      </c>
      <c r="C12" s="290">
        <f>'Measured Data'!H17</f>
        <v>15.10840020904541</v>
      </c>
      <c r="D12" s="252">
        <f t="shared" si="0"/>
        <v>0.30194983824502941</v>
      </c>
      <c r="E12" s="252">
        <f t="shared" si="1"/>
        <v>15.410350047290439</v>
      </c>
      <c r="F12" s="290">
        <f>'Measured Data'!K17</f>
        <v>98.040603637695312</v>
      </c>
      <c r="G12">
        <f t="shared" si="2"/>
        <v>3.7665304300034714</v>
      </c>
      <c r="H12" s="296">
        <f t="shared" si="3"/>
        <v>-11.341869779041939</v>
      </c>
      <c r="I12" s="296">
        <f t="shared" si="4"/>
        <v>128.63801008474485</v>
      </c>
      <c r="J12">
        <v>9</v>
      </c>
      <c r="K12">
        <f t="shared" si="5"/>
        <v>7.188009046059325E-4</v>
      </c>
      <c r="L12">
        <f>'In Process Calc.'!AS13</f>
        <v>1.0426544828749363E-3</v>
      </c>
      <c r="M12">
        <f t="shared" si="6"/>
        <v>15.480396498997285</v>
      </c>
      <c r="N12" s="296">
        <f t="shared" si="12"/>
        <v>7.0046451706845758E-2</v>
      </c>
      <c r="O12" s="292">
        <f t="shared" si="7"/>
        <v>4.9065053967194752E-3</v>
      </c>
      <c r="P12">
        <f t="shared" si="8"/>
        <v>2.7896448655290607E-3</v>
      </c>
      <c r="Q12">
        <f>P12*'Post Process Calc.'!A14*1000</f>
        <v>43.74888424889653</v>
      </c>
      <c r="R12" s="477">
        <f t="shared" si="9"/>
        <v>10.42048611111386</v>
      </c>
      <c r="S12" s="477">
        <f t="shared" si="10"/>
        <v>250.09166666673264</v>
      </c>
      <c r="T12">
        <f t="shared" si="11"/>
        <v>2.0975322793781604E-3</v>
      </c>
    </row>
    <row r="13" spans="1:20">
      <c r="A13" s="95">
        <f>'In Process Calc.'!B14</f>
        <v>10.913194444445253</v>
      </c>
      <c r="B13" s="95">
        <f>'In Process Calc.'!C14</f>
        <v>261.91666666668607</v>
      </c>
      <c r="C13" s="290">
        <f>'Measured Data'!H18</f>
        <v>15.682599885559082</v>
      </c>
      <c r="D13" s="252">
        <f t="shared" si="0"/>
        <v>0.30603863333221781</v>
      </c>
      <c r="E13" s="252">
        <f t="shared" si="1"/>
        <v>15.9886385188913</v>
      </c>
      <c r="F13" s="290">
        <f>'Measured Data'!K18</f>
        <v>98.085899353027344</v>
      </c>
      <c r="G13">
        <f t="shared" si="2"/>
        <v>3.7785891075377456</v>
      </c>
      <c r="H13" s="296">
        <f t="shared" si="3"/>
        <v>-11.904010778021336</v>
      </c>
      <c r="I13" s="296">
        <f t="shared" si="4"/>
        <v>141.70547260324813</v>
      </c>
      <c r="J13">
        <v>9</v>
      </c>
      <c r="K13">
        <f t="shared" si="5"/>
        <v>3.4568636431102411E-4</v>
      </c>
      <c r="L13">
        <f>'In Process Calc.'!AS14</f>
        <v>1.3620446749401851E-3</v>
      </c>
      <c r="M13">
        <f t="shared" si="6"/>
        <v>16.277977040035108</v>
      </c>
      <c r="N13" s="296">
        <f t="shared" si="12"/>
        <v>0.28933852114380798</v>
      </c>
      <c r="O13" s="292">
        <f t="shared" si="7"/>
        <v>8.3716779817685813E-2</v>
      </c>
      <c r="P13">
        <f t="shared" si="8"/>
        <v>1.5658140435642546E-3</v>
      </c>
      <c r="Q13">
        <f>P13*'Post Process Calc.'!A15*1000</f>
        <v>22.637757038960402</v>
      </c>
      <c r="R13" s="477">
        <f t="shared" si="9"/>
        <v>11.392361111113132</v>
      </c>
      <c r="S13" s="477">
        <f t="shared" si="10"/>
        <v>273.41666666671517</v>
      </c>
      <c r="T13">
        <f t="shared" si="11"/>
        <v>1.1721019180684228E-3</v>
      </c>
    </row>
    <row r="14" spans="1:20">
      <c r="A14" s="95">
        <f>'In Process Calc.'!B15</f>
        <v>11.871527777781012</v>
      </c>
      <c r="B14" s="95">
        <f>'In Process Calc.'!C15</f>
        <v>284.91666666674428</v>
      </c>
      <c r="C14" s="290">
        <f>'Measured Data'!H19</f>
        <v>14.457500321960449</v>
      </c>
      <c r="D14" s="252">
        <f t="shared" ref="D14" si="13">E14-C14</f>
        <v>0.73796771021654628</v>
      </c>
      <c r="E14" s="252">
        <f t="shared" ref="E14" si="14">C14/F14*100</f>
        <v>15.195468032176995</v>
      </c>
      <c r="F14" s="290">
        <f>'Measured Data'!K19</f>
        <v>95.143501281738281</v>
      </c>
      <c r="G14">
        <f t="shared" ref="G14" si="15">$H$24/(1+$I$24*EXP(-$J$24*B14))</f>
        <v>3.7842699284606907</v>
      </c>
      <c r="H14" s="296">
        <f t="shared" ref="H14" si="16">G14-C14</f>
        <v>-10.673230393499757</v>
      </c>
      <c r="I14" s="296">
        <f t="shared" ref="I14" si="17">H14^2</f>
        <v>113.91784703272698</v>
      </c>
      <c r="J14">
        <v>10</v>
      </c>
      <c r="K14">
        <f t="shared" ref="K14" si="18">$H$24*$I$24*$J$24*(1+$I$24*EXP(-$J$24*B14))^-2*EXP(-$J$24*B14)</f>
        <v>1.6908248590479983E-4</v>
      </c>
      <c r="L14">
        <f>'In Process Calc.'!AS15</f>
        <v>-3.3883610261743673E-3</v>
      </c>
      <c r="M14">
        <f t="shared" ref="M14" si="19">$N$24*$M$24/($M$24+($N$24-$M$24)*EXP(-$O$24*B14))</f>
        <v>16.728888725163696</v>
      </c>
      <c r="N14" s="296">
        <f t="shared" ref="N14" si="20">M14-E14</f>
        <v>1.5334206929867005</v>
      </c>
      <c r="O14" s="292">
        <f t="shared" ref="O14" si="21">N14^2</f>
        <v>2.3513790216798127</v>
      </c>
      <c r="P14">
        <f t="shared" ref="P14" si="22">($N$24-$M$24)*$O$24*EXP(-$O$24*B14)/($M$24+($N$24-$M$24)*EXP(-$O$24*B14))</f>
        <v>8.7392201529787349E-4</v>
      </c>
      <c r="Q14">
        <f>P14*'Post Process Calc.'!A16*1000</f>
        <v>12.177579299345959</v>
      </c>
      <c r="R14" s="477">
        <f t="shared" si="9"/>
        <v>12.368055555558385</v>
      </c>
      <c r="S14" s="477">
        <f t="shared" si="10"/>
        <v>296.83333333340124</v>
      </c>
      <c r="T14">
        <f t="shared" si="11"/>
        <v>6.4268358862751317E-4</v>
      </c>
    </row>
    <row r="15" spans="1:20">
      <c r="A15" s="95">
        <f>'In Process Calc.'!B16</f>
        <v>12.864583333335759</v>
      </c>
      <c r="B15" s="95">
        <f>'In Process Calc.'!C16</f>
        <v>308.75000000005821</v>
      </c>
      <c r="C15" s="290">
        <f>'Measured Data'!H20</f>
        <v>13.934400422668457</v>
      </c>
      <c r="D15" s="252">
        <f t="shared" ref="D15:D16" si="23">E15-C15</f>
        <v>1.1412409589211983</v>
      </c>
      <c r="E15" s="252">
        <f t="shared" ref="E15:E16" si="24">C15/F15*100</f>
        <v>15.075641381589655</v>
      </c>
      <c r="F15" s="290">
        <f>'Measured Data'!K20</f>
        <v>92.429901123046875</v>
      </c>
      <c r="G15">
        <f t="shared" ref="G15:G16" si="25">$H$24/(1+$I$24*EXP(-$J$24*B15))</f>
        <v>3.7871143280724233</v>
      </c>
      <c r="H15" s="296">
        <f t="shared" ref="H15:H16" si="26">G15-C15</f>
        <v>-10.147286094596033</v>
      </c>
      <c r="I15" s="296">
        <f t="shared" ref="I15:I16" si="27">H15^2</f>
        <v>102.96741508558202</v>
      </c>
      <c r="J15">
        <v>11</v>
      </c>
      <c r="K15">
        <f t="shared" ref="K15:K16" si="28">$H$24*$I$24*$J$24*(1+$I$24*EXP(-$J$24*B15))^-2*EXP(-$J$24*B15)</f>
        <v>8.0456740421750486E-5</v>
      </c>
      <c r="L15">
        <f>'In Process Calc.'!AS16</f>
        <v>-4.9869797095263946E-4</v>
      </c>
      <c r="M15">
        <f t="shared" ref="M15:M16" si="29">$N$24*$M$24/($M$24+($N$24-$M$24)*EXP(-$O$24*B15))</f>
        <v>16.991146129644221</v>
      </c>
      <c r="N15" s="296">
        <f t="shared" ref="N15:N16" si="30">M15-E15</f>
        <v>1.9155047480545662</v>
      </c>
      <c r="O15" s="292">
        <f t="shared" ref="O15:O16" si="31">N15^2</f>
        <v>3.6691584398195869</v>
      </c>
      <c r="P15">
        <f t="shared" ref="P15:P16" si="32">($N$24-$M$24)*$O$24*EXP(-$O$24*B15)/($M$24+($N$24-$M$24)*EXP(-$O$24*B15))</f>
        <v>4.7150661224136737E-4</v>
      </c>
      <c r="Q15">
        <f>P15*'Post Process Calc.'!A17*1000</f>
        <v>6.2062998791833159</v>
      </c>
      <c r="R15" s="477">
        <f t="shared" si="9"/>
        <v>13.371875000000728</v>
      </c>
      <c r="S15" s="477">
        <f t="shared" si="10"/>
        <v>320.92500000001746</v>
      </c>
      <c r="T15">
        <f t="shared" si="11"/>
        <v>3.4298506270484731E-4</v>
      </c>
    </row>
    <row r="16" spans="1:20">
      <c r="A16" s="95">
        <f>'In Process Calc.'!B17</f>
        <v>13.879166666665697</v>
      </c>
      <c r="B16" s="95">
        <f>'In Process Calc.'!C17</f>
        <v>333.09999999997672</v>
      </c>
      <c r="C16" s="290">
        <f>'Measured Data'!H21</f>
        <v>13.162699563598633</v>
      </c>
      <c r="D16" s="252">
        <f t="shared" si="23"/>
        <v>1.918113984665073</v>
      </c>
      <c r="E16" s="252">
        <f t="shared" si="24"/>
        <v>15.080813548263706</v>
      </c>
      <c r="F16" s="290">
        <f>'Measured Data'!K21</f>
        <v>87.281097412109375</v>
      </c>
      <c r="G16">
        <f t="shared" si="25"/>
        <v>3.7884868891245089</v>
      </c>
      <c r="H16" s="296">
        <f t="shared" si="26"/>
        <v>-9.3742126744741228</v>
      </c>
      <c r="I16" s="296">
        <f t="shared" si="27"/>
        <v>87.875863266271281</v>
      </c>
      <c r="J16">
        <v>12</v>
      </c>
      <c r="K16">
        <f t="shared" si="28"/>
        <v>3.7642822381234966E-5</v>
      </c>
      <c r="L16">
        <f>'In Process Calc.'!AS17</f>
        <v>-3.92964300819287E-5</v>
      </c>
      <c r="M16">
        <f t="shared" si="29"/>
        <v>17.136050804904436</v>
      </c>
      <c r="N16" s="296">
        <f t="shared" si="30"/>
        <v>2.05523725664073</v>
      </c>
      <c r="O16" s="292">
        <f t="shared" si="31"/>
        <v>4.2240001810841141</v>
      </c>
      <c r="P16">
        <f t="shared" si="32"/>
        <v>2.4916065630882679E-4</v>
      </c>
      <c r="Q16">
        <f>P16*'Post Process Calc.'!A18*1000</f>
        <v>0</v>
      </c>
      <c r="T16">
        <f t="shared" si="11"/>
        <v>2.6144264743491703E-2</v>
      </c>
    </row>
    <row r="17" spans="1:15">
      <c r="A17" s="95"/>
      <c r="B17" s="95"/>
      <c r="C17" s="290"/>
      <c r="D17" s="252"/>
      <c r="E17" s="252"/>
      <c r="F17" s="290"/>
      <c r="H17" s="296"/>
      <c r="I17" s="296"/>
      <c r="N17" s="296"/>
      <c r="O17" s="292"/>
    </row>
    <row r="23" spans="1:15">
      <c r="G23" s="291" t="s">
        <v>474</v>
      </c>
      <c r="H23" t="s">
        <v>469</v>
      </c>
      <c r="I23" t="s">
        <v>470</v>
      </c>
      <c r="J23" t="s">
        <v>471</v>
      </c>
      <c r="L23" t="s">
        <v>474</v>
      </c>
      <c r="M23" t="s">
        <v>589</v>
      </c>
      <c r="N23" t="s">
        <v>590</v>
      </c>
      <c r="O23" t="s">
        <v>591</v>
      </c>
    </row>
    <row r="24" spans="1:15">
      <c r="G24" s="296">
        <f>SUM(I3:I16)</f>
        <v>805.23915471600515</v>
      </c>
      <c r="H24">
        <v>3.7896928499098297</v>
      </c>
      <c r="I24">
        <v>10.467103523431467</v>
      </c>
      <c r="J24">
        <v>3.1223904954928154E-2</v>
      </c>
      <c r="L24" s="292">
        <f>SUM(O2:O13)</f>
        <v>0.45033475954954333</v>
      </c>
      <c r="M24">
        <f>C2</f>
        <v>0.26</v>
      </c>
      <c r="N24">
        <v>17.298430839381002</v>
      </c>
      <c r="O24">
        <v>2.6543216319337336E-2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2" t="s">
        <v>368</v>
      </c>
      <c r="B1" s="532"/>
      <c r="C1" s="532"/>
      <c r="D1" s="532"/>
      <c r="E1" s="532"/>
      <c r="F1" s="532"/>
      <c r="G1" s="532"/>
      <c r="H1" s="532"/>
      <c r="I1" s="532"/>
      <c r="J1" s="532"/>
      <c r="K1" s="532"/>
      <c r="L1" s="532"/>
      <c r="M1" s="532"/>
      <c r="N1" s="532"/>
      <c r="O1" s="532"/>
      <c r="P1" s="532"/>
      <c r="Q1" s="532"/>
      <c r="R1" s="532"/>
      <c r="S1" s="532"/>
      <c r="T1" s="532"/>
      <c r="U1" s="532"/>
      <c r="V1" s="532"/>
      <c r="W1" s="532"/>
      <c r="X1" s="532"/>
      <c r="Y1" s="532"/>
      <c r="Z1" s="532"/>
      <c r="AA1" s="532"/>
      <c r="AB1" s="532"/>
      <c r="AC1" s="532"/>
      <c r="AD1" s="532"/>
      <c r="AE1" s="532"/>
      <c r="AF1" s="532"/>
      <c r="AH1" s="532" t="s">
        <v>484</v>
      </c>
      <c r="AI1" s="532"/>
      <c r="AJ1" s="532"/>
      <c r="AK1" s="532"/>
      <c r="AL1" s="532"/>
      <c r="AM1" s="532"/>
      <c r="AN1" s="532"/>
      <c r="AO1" s="532"/>
      <c r="AP1" s="532"/>
      <c r="AQ1" s="532"/>
      <c r="AR1" s="532"/>
      <c r="AS1" s="532"/>
      <c r="AT1" s="532"/>
      <c r="AU1" s="532"/>
      <c r="AV1" s="532"/>
      <c r="AW1" s="532"/>
      <c r="AX1" s="532"/>
      <c r="AY1" s="532"/>
      <c r="AZ1" s="532"/>
      <c r="BA1" s="532"/>
      <c r="BB1" s="532"/>
      <c r="BC1" s="532"/>
      <c r="BD1" s="532"/>
      <c r="BE1" s="532"/>
      <c r="BF1" s="532"/>
      <c r="BG1" s="532"/>
      <c r="BH1" s="532"/>
      <c r="BI1" s="532"/>
      <c r="BJ1" s="532"/>
      <c r="BK1" s="532"/>
      <c r="BL1" s="532"/>
      <c r="BM1" s="532"/>
      <c r="BO1" s="535" t="s">
        <v>375</v>
      </c>
      <c r="BP1" s="535"/>
      <c r="BQ1" s="535"/>
      <c r="BR1" s="535"/>
      <c r="BS1" s="535"/>
      <c r="BT1" s="535"/>
      <c r="BU1" s="535"/>
      <c r="BV1" s="535"/>
      <c r="BW1" s="535"/>
      <c r="BX1" s="535"/>
      <c r="BY1" s="535"/>
      <c r="BZ1" s="535"/>
      <c r="CA1" s="535"/>
      <c r="CB1" s="535"/>
      <c r="CC1" s="535"/>
      <c r="CD1" s="535"/>
      <c r="CE1" s="535"/>
      <c r="CG1" s="534" t="s">
        <v>376</v>
      </c>
      <c r="CH1" s="534"/>
      <c r="CI1" s="534"/>
      <c r="CJ1" s="534"/>
      <c r="CK1" s="534"/>
      <c r="CL1" s="534"/>
      <c r="CM1" s="534"/>
      <c r="CN1" s="534"/>
      <c r="CO1" s="534"/>
      <c r="CP1" s="534"/>
      <c r="CQ1" s="534"/>
      <c r="CR1" s="534"/>
      <c r="CS1" s="534"/>
      <c r="CT1" s="534"/>
      <c r="CU1" s="534"/>
      <c r="CV1" s="534"/>
      <c r="CW1" s="534"/>
      <c r="CX1" s="534"/>
      <c r="CY1" s="534"/>
      <c r="CZ1" s="534"/>
      <c r="DA1" s="534"/>
      <c r="DB1" s="534"/>
      <c r="DC1" s="534"/>
      <c r="DD1" s="534"/>
      <c r="DE1" s="534"/>
      <c r="DF1" s="534"/>
      <c r="DG1" s="534"/>
      <c r="DH1" s="534"/>
      <c r="DI1" s="534"/>
      <c r="DJ1" s="534"/>
      <c r="DK1" s="534"/>
      <c r="DL1" s="534"/>
    </row>
    <row r="2" spans="1:116" s="51" customFormat="1" ht="91" customHeight="1">
      <c r="A2" s="72" t="s">
        <v>1</v>
      </c>
      <c r="B2" s="73" t="s">
        <v>367</v>
      </c>
      <c r="C2" s="72" t="s">
        <v>109</v>
      </c>
      <c r="D2" s="72" t="s">
        <v>108</v>
      </c>
      <c r="E2" s="72" t="s">
        <v>104</v>
      </c>
      <c r="F2" s="72" t="s">
        <v>289</v>
      </c>
      <c r="G2" s="72" t="s">
        <v>53</v>
      </c>
      <c r="H2" s="72" t="s">
        <v>48</v>
      </c>
      <c r="I2" s="72" t="s">
        <v>46</v>
      </c>
      <c r="J2" s="72" t="s">
        <v>346</v>
      </c>
      <c r="K2" s="72" t="s">
        <v>105</v>
      </c>
      <c r="L2" s="72" t="s">
        <v>50</v>
      </c>
      <c r="M2" s="72" t="s">
        <v>47</v>
      </c>
      <c r="N2" s="72" t="s">
        <v>51</v>
      </c>
      <c r="O2" s="72" t="s">
        <v>329</v>
      </c>
      <c r="P2" s="72" t="s">
        <v>58</v>
      </c>
      <c r="Q2" s="72" t="s">
        <v>107</v>
      </c>
      <c r="R2" s="72" t="s">
        <v>59</v>
      </c>
      <c r="S2" s="72" t="s">
        <v>60</v>
      </c>
      <c r="T2" s="72" t="s">
        <v>56</v>
      </c>
      <c r="U2" s="72" t="s">
        <v>106</v>
      </c>
      <c r="V2" s="72" t="s">
        <v>63</v>
      </c>
      <c r="W2" s="72" t="s">
        <v>358</v>
      </c>
      <c r="X2" s="72" t="s">
        <v>49</v>
      </c>
      <c r="Y2" s="72" t="s">
        <v>52</v>
      </c>
      <c r="Z2" s="72" t="s">
        <v>347</v>
      </c>
      <c r="AA2" s="72" t="s">
        <v>54</v>
      </c>
      <c r="AB2" s="72" t="s">
        <v>57</v>
      </c>
      <c r="AC2" s="72" t="s">
        <v>55</v>
      </c>
      <c r="AD2" s="72" t="s">
        <v>111</v>
      </c>
      <c r="AE2" s="72" t="s">
        <v>110</v>
      </c>
      <c r="AF2" s="72" t="s">
        <v>242</v>
      </c>
      <c r="AH2" s="72" t="s">
        <v>1</v>
      </c>
      <c r="AI2" s="73" t="s">
        <v>367</v>
      </c>
      <c r="AJ2" s="72" t="s">
        <v>109</v>
      </c>
      <c r="AK2" s="72" t="s">
        <v>108</v>
      </c>
      <c r="AL2" s="72" t="s">
        <v>104</v>
      </c>
      <c r="AM2" s="72" t="s">
        <v>289</v>
      </c>
      <c r="AN2" s="72" t="s">
        <v>53</v>
      </c>
      <c r="AO2" s="72" t="s">
        <v>48</v>
      </c>
      <c r="AP2" s="72" t="s">
        <v>46</v>
      </c>
      <c r="AQ2" s="72" t="s">
        <v>346</v>
      </c>
      <c r="AR2" s="72" t="s">
        <v>105</v>
      </c>
      <c r="AS2" s="72" t="s">
        <v>50</v>
      </c>
      <c r="AT2" s="72" t="s">
        <v>47</v>
      </c>
      <c r="AU2" s="72" t="s">
        <v>51</v>
      </c>
      <c r="AV2" s="72" t="s">
        <v>329</v>
      </c>
      <c r="AW2" s="72" t="s">
        <v>58</v>
      </c>
      <c r="AX2" s="72" t="s">
        <v>107</v>
      </c>
      <c r="AY2" s="72" t="s">
        <v>59</v>
      </c>
      <c r="AZ2" s="72" t="s">
        <v>60</v>
      </c>
      <c r="BA2" s="72" t="s">
        <v>56</v>
      </c>
      <c r="BB2" s="72" t="s">
        <v>106</v>
      </c>
      <c r="BC2" s="72" t="s">
        <v>63</v>
      </c>
      <c r="BD2" s="72" t="s">
        <v>358</v>
      </c>
      <c r="BE2" s="72" t="s">
        <v>49</v>
      </c>
      <c r="BF2" s="72" t="s">
        <v>52</v>
      </c>
      <c r="BG2" s="72" t="s">
        <v>347</v>
      </c>
      <c r="BH2" s="72" t="s">
        <v>54</v>
      </c>
      <c r="BI2" s="72" t="s">
        <v>57</v>
      </c>
      <c r="BJ2" s="72" t="s">
        <v>55</v>
      </c>
      <c r="BK2" s="72" t="s">
        <v>111</v>
      </c>
      <c r="BL2" s="72" t="s">
        <v>110</v>
      </c>
      <c r="BM2" s="72" t="s">
        <v>242</v>
      </c>
      <c r="BO2" s="53"/>
      <c r="BP2" s="533" t="s">
        <v>352</v>
      </c>
      <c r="BQ2" s="533"/>
      <c r="BR2" s="533"/>
      <c r="BS2" s="533"/>
      <c r="BT2" s="533" t="s">
        <v>353</v>
      </c>
      <c r="BU2" s="533"/>
      <c r="BV2" s="533"/>
      <c r="BW2" s="533"/>
      <c r="BX2" s="533"/>
      <c r="BY2" s="533" t="s">
        <v>354</v>
      </c>
      <c r="BZ2" s="533"/>
      <c r="CA2" s="533"/>
      <c r="CB2" s="533"/>
      <c r="CC2" s="533"/>
      <c r="CD2" s="533"/>
      <c r="CE2" s="533"/>
      <c r="CF2" s="52"/>
      <c r="CG2" s="74" t="s">
        <v>366</v>
      </c>
      <c r="CH2" s="75" t="s">
        <v>367</v>
      </c>
      <c r="CI2" s="59" t="s">
        <v>109</v>
      </c>
      <c r="CJ2" s="59" t="s">
        <v>108</v>
      </c>
      <c r="CK2" s="59" t="s">
        <v>104</v>
      </c>
      <c r="CL2" s="59" t="s">
        <v>289</v>
      </c>
      <c r="CM2" s="59" t="s">
        <v>53</v>
      </c>
      <c r="CN2" s="59" t="s">
        <v>48</v>
      </c>
      <c r="CO2" s="59" t="s">
        <v>46</v>
      </c>
      <c r="CP2" s="59" t="s">
        <v>346</v>
      </c>
      <c r="CQ2" s="59" t="s">
        <v>105</v>
      </c>
      <c r="CR2" s="59" t="s">
        <v>50</v>
      </c>
      <c r="CS2" s="59" t="s">
        <v>47</v>
      </c>
      <c r="CT2" s="59" t="s">
        <v>51</v>
      </c>
      <c r="CU2" s="59" t="s">
        <v>329</v>
      </c>
      <c r="CV2" s="59" t="s">
        <v>58</v>
      </c>
      <c r="CW2" s="59" t="s">
        <v>107</v>
      </c>
      <c r="CX2" s="59" t="s">
        <v>59</v>
      </c>
      <c r="CY2" s="59" t="s">
        <v>60</v>
      </c>
      <c r="CZ2" s="59" t="s">
        <v>56</v>
      </c>
      <c r="DA2" s="59" t="s">
        <v>106</v>
      </c>
      <c r="DB2" s="59" t="s">
        <v>63</v>
      </c>
      <c r="DC2" s="59" t="s">
        <v>358</v>
      </c>
      <c r="DD2" s="59" t="s">
        <v>49</v>
      </c>
      <c r="DE2" s="59" t="s">
        <v>52</v>
      </c>
      <c r="DF2" s="59" t="s">
        <v>347</v>
      </c>
      <c r="DG2" s="59" t="s">
        <v>54</v>
      </c>
      <c r="DH2" s="59" t="s">
        <v>57</v>
      </c>
      <c r="DI2" s="59" t="s">
        <v>55</v>
      </c>
      <c r="DJ2" s="59" t="s">
        <v>111</v>
      </c>
      <c r="DK2" s="59" t="s">
        <v>110</v>
      </c>
      <c r="DL2" s="59" t="s">
        <v>242</v>
      </c>
    </row>
    <row r="3" spans="1:116" s="48" customFormat="1" ht="11">
      <c r="A3" s="111">
        <f>IF(ISBLANK('In Process Calc.'!C3),"",'In Process Calc.'!C3)</f>
        <v>0.61666666675591841</v>
      </c>
      <c r="B3" s="111">
        <f>IF(ISBLANK('Measured Data'!H7),"",'Measured Data'!H7)</f>
        <v>0.26</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0.61666666675591841</v>
      </c>
      <c r="AI3" s="111">
        <f>IF(ISBLANK('Measured Data'!H7),"",'Measured Data'!H7)</f>
        <v>0.26</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290</v>
      </c>
      <c r="BQ3" s="60" t="s">
        <v>291</v>
      </c>
      <c r="BR3" s="60" t="s">
        <v>292</v>
      </c>
      <c r="BS3" s="60" t="s">
        <v>293</v>
      </c>
      <c r="BT3" s="60" t="s">
        <v>290</v>
      </c>
      <c r="BU3" s="60" t="s">
        <v>291</v>
      </c>
      <c r="BV3" s="60" t="s">
        <v>292</v>
      </c>
      <c r="BW3" s="60" t="s">
        <v>293</v>
      </c>
      <c r="BX3" s="60" t="s">
        <v>294</v>
      </c>
      <c r="BY3" s="60" t="s">
        <v>359</v>
      </c>
      <c r="BZ3" s="60" t="s">
        <v>360</v>
      </c>
      <c r="CA3" s="60" t="s">
        <v>361</v>
      </c>
      <c r="CB3" s="60" t="s">
        <v>362</v>
      </c>
      <c r="CC3" s="60" t="s">
        <v>363</v>
      </c>
      <c r="CD3" s="60" t="s">
        <v>364</v>
      </c>
      <c r="CE3" s="60" t="s">
        <v>365</v>
      </c>
      <c r="CF3" s="50"/>
      <c r="CG3" s="76">
        <f>IF(ISBLANK('In Process Calc.'!C3),"",'In Process Calc.'!C3)</f>
        <v>0.61666666675591841</v>
      </c>
      <c r="CH3" s="76">
        <f>$BY$4+$BZ$4*$CG3+$CA$4*$CG3^2+$CB$4*$CG3^3+$CC$4*$CG3^4+$CD$4*$CG3^5+$CE$4*$CG3^6</f>
        <v>0.80182756382087605</v>
      </c>
      <c r="CI3" s="76">
        <f>$BY$5+$BZ$5*$CG3+$CA$5*$CG3^2+$CB$5*$CG3^3+$CC$5*$CG3^4+$CD$5*$CG3^5+$CE$5*$CG3^6</f>
        <v>590.29587022942917</v>
      </c>
      <c r="CJ3" s="76">
        <f>$BY$6+$BZ$6*$CG3+$CA$6*$CG3^2+$CB$6*$CG3^3+$CC$6*$CG3^4+$CD$6*$CG3^5+$CE$6*$CG3^6</f>
        <v>0</v>
      </c>
      <c r="CK3" s="76">
        <f>$BY$7+$BZ$7*$CG3+$CA$7*$CG3^2+$CB$7*$CG3^3+$CC$7*$CG3^4+$CD$7*$CG3^5+$CE$7*$CG3^6</f>
        <v>174.64573315002318</v>
      </c>
      <c r="CL3" s="76">
        <f>$BY$8+$BZ$8*$CG3+$CA$8*$CG3^2+$CB$8*$CG3^3+$CC$8*$CG3^4+$CD$8*$CG3^5+$CE$8*$CG3^6</f>
        <v>-0.76412088572438897</v>
      </c>
      <c r="CM3" s="76">
        <f>$BY$9+$BZ$9*$CG3+$CA$9*$CG3^2+$CB$9*$CG3^3+$CC$9*$CG3^4+$CD$9*$CG3^5+$CE$9*$CG3^6</f>
        <v>0.48620727920196999</v>
      </c>
      <c r="CN3" s="76">
        <f>$BY$10+$BZ$10*$CG3+$CA$10*$CG3^2+$CB$10*$CG3^3+$CC$10*$CG3^4+$CD$10*$CG3^5+$CE$10*$CG3^6</f>
        <v>0.50230788058482367</v>
      </c>
      <c r="CO3" s="76">
        <f>$BY$11+$BZ$11*$CG3+$CA$11*$CG3^2+$CB$11*$CG3^3+$CC$11*$CG3^4+$CD$11*$CG3^5+$CE$11*$CG3^6</f>
        <v>-0.5183672843761723</v>
      </c>
      <c r="CP3" s="76">
        <f>$BY$12+$BZ$12*$CG3+$CA$12*$CG3^2+$CB$12*$CG3^3+$CC$12*$CG3^4+$CD$12*$CG3^5+$CE$12*$CG3^6</f>
        <v>8.3475721691329222E-3</v>
      </c>
      <c r="CQ3" s="76">
        <f>$BY$13+$BZ$13*$CG3+$CA$13*$CG3^2+$CB$13*$CG3^3+$CC$13*$CG3^4+$CD$13*$CG3^5+$CE$13*$CG3^6</f>
        <v>0.86632410725377806</v>
      </c>
      <c r="CR3" s="76">
        <f>$BY$14+$BZ$14*$CG3+$CA$14*$CG3^2+$CB$14*$CG3^3+$CC$14*$CG3^4+$CD$14*$CG3^5+$CE$14*$CG3^6</f>
        <v>6.0132328075487324E-2</v>
      </c>
      <c r="CS3" s="76">
        <f>$BY$15+$BZ$15*$CG3+$CA$15*$CG3^2+$CB$15*$CG3^3+$CC$15*$CG3^4+$CD$15*$CG3^5+$CE$15*$CG3^6</f>
        <v>4.3185225852560549</v>
      </c>
      <c r="CT3" s="76">
        <f>$BY$16+$BZ$16*$CG3+$CA$16*$CG3^2+$CB$16*$CG3^3+$CC$16*$CG3^4+$CD$16*$CG3^5+$CE$16*$CG3^6</f>
        <v>0.7368015788881781</v>
      </c>
      <c r="CU3" s="76">
        <f>$BY$17+$BZ$17*$CG3+$CA$17*$CG3^2+$CB$17*$CG3^3+$CC$17*$CG3^4+$CD$17*$CG3^5+$CE$17*$CG3^6</f>
        <v>5.2261691856860387E-3</v>
      </c>
      <c r="CV3" s="76">
        <f>$BY$18+$BZ$18*$CG3+$CA$18*$CG3^2+$CB$18*$CG3^3+$CC$18*$CG3^4+$CD$18*$CG3^5+$CE$18*$CG3^6</f>
        <v>0.62947497592635759</v>
      </c>
      <c r="CW3" s="76">
        <f>$BY$19+$BZ$19*$CG3+$CA$19*$CG3^2+$CB$19*$CG3^3+$CC$19*$CG3^4+$CD$19*$CG3^5+$CE$19*$CG3^6</f>
        <v>1.0250937922473458</v>
      </c>
      <c r="CX3" s="76">
        <f>$BY$20+$BZ$20*$CG3+$CA$20*$CG3^2+$CB$20*$CG3^3+$CC$20*$CG3^4+$CD$20*$CG3^5+$CE$20*$CG3^6</f>
        <v>0.86868628194446196</v>
      </c>
      <c r="CY3" s="76">
        <f>$BY$21+$BZ$21*$CG3+$CA$21*$CG3^2+$CB$21*$CG3^3+$CC$21*$CG3^4+$CD$21*$CG3^5+$CE$21*$CG3^6</f>
        <v>0.58737048751845988</v>
      </c>
      <c r="CZ3" s="76">
        <f>$BY$22+$BZ$22*$CG3+$CA$22*$CG3^2+$CB$22*$CG3^3+$CC$22*$CG3^4+$CD$22*$CG3^5+$CE$22*$CG3^6</f>
        <v>3.8664007515098957E-2</v>
      </c>
      <c r="DA3" s="76">
        <f>$BY$23+$BZ$23*$CG3+$CA$23*$CG3^2+$CB$23*$CG3^3+$CC$23*$CG3^4+$CD$23*$CG3^5+$CE$23*$CG3^6</f>
        <v>0.98035452698586756</v>
      </c>
      <c r="DB3" s="76">
        <f>$BY$24+$BZ$24*$CG3+$CA$24*$CG3^2+$CB$24*$CG3^3+$CC$24*$CG3^4+$CD$24*$CG3^5+$CE$24*$CG3^6</f>
        <v>0.30265097593605955</v>
      </c>
      <c r="DC3" s="76">
        <f>$BY$25+$BZ$25*$CG3+$CA$25*$CG3^2+$CB$25*$CG3^3+$CC$25*$CG3^4+$CD$25*$CG3^5+$CE$25*$CG3^6</f>
        <v>0.13182696280853212</v>
      </c>
      <c r="DD3" s="76">
        <f>$BY$26+$BZ$26*$CG3+$CA$26*$CG3^2+$CB$26*$CG3^3+$CC$26*$CG3^4+$CD$26*$CG3^5+$CE$26*$CG3^6</f>
        <v>2.8157583440639875E-2</v>
      </c>
      <c r="DE3" s="76">
        <f>$BY$27+$BZ$27*$CG3+$CA$27*$CG3^2+$CB$27*$CG3^3+$CC$27*$CG3^4+$CD$27*$CG3^5+$CE$27*$CG3^6</f>
        <v>0.16194908143471529</v>
      </c>
      <c r="DF3" s="76">
        <f>$BY$28+$BZ$28*$CG3+$CA$28*$CG3^2+$CB$28*$CG3^3+$CC$28*$CG3^4+$CD$28*$CG3^5+$CE$28*$CG3^6</f>
        <v>0.15102717083513978</v>
      </c>
      <c r="DG3" s="76">
        <f>$BY$29+$BZ$29*$CG3+$CA$29*$CG3^2+$CB$29*$CG3^3+$CC$29*$CG3^4+$CD$29*$CG3^5+$CE$29*$CG3^6</f>
        <v>9.808324036027144E-2</v>
      </c>
      <c r="DH3" s="76">
        <f>$BY$30+$BZ$30*$CG3+$CA$30*$CG3^2+$CB$30*$CG3^3+$CC$30*$CG3^4+$CD$30*$CG3^5+$CE$30*$CG3^6</f>
        <v>1.1432052800800838</v>
      </c>
      <c r="DI3" s="76">
        <f>$BY$31+$BZ$31*$CG3+$CA$31*$CG3^2+$CB$31*$CG3^3+$CC$31*$CG3^4+$CD$31*$CG3^5+$CE$31*$CG3^6</f>
        <v>0</v>
      </c>
      <c r="DJ3" s="76">
        <f>$BY$32+$BZ$32*$CG3+$CA$32*$CG3^2+$CB$32*$CG3^3+$CC$32*$CG3^4+$CD$32*$CG3^5+$CE$32*$CG3^6</f>
        <v>13.488721845310025</v>
      </c>
      <c r="DK3" s="76">
        <f>$BY$33+$BZ$33*$CG3+$CA$33*$CG3^2+$CB$33*$CG3^3+$CC$33*$CG3^4+$CD$33*$CG3^5+$CE$33*$CG3^6</f>
        <v>13.704955486571519</v>
      </c>
      <c r="DL3" s="76">
        <f>$BY$34+$BZ$34*$CG3+$CA$34*$CG3^2+$CB$34*$CG3^3+$CC$34*$CG3^4+$CD$34*$CG3^5+$CE$34*$CG3^6</f>
        <v>59.712022422723948</v>
      </c>
    </row>
    <row r="4" spans="1:116" s="48" customFormat="1" ht="14">
      <c r="A4" s="111">
        <f>IF(ISBLANK('In Process Calc.'!C4),"",'In Process Calc.'!C4)</f>
        <v>21.28333333338378</v>
      </c>
      <c r="B4" s="111">
        <f>IF(ISBLANK('Measured Data'!H8),"",'Measured Data'!H8)</f>
        <v>0.43249998817443841</v>
      </c>
      <c r="C4" s="111">
        <f>IF(ISBLANK('In Process Calc.'!L4),"",'In Process Calc.'!L4)</f>
        <v>327.29997729492175</v>
      </c>
      <c r="D4" s="111">
        <f>IF(ISBLANK('In Process Calc.'!M4),"",'In Process Calc.'!M4)</f>
        <v>0</v>
      </c>
      <c r="E4" s="111">
        <f>IF(ISBLANK('In Process Calc.'!N4),"",'In Process Calc.'!N4)</f>
        <v>0</v>
      </c>
      <c r="F4" s="111">
        <f>IF(ISBLANK('In Process Calc.'!O4),"",'In Process Calc.'!O4)</f>
        <v>-1.4384999999999992E-2</v>
      </c>
      <c r="G4" s="111">
        <f>IF(ISBLANK('In Process Calc.'!P4),"",'In Process Calc.'!P4)</f>
        <v>0.19453500000000032</v>
      </c>
      <c r="H4" s="111">
        <f>IF(ISBLANK('In Process Calc.'!Q4),"",'In Process Calc.'!Q4)</f>
        <v>0.78236999999999901</v>
      </c>
      <c r="I4" s="111">
        <f>IF(ISBLANK('In Process Calc.'!R4),"",'In Process Calc.'!R4)</f>
        <v>-6.3900000000000096E-2</v>
      </c>
      <c r="J4" s="111">
        <f>IF(ISBLANK('In Process Calc.'!S4),"",'In Process Calc.'!S4)</f>
        <v>-0.11179499999999962</v>
      </c>
      <c r="K4" s="111">
        <f>IF(ISBLANK('In Process Calc.'!T4),"",'In Process Calc.'!T4)</f>
        <v>1.5792750255105248</v>
      </c>
      <c r="L4" s="111">
        <f>IF(ISBLANK('In Process Calc.'!U4),"",'In Process Calc.'!U4)</f>
        <v>0</v>
      </c>
      <c r="M4" s="111">
        <f>IF(ISBLANK('In Process Calc.'!V4),"",'In Process Calc.'!V4)</f>
        <v>-6.2354999999999564E-2</v>
      </c>
      <c r="N4" s="111">
        <f>IF(ISBLANK('In Process Calc.'!W4),"",'In Process Calc.'!W4)</f>
        <v>-0.11394000000000011</v>
      </c>
      <c r="O4" s="111">
        <f>IF(ISBLANK('In Process Calc.'!X4),"",'In Process Calc.'!X4)</f>
        <v>-0.66964499999999993</v>
      </c>
      <c r="P4" s="111">
        <f>IF(ISBLANK('In Process Calc.'!Y4),"",'In Process Calc.'!Y4)</f>
        <v>3.8924999999999273E-2</v>
      </c>
      <c r="Q4" s="111">
        <f>IF(ISBLANK('In Process Calc.'!Z4),"",'In Process Calc.'!Z4)</f>
        <v>1.268872113676732</v>
      </c>
      <c r="R4" s="111">
        <f>IF(ISBLANK('In Process Calc.'!AA4),"",'In Process Calc.'!AA4)</f>
        <v>4.3844999999999343E-2</v>
      </c>
      <c r="S4" s="111">
        <f>IF(ISBLANK('In Process Calc.'!AB4),"",'In Process Calc.'!AB4)</f>
        <v>-0.11401499999999942</v>
      </c>
      <c r="T4" s="111">
        <f>IF(ISBLANK('In Process Calc.'!AC4),"",'In Process Calc.'!AC4)</f>
        <v>2.974499999999989E-2</v>
      </c>
      <c r="U4" s="111">
        <f>IF(ISBLANK('In Process Calc.'!AD4),"",'In Process Calc.'!AD4)</f>
        <v>-0.29759999999999992</v>
      </c>
      <c r="V4" s="111">
        <f>IF(ISBLANK('In Process Calc.'!AE4),"",'In Process Calc.'!AE4)</f>
        <v>-1.9964999999999691E-2</v>
      </c>
      <c r="W4" s="111">
        <f>IF(ISBLANK('In Process Calc.'!AF4),"",'In Process Calc.'!AF4)</f>
        <v>-8.7749999999996355E-3</v>
      </c>
      <c r="X4" s="111">
        <f>IF(ISBLANK('In Process Calc.'!AG4),"",'In Process Calc.'!AG4)</f>
        <v>0.25261499999999976</v>
      </c>
      <c r="Y4" s="111">
        <f>IF(ISBLANK('In Process Calc.'!AH4),"",'In Process Calc.'!AH4)</f>
        <v>-7.1955000000000838E-2</v>
      </c>
      <c r="Z4" s="111">
        <f>IF(ISBLANK('In Process Calc.'!AI4),"",'In Process Calc.'!AI4)</f>
        <v>-5.9250000000001819E-3</v>
      </c>
      <c r="AA4" s="111">
        <f>IF(ISBLANK('In Process Calc.'!AJ4),"",'In Process Calc.'!AJ4)</f>
        <v>-3.5100000000002182E-3</v>
      </c>
      <c r="AB4" s="111">
        <f>IF(ISBLANK('In Process Calc.'!AK4),"",'In Process Calc.'!AK4)</f>
        <v>-1.8195000000000617E-2</v>
      </c>
      <c r="AC4" s="111">
        <f>IF(ISBLANK('In Process Calc.'!AL4),"",'In Process Calc.'!AL4)</f>
        <v>0</v>
      </c>
      <c r="AD4" s="111">
        <f>IF(ISBLANK('In Process Calc.'!AM4),"",'In Process Calc.'!AM4)</f>
        <v>0.15622499999999842</v>
      </c>
      <c r="AE4" s="111">
        <f>IF(ISBLANK('In Process Calc.'!AN4),"",'In Process Calc.'!AN4)</f>
        <v>-0.15576000000000148</v>
      </c>
      <c r="AF4" s="111">
        <f>IF(ISBLANK('In Process Calc.'!AO4),"",'In Process Calc.'!AO4)</f>
        <v>-1.1240700000000092</v>
      </c>
      <c r="AH4" s="111">
        <f>IF(ISBLANK('In Process Calc.'!C4),"",'In Process Calc.'!C4)</f>
        <v>21.28333333338378</v>
      </c>
      <c r="AI4" s="111">
        <f>IF(ISBLANK('Measured Data'!H8),"",'Measured Data'!H8)</f>
        <v>0.43249998817443841</v>
      </c>
      <c r="AJ4" s="111">
        <f>IF(ISBLANK('In Process Calc.'!L4),"",'In Process Calc.'!L4)</f>
        <v>327.29997729492175</v>
      </c>
      <c r="AK4" s="111">
        <f>IF(ISBLANK('In Process Calc.'!M4),"",'In Process Calc.'!M4)</f>
        <v>0</v>
      </c>
      <c r="AL4" s="111">
        <f>IF(ISBLANK('In Process Calc.'!N4),"",'In Process Calc.'!N4)</f>
        <v>0</v>
      </c>
      <c r="AM4" s="111">
        <f>IF(ISBLANK('In Process Calc.'!O4),"",'In Process Calc.'!O4)</f>
        <v>-1.4384999999999992E-2</v>
      </c>
      <c r="AN4" s="111">
        <f>IF(ISBLANK('In Process Calc.'!P4),"",'In Process Calc.'!P4)</f>
        <v>0.19453500000000032</v>
      </c>
      <c r="AO4" s="111">
        <f>IF(ISBLANK('In Process Calc.'!Q4),"",'In Process Calc.'!Q4)</f>
        <v>0.78236999999999901</v>
      </c>
      <c r="AP4" s="111">
        <f>IF(ISBLANK('In Process Calc.'!R4),"",'In Process Calc.'!R4)</f>
        <v>-6.3900000000000096E-2</v>
      </c>
      <c r="AQ4" s="111">
        <f>IF(ISBLANK('In Process Calc.'!S4),"",'In Process Calc.'!S4)</f>
        <v>-0.11179499999999962</v>
      </c>
      <c r="AR4" s="111">
        <f>IF(ISBLANK('In Process Calc.'!T4),"",'In Process Calc.'!T4)</f>
        <v>1.5792750255105248</v>
      </c>
      <c r="AS4" s="111">
        <f>IF(ISBLANK('In Process Calc.'!U4),"",'In Process Calc.'!U4)</f>
        <v>0</v>
      </c>
      <c r="AT4" s="111">
        <f>IF(ISBLANK('In Process Calc.'!V4),"",'In Process Calc.'!V4)</f>
        <v>-6.2354999999999564E-2</v>
      </c>
      <c r="AU4" s="111">
        <f>IF(ISBLANK('In Process Calc.'!W4),"",'In Process Calc.'!W4)</f>
        <v>-0.11394000000000011</v>
      </c>
      <c r="AV4" s="111">
        <f>IF(ISBLANK('In Process Calc.'!X4),"",'In Process Calc.'!X4)</f>
        <v>-0.66964499999999993</v>
      </c>
      <c r="AW4" s="111">
        <f>IF(ISBLANK('In Process Calc.'!Y4),"",'In Process Calc.'!Y4)</f>
        <v>3.8924999999999273E-2</v>
      </c>
      <c r="AX4" s="111">
        <f>IF(ISBLANK('In Process Calc.'!Z4),"",'In Process Calc.'!Z4)</f>
        <v>1.268872113676732</v>
      </c>
      <c r="AY4" s="111">
        <f>IF(ISBLANK('In Process Calc.'!AA4),"",'In Process Calc.'!AA4)</f>
        <v>4.3844999999999343E-2</v>
      </c>
      <c r="AZ4" s="111">
        <f>IF(ISBLANK('In Process Calc.'!AB4),"",'In Process Calc.'!AB4)</f>
        <v>-0.11401499999999942</v>
      </c>
      <c r="BA4" s="111">
        <f>IF(ISBLANK('In Process Calc.'!AC4),"",'In Process Calc.'!AC4)</f>
        <v>2.974499999999989E-2</v>
      </c>
      <c r="BB4" s="111">
        <f>IF(ISBLANK('In Process Calc.'!AD4),"",'In Process Calc.'!AD4)</f>
        <v>-0.29759999999999992</v>
      </c>
      <c r="BC4" s="111">
        <f>IF(ISBLANK('In Process Calc.'!AE4),"",'In Process Calc.'!AE4)</f>
        <v>-1.9964999999999691E-2</v>
      </c>
      <c r="BD4" s="111">
        <f>IF(ISBLANK('In Process Calc.'!AF4),"",'In Process Calc.'!AF4)</f>
        <v>-8.7749999999996355E-3</v>
      </c>
      <c r="BE4" s="111">
        <f>IF(ISBLANK('In Process Calc.'!AG4),"",'In Process Calc.'!AG4)</f>
        <v>0.25261499999999976</v>
      </c>
      <c r="BF4" s="111">
        <f>IF(ISBLANK('In Process Calc.'!AH4),"",'In Process Calc.'!AH4)</f>
        <v>-7.1955000000000838E-2</v>
      </c>
      <c r="BG4" s="111">
        <f>IF(ISBLANK('In Process Calc.'!AI4),"",'In Process Calc.'!AI4)</f>
        <v>-5.9250000000001819E-3</v>
      </c>
      <c r="BH4" s="111">
        <f>IF(ISBLANK('In Process Calc.'!AJ4),"",'In Process Calc.'!AJ4)</f>
        <v>-3.5100000000002182E-3</v>
      </c>
      <c r="BI4" s="111">
        <f>IF(ISBLANK('In Process Calc.'!AK4),"",'In Process Calc.'!AK4)</f>
        <v>-1.8195000000000617E-2</v>
      </c>
      <c r="BJ4" s="111">
        <f>IF(ISBLANK('In Process Calc.'!AL4),"",'In Process Calc.'!AL4)</f>
        <v>0</v>
      </c>
      <c r="BK4" s="111">
        <f>IF(ISBLANK('In Process Calc.'!AM4),"",'In Process Calc.'!AM4)</f>
        <v>0.15622499999999842</v>
      </c>
      <c r="BL4" s="111">
        <f>IF(ISBLANK('In Process Calc.'!AN4),"",'In Process Calc.'!AN4)</f>
        <v>-0.15576000000000148</v>
      </c>
      <c r="BM4" s="111">
        <f>IF(ISBLANK('In Process Calc.'!AO4),"",'In Process Calc.'!AO4)</f>
        <v>-1.1240700000000092</v>
      </c>
      <c r="BO4" s="55" t="s">
        <v>333</v>
      </c>
      <c r="BP4" s="56">
        <f t="array" ref="BP4:BS4">LINEST($B3:INDEX($B:$B,COUNT($B:$B)+2), $A$3:INDEX($A:$A,COUNT($A:$A)+2)^{1,2,3},TRUE,TRUE)</f>
        <v>-2.1129655997531361E-6</v>
      </c>
      <c r="BQ4" s="56">
        <v>9.4776933443191391E-4</v>
      </c>
      <c r="BR4" s="56">
        <v>-4.6021736536440622E-2</v>
      </c>
      <c r="BS4" s="56">
        <v>0.62472454427912183</v>
      </c>
      <c r="BT4" s="56">
        <f t="array" ref="BT4:BX4">LINEST($B3:INDEX($B:$B,COUNT($B:$B)+2), $A$3:INDEX($A:$A,COUNT($A:$A)+2)^{1,2,3,4},TRUE,TRUE)</f>
        <v>1.9464474084176642E-9</v>
      </c>
      <c r="BU4" s="56">
        <v>-3.4124288068176454E-6</v>
      </c>
      <c r="BV4" s="56">
        <v>1.2209590303511599E-3</v>
      </c>
      <c r="BW4" s="56">
        <v>-6.4792982509166139E-2</v>
      </c>
      <c r="BX4" s="56">
        <v>0.84131973273589988</v>
      </c>
      <c r="BY4" s="57">
        <f>IF('Kinetic Curves'!$B$4=6,#REF!,IF('Kinetic Curves'!$B$4=5,#REF!, IF( 'Kinetic Curves'!$B$4=4, BX4,IF('Kinetic Curves'!$B$4=3, BS4, 0))))</f>
        <v>0.84131973273589988</v>
      </c>
      <c r="BZ4" s="57">
        <f>IF('Kinetic Curves'!$B$4=6,#REF!,IF('Kinetic Curves'!$B$4=5,#REF!, IF( 'Kinetic Curves'!$B$4=4, BW4,IF('Kinetic Curves'!$B$4=3, BR4, 0))))</f>
        <v>-6.4792982509166139E-2</v>
      </c>
      <c r="CA4" s="57">
        <f>IF('Kinetic Curves'!$B$4=6,#REF!,IF('Kinetic Curves'!$B$4=5,#REF!, IF( 'Kinetic Curves'!$B$4=4, BV4,IF('Kinetic Curves'!$B$4=3, BQ4, 0))))</f>
        <v>1.2209590303511599E-3</v>
      </c>
      <c r="CB4" s="57">
        <f>IF('Kinetic Curves'!$B$4=6,#REF!,IF('Kinetic Curves'!$B$4=5,#REF!, IF( 'Kinetic Curves'!$B$4=4, BU4,IF('Kinetic Curves'!$B$4=3, BP4, 0))))</f>
        <v>-3.4124288068176454E-6</v>
      </c>
      <c r="CC4" s="57">
        <f>IF('Kinetic Curves'!$B$4=6,#REF!,IF('Kinetic Curves'!$B$4=5,#REF!, IF( 'Kinetic Curves'!$B$4=4,BT4, 0)))</f>
        <v>1.9464474084176642E-9</v>
      </c>
      <c r="CD4" s="57">
        <f>IF('Kinetic Curves'!$B$4=6,#REF!,IF('Kinetic Curves'!$B$4=5,#REF!, 0))</f>
        <v>0</v>
      </c>
      <c r="CE4" s="57">
        <f>IF('Kinetic Curves'!$B$4=6,#REF!,0)</f>
        <v>0</v>
      </c>
      <c r="CF4" s="49"/>
      <c r="CG4" s="76">
        <f>IF(ISBLANK('In Process Calc.'!C4),"",'In Process Calc.'!C4)</f>
        <v>21.28333333338378</v>
      </c>
      <c r="CH4" s="76">
        <f t="shared" ref="CH4:CH17" si="0">$BY$4+$BZ$4*$CG4+$CA$4*$CG4^2+$CB$4*$CG4^3+$CC$4*$CG4^4+$CD$4*$CG4^5+$CE$4*$CG4^6</f>
        <v>-1.7120145291243019E-2</v>
      </c>
      <c r="CI4" s="76">
        <f t="shared" ref="CI4:CI17" si="1">$BY$5+$BZ$5*$CG4+$CA$5*$CG4^2+$CB$5*$CG4^3+$CC$5*$CG4^4+$CD$5*$CG4^5+$CE$5*$CG4^6</f>
        <v>-428.00126311365358</v>
      </c>
      <c r="CJ4" s="76">
        <f t="shared" ref="CJ4:CJ17" si="2">$BY$6+$BZ$6*$CG4+$CA$6*$CG4^2+$CB$6*$CG4^3+$CC$6*$CG4^4+$CD$6*$CG4^5+$CE$6*$CG4^6</f>
        <v>0</v>
      </c>
      <c r="CK4" s="76">
        <f t="shared" ref="CK4:CK17" si="3">$BY$7+$BZ$7*$CG4+$CA$7*$CG4^2+$CB$7*$CG4^3+$CC$7*$CG4^4+$CD$7*$CG4^5+$CE$7*$CG4^6</f>
        <v>-53.141012680143213</v>
      </c>
      <c r="CL4" s="76">
        <f t="shared" ref="CL4:CL17" si="4">$BY$8+$BZ$8*$CG4+$CA$8*$CG4^2+$CB$8*$CG4^3+$CC$8*$CG4^4+$CD$8*$CG4^5+$CE$8*$CG4^6</f>
        <v>0.5732583022113571</v>
      </c>
      <c r="CM4" s="76">
        <f t="shared" ref="CM4:CM17" si="5">$BY$9+$BZ$9*$CG4+$CA$9*$CG4^2+$CB$9*$CG4^3+$CC$9*$CG4^4+$CD$9*$CG4^5+$CE$9*$CG4^6</f>
        <v>0.52744549955186892</v>
      </c>
      <c r="CN4" s="76">
        <f t="shared" ref="CN4:CN17" si="6">$BY$10+$BZ$10*$CG4+$CA$10*$CG4^2+$CB$10*$CG4^3+$CC$10*$CG4^4+$CD$10*$CG4^5+$CE$10*$CG4^6</f>
        <v>1.4592255271759063</v>
      </c>
      <c r="CO4" s="76">
        <f t="shared" ref="CO4:CO17" si="7">$BY$11+$BZ$11*$CG4+$CA$11*$CG4^2+$CB$11*$CG4^3+$CC$11*$CG4^4+$CD$11*$CG4^5+$CE$11*$CG4^6</f>
        <v>0.44856027873147558</v>
      </c>
      <c r="CP4" s="76">
        <f t="shared" ref="CP4:CP17" si="8">$BY$12+$BZ$12*$CG4+$CA$12*$CG4^2+$CB$12*$CG4^3+$CC$12*$CG4^4+$CD$12*$CG4^5+$CE$12*$CG4^6</f>
        <v>-1.0843031366625202E-2</v>
      </c>
      <c r="CQ4" s="76">
        <f t="shared" ref="CQ4:CQ17" si="9">$BY$13+$BZ$13*$CG4+$CA$13*$CG4^2+$CB$13*$CG4^3+$CC$13*$CG4^4+$CD$13*$CG4^5+$CE$13*$CG4^6</f>
        <v>0.63805647679625932</v>
      </c>
      <c r="CR4" s="76">
        <f t="shared" ref="CR4:CR17" si="10">$BY$14+$BZ$14*$CG4+$CA$14*$CG4^2+$CB$14*$CG4^3+$CC$14*$CG4^4+$CD$14*$CG4^5+$CE$14*$CG4^6</f>
        <v>-0.124552791516404</v>
      </c>
      <c r="CS4" s="76">
        <f t="shared" ref="CS4:CS17" si="11">$BY$15+$BZ$15*$CG4+$CA$15*$CG4^2+$CB$15*$CG4^3+$CC$15*$CG4^4+$CD$15*$CG4^5+$CE$15*$CG4^6</f>
        <v>0.90181273700680853</v>
      </c>
      <c r="CT4" s="76">
        <f t="shared" ref="CT4:CT17" si="12">$BY$16+$BZ$16*$CG4+$CA$16*$CG4^2+$CB$16*$CG4^3+$CC$16*$CG4^4+$CD$16*$CG4^5+$CE$16*$CG4^6</f>
        <v>-0.19506931379857773</v>
      </c>
      <c r="CU4" s="76">
        <f t="shared" ref="CU4:CU17" si="13">$BY$17+$BZ$17*$CG4+$CA$17*$CG4^2+$CB$17*$CG4^3+$CC$17*$CG4^4+$CD$17*$CG4^5+$CE$17*$CG4^6</f>
        <v>-0.19841293834879203</v>
      </c>
      <c r="CV4" s="76">
        <f t="shared" ref="CV4:CV17" si="14">$BY$18+$BZ$18*$CG4+$CA$18*$CG4^2+$CB$18*$CG4^3+$CC$18*$CG4^4+$CD$18*$CG4^5+$CE$18*$CG4^6</f>
        <v>0.37557154083725641</v>
      </c>
      <c r="CW4" s="76">
        <f t="shared" ref="CW4:CW17" si="15">$BY$19+$BZ$19*$CG4+$CA$19*$CG4^2+$CB$19*$CG4^3+$CC$19*$CG4^4+$CD$19*$CG4^5+$CE$19*$CG4^6</f>
        <v>-6.2618691888924008E-2</v>
      </c>
      <c r="CX4" s="76">
        <f t="shared" ref="CX4:CX17" si="16">$BY$20+$BZ$20*$CG4+$CA$20*$CG4^2+$CB$20*$CG4^3+$CC$20*$CG4^4+$CD$20*$CG4^5+$CE$20*$CG4^6</f>
        <v>0.49275053409615144</v>
      </c>
      <c r="CY4" s="76">
        <f t="shared" ref="CY4:CY17" si="17">$BY$21+$BZ$21*$CG4+$CA$21*$CG4^2+$CB$21*$CG4^3+$CC$21*$CG4^4+$CD$21*$CG4^5+$CE$21*$CG4^6</f>
        <v>0.34785111789444634</v>
      </c>
      <c r="CZ4" s="76">
        <f t="shared" ref="CZ4:CZ17" si="18">$BY$22+$BZ$22*$CG4+$CA$22*$CG4^2+$CB$22*$CG4^3+$CC$22*$CG4^4+$CD$22*$CG4^5+$CE$22*$CG4^6</f>
        <v>5.0933889446631631E-2</v>
      </c>
      <c r="DA4" s="76">
        <f t="shared" ref="DA4:DA17" si="19">$BY$23+$BZ$23*$CG4+$CA$23*$CG4^2+$CB$23*$CG4^3+$CC$23*$CG4^4+$CD$23*$CG4^5+$CE$23*$CG4^6</f>
        <v>-0.2084022034491731</v>
      </c>
      <c r="DB4" s="76">
        <f t="shared" ref="DB4:DB17" si="20">$BY$24+$BZ$24*$CG4+$CA$24*$CG4^2+$CB$24*$CG4^3+$CC$24*$CG4^4+$CD$24*$CG4^5+$CE$24*$CG4^6</f>
        <v>0.16533153920454821</v>
      </c>
      <c r="DC4" s="76">
        <f t="shared" ref="DC4:DC17" si="21">$BY$25+$BZ$25*$CG4+$CA$25*$CG4^2+$CB$25*$CG4^3+$CC$25*$CG4^4+$CD$25*$CG4^5+$CE$25*$CG4^6</f>
        <v>0.2604772311347856</v>
      </c>
      <c r="DD4" s="76">
        <f t="shared" ref="DD4:DD17" si="22">$BY$26+$BZ$26*$CG4+$CA$26*$CG4^2+$CB$26*$CG4^3+$CC$26*$CG4^4+$CD$26*$CG4^5+$CE$26*$CG4^6</f>
        <v>0.48304644814788622</v>
      </c>
      <c r="DE4" s="76">
        <f t="shared" ref="DE4:DE17" si="23">$BY$27+$BZ$27*$CG4+$CA$27*$CG4^2+$CB$27*$CG4^3+$CC$27*$CG4^4+$CD$27*$CG4^5+$CE$27*$CG4^6</f>
        <v>6.9507610093974867E-2</v>
      </c>
      <c r="DF4" s="76">
        <f t="shared" ref="DF4:DF17" si="24">$BY$28+$BZ$28*$CG4+$CA$28*$CG4^2+$CB$28*$CG4^3+$CC$28*$CG4^4+$CD$28*$CG4^5+$CE$28*$CG4^6</f>
        <v>0.16184855201421575</v>
      </c>
      <c r="DG4" s="76">
        <f t="shared" ref="DG4:DG17" si="25">$BY$29+$BZ$29*$CG4+$CA$29*$CG4^2+$CB$29*$CG4^3+$CC$29*$CG4^4+$CD$29*$CG4^5+$CE$29*$CG4^6</f>
        <v>2.2477072631021684E-2</v>
      </c>
      <c r="DH4" s="76">
        <f t="shared" ref="DH4:DH17" si="26">$BY$30+$BZ$30*$CG4+$CA$30*$CG4^2+$CB$30*$CG4^3+$CC$30*$CG4^4+$CD$30*$CG4^5+$CE$30*$CG4^6</f>
        <v>0.57466580560572944</v>
      </c>
      <c r="DI4" s="76">
        <f t="shared" ref="DI4:DI17" si="27">$BY$31+$BZ$31*$CG4+$CA$31*$CG4^2+$CB$31*$CG4^3+$CC$31*$CG4^4+$CD$31*$CG4^5+$CE$31*$CG4^6</f>
        <v>0</v>
      </c>
      <c r="DJ4" s="76">
        <f t="shared" ref="DJ4:DJ17" si="28">$BY$32+$BZ$32*$CG4+$CA$32*$CG4^2+$CB$32*$CG4^3+$CC$32*$CG4^4+$CD$32*$CG4^5+$CE$32*$CG4^6</f>
        <v>9.0499287328226128</v>
      </c>
      <c r="DK4" s="76">
        <f t="shared" ref="DK4:DK17" si="29">$BY$33+$BZ$33*$CG4+$CA$33*$CG4^2+$CB$33*$CG4^3+$CC$33*$CG4^4+$CD$33*$CG4^5+$CE$33*$CG4^6</f>
        <v>9.4147848315848144</v>
      </c>
      <c r="DL4" s="76">
        <f t="shared" ref="DL4:DL17" si="30">$BY$34+$BZ$34*$CG4+$CA$34*$CG4^2+$CB$34*$CG4^3+$CC$34*$CG4^4+$CD$34*$CG4^5+$CE$34*$CG4^6</f>
        <v>27.094125998010774</v>
      </c>
    </row>
    <row r="5" spans="1:116" s="48" customFormat="1" ht="14">
      <c r="A5" s="111">
        <f>IF(ISBLANK('In Process Calc.'!C5),"",'In Process Calc.'!C5)</f>
        <v>48.550000000046566</v>
      </c>
      <c r="B5" s="111">
        <f>IF(ISBLANK('Measured Data'!H9),"",'Measured Data'!H9)</f>
        <v>0.84</v>
      </c>
      <c r="C5" s="111">
        <f>IF(ISBLANK('In Process Calc.'!L5),"",'In Process Calc.'!L5)</f>
        <v>1097.0999999999999</v>
      </c>
      <c r="D5" s="111">
        <f>IF(ISBLANK('In Process Calc.'!M5),"",'In Process Calc.'!M5)</f>
        <v>0</v>
      </c>
      <c r="E5" s="111">
        <f>IF(ISBLANK('In Process Calc.'!N5),"",'In Process Calc.'!N5)</f>
        <v>0</v>
      </c>
      <c r="F5" s="111">
        <f>IF(ISBLANK('In Process Calc.'!O5),"",'In Process Calc.'!O5)</f>
        <v>-3.7650000000000149E-3</v>
      </c>
      <c r="G5" s="111">
        <f>IF(ISBLANK('In Process Calc.'!P5),"",'In Process Calc.'!P5)</f>
        <v>1.1333100000000005</v>
      </c>
      <c r="H5" s="111">
        <f>IF(ISBLANK('In Process Calc.'!Q5),"",'In Process Calc.'!Q5)</f>
        <v>3.12</v>
      </c>
      <c r="I5" s="111">
        <f>IF(ISBLANK('In Process Calc.'!R5),"",'In Process Calc.'!R5)</f>
        <v>0.18225</v>
      </c>
      <c r="J5" s="111">
        <f>IF(ISBLANK('In Process Calc.'!S5),"",'In Process Calc.'!S5)</f>
        <v>0.10989000000000032</v>
      </c>
      <c r="K5" s="111">
        <f>IF(ISBLANK('In Process Calc.'!T5),"",'In Process Calc.'!T5)</f>
        <v>2.7049895639962189</v>
      </c>
      <c r="L5" s="111">
        <f>IF(ISBLANK('In Process Calc.'!U5),"",'In Process Calc.'!U5)</f>
        <v>-0.63246000000000002</v>
      </c>
      <c r="M5" s="111">
        <f>IF(ISBLANK('In Process Calc.'!V5),"",'In Process Calc.'!V5)</f>
        <v>0.34929000000000088</v>
      </c>
      <c r="N5" s="111">
        <f>IF(ISBLANK('In Process Calc.'!W5),"",'In Process Calc.'!W5)</f>
        <v>-0.32511000000000007</v>
      </c>
      <c r="O5" s="111">
        <f>IF(ISBLANK('In Process Calc.'!X5),"",'In Process Calc.'!X5)</f>
        <v>-0.20457000000000014</v>
      </c>
      <c r="P5" s="111">
        <f>IF(ISBLANK('In Process Calc.'!Y5),"",'In Process Calc.'!Y5)</f>
        <v>0.73707000000000067</v>
      </c>
      <c r="Q5" s="111">
        <f>IF(ISBLANK('In Process Calc.'!Z5),"",'In Process Calc.'!Z5)</f>
        <v>3.5751554174067506</v>
      </c>
      <c r="R5" s="111">
        <f>IF(ISBLANK('In Process Calc.'!AA5),"",'In Process Calc.'!AA5)</f>
        <v>1.1110650000000004</v>
      </c>
      <c r="S5" s="111">
        <f>IF(ISBLANK('In Process Calc.'!AB5),"",'In Process Calc.'!AB5)</f>
        <v>0.56896500000000105</v>
      </c>
      <c r="T5" s="111">
        <f>IF(ISBLANK('In Process Calc.'!AC5),"",'In Process Calc.'!AC5)</f>
        <v>0.21352499999999985</v>
      </c>
      <c r="U5" s="111">
        <f>IF(ISBLANK('In Process Calc.'!AD5),"",'In Process Calc.'!AD5)</f>
        <v>-1.1619000000000002</v>
      </c>
      <c r="V5" s="111">
        <f>IF(ISBLANK('In Process Calc.'!AE5),"",'In Process Calc.'!AE5)</f>
        <v>0.28645499999999996</v>
      </c>
      <c r="W5" s="111">
        <f>IF(ISBLANK('In Process Calc.'!AF5),"",'In Process Calc.'!AF5)</f>
        <v>1.0239599999999993</v>
      </c>
      <c r="X5" s="111">
        <f>IF(ISBLANK('In Process Calc.'!AG5),"",'In Process Calc.'!AG5)</f>
        <v>1.6073999999999997</v>
      </c>
      <c r="Y5" s="111">
        <f>IF(ISBLANK('In Process Calc.'!AH5),"",'In Process Calc.'!AH5)</f>
        <v>0.58188000000000006</v>
      </c>
      <c r="Z5" s="111">
        <f>IF(ISBLANK('In Process Calc.'!AI5),"",'In Process Calc.'!AI5)</f>
        <v>0.27616499999999994</v>
      </c>
      <c r="AA5" s="111">
        <f>IF(ISBLANK('In Process Calc.'!AJ5),"",'In Process Calc.'!AJ5)</f>
        <v>0.24486000000000013</v>
      </c>
      <c r="AB5" s="111">
        <f>IF(ISBLANK('In Process Calc.'!AK5),"",'In Process Calc.'!AK5)</f>
        <v>0.6733199999999997</v>
      </c>
      <c r="AC5" s="111">
        <f>IF(ISBLANK('In Process Calc.'!AL5),"",'In Process Calc.'!AL5)</f>
        <v>0</v>
      </c>
      <c r="AD5" s="111">
        <f>IF(ISBLANK('In Process Calc.'!AM5),"",'In Process Calc.'!AM5)</f>
        <v>18.648750000000007</v>
      </c>
      <c r="AE5" s="111">
        <f>IF(ISBLANK('In Process Calc.'!AN5),"",'In Process Calc.'!AN5)</f>
        <v>17.483085000000006</v>
      </c>
      <c r="AF5" s="111">
        <f>IF(ISBLANK('In Process Calc.'!AO5),"",'In Process Calc.'!AO5)</f>
        <v>56.412000000000006</v>
      </c>
      <c r="AH5" s="111">
        <f>IF(ISBLANK('In Process Calc.'!C5),"",'In Process Calc.'!C5)</f>
        <v>48.550000000046566</v>
      </c>
      <c r="AI5" s="111">
        <f>IF(ISBLANK('Measured Data'!H9),"",'Measured Data'!H9)</f>
        <v>0.84</v>
      </c>
      <c r="AJ5" s="111">
        <f>IF(ISBLANK('In Process Calc.'!L5),"",'In Process Calc.'!L5)</f>
        <v>1097.0999999999999</v>
      </c>
      <c r="AK5" s="111">
        <f>IF(ISBLANK('In Process Calc.'!M5),"",'In Process Calc.'!M5)</f>
        <v>0</v>
      </c>
      <c r="AL5" s="111">
        <f>IF(ISBLANK('In Process Calc.'!N5),"",'In Process Calc.'!N5)</f>
        <v>0</v>
      </c>
      <c r="AM5" s="111">
        <f>IF(ISBLANK('In Process Calc.'!O5),"",'In Process Calc.'!O5)</f>
        <v>-3.7650000000000149E-3</v>
      </c>
      <c r="AN5" s="111">
        <f>IF(ISBLANK('In Process Calc.'!P5),"",'In Process Calc.'!P5)</f>
        <v>1.1333100000000005</v>
      </c>
      <c r="AO5" s="111">
        <f>IF(ISBLANK('In Process Calc.'!Q5),"",'In Process Calc.'!Q5)</f>
        <v>3.12</v>
      </c>
      <c r="AP5" s="111">
        <f>IF(ISBLANK('In Process Calc.'!R5),"",'In Process Calc.'!R5)</f>
        <v>0.18225</v>
      </c>
      <c r="AQ5" s="111">
        <f>IF(ISBLANK('In Process Calc.'!S5),"",'In Process Calc.'!S5)</f>
        <v>0.10989000000000032</v>
      </c>
      <c r="AR5" s="111">
        <f>IF(ISBLANK('In Process Calc.'!T5),"",'In Process Calc.'!T5)</f>
        <v>2.7049895639962189</v>
      </c>
      <c r="AS5" s="111">
        <f>IF(ISBLANK('In Process Calc.'!U5),"",'In Process Calc.'!U5)</f>
        <v>-0.63246000000000002</v>
      </c>
      <c r="AT5" s="111">
        <f>IF(ISBLANK('In Process Calc.'!V5),"",'In Process Calc.'!V5)</f>
        <v>0.34929000000000088</v>
      </c>
      <c r="AU5" s="111">
        <f>IF(ISBLANK('In Process Calc.'!W5),"",'In Process Calc.'!W5)</f>
        <v>-0.32511000000000007</v>
      </c>
      <c r="AV5" s="111">
        <f>IF(ISBLANK('In Process Calc.'!X5),"",'In Process Calc.'!X5)</f>
        <v>-0.20457000000000014</v>
      </c>
      <c r="AW5" s="111">
        <f>IF(ISBLANK('In Process Calc.'!Y5),"",'In Process Calc.'!Y5)</f>
        <v>0.73707000000000067</v>
      </c>
      <c r="AX5" s="111">
        <f>IF(ISBLANK('In Process Calc.'!Z5),"",'In Process Calc.'!Z5)</f>
        <v>3.5751554174067506</v>
      </c>
      <c r="AY5" s="111">
        <f>IF(ISBLANK('In Process Calc.'!AA5),"",'In Process Calc.'!AA5)</f>
        <v>1.1110650000000004</v>
      </c>
      <c r="AZ5" s="111">
        <f>IF(ISBLANK('In Process Calc.'!AB5),"",'In Process Calc.'!AB5)</f>
        <v>0.56896500000000105</v>
      </c>
      <c r="BA5" s="111">
        <f>IF(ISBLANK('In Process Calc.'!AC5),"",'In Process Calc.'!AC5)</f>
        <v>0.21352499999999985</v>
      </c>
      <c r="BB5" s="111">
        <f>IF(ISBLANK('In Process Calc.'!AD5),"",'In Process Calc.'!AD5)</f>
        <v>-1.1619000000000002</v>
      </c>
      <c r="BC5" s="111">
        <f>IF(ISBLANK('In Process Calc.'!AE5),"",'In Process Calc.'!AE5)</f>
        <v>0.28645499999999996</v>
      </c>
      <c r="BD5" s="111">
        <f>IF(ISBLANK('In Process Calc.'!AF5),"",'In Process Calc.'!AF5)</f>
        <v>1.0239599999999993</v>
      </c>
      <c r="BE5" s="111">
        <f>IF(ISBLANK('In Process Calc.'!AG5),"",'In Process Calc.'!AG5)</f>
        <v>1.6073999999999997</v>
      </c>
      <c r="BF5" s="111">
        <f>IF(ISBLANK('In Process Calc.'!AH5),"",'In Process Calc.'!AH5)</f>
        <v>0.58188000000000006</v>
      </c>
      <c r="BG5" s="111">
        <f>IF(ISBLANK('In Process Calc.'!AI5),"",'In Process Calc.'!AI5)</f>
        <v>0.27616499999999994</v>
      </c>
      <c r="BH5" s="111">
        <f>IF(ISBLANK('In Process Calc.'!AJ5),"",'In Process Calc.'!AJ5)</f>
        <v>0.24486000000000013</v>
      </c>
      <c r="BI5" s="111">
        <f>IF(ISBLANK('In Process Calc.'!AK5),"",'In Process Calc.'!AK5)</f>
        <v>0.6733199999999997</v>
      </c>
      <c r="BJ5" s="111">
        <f>IF(ISBLANK('In Process Calc.'!AL5),"",'In Process Calc.'!AL5)</f>
        <v>0</v>
      </c>
      <c r="BK5" s="111">
        <f>IF(ISBLANK('In Process Calc.'!AM5),"",'In Process Calc.'!AM5)</f>
        <v>18.648750000000007</v>
      </c>
      <c r="BL5" s="111">
        <f>IF(ISBLANK('In Process Calc.'!AN5),"",'In Process Calc.'!AN5)</f>
        <v>17.483085000000006</v>
      </c>
      <c r="BM5" s="111">
        <f>IF(ISBLANK('In Process Calc.'!AO5),"",'In Process Calc.'!AO5)</f>
        <v>56.412000000000006</v>
      </c>
      <c r="BO5" s="54" t="s">
        <v>109</v>
      </c>
      <c r="BP5" s="56">
        <f t="array" ref="BP5:BS5">LINEST($C3:INDEX($C:$C,COUNT($C:$C)+2), $A$3:INDEX($A:$A,COUNT($A:$A)+2)^{1,2,3},TRUE,TRUE)</f>
        <v>-4.0932038936197703E-3</v>
      </c>
      <c r="BQ5" s="56">
        <v>1.8113295312547713</v>
      </c>
      <c r="BR5" s="56">
        <v>-87.03113931544722</v>
      </c>
      <c r="BS5" s="56">
        <v>643.27722432115115</v>
      </c>
      <c r="BT5" s="56">
        <f t="array" ref="BT5:BX5">LINEST($C3:INDEX($C:$C,COUNT($C:$C)+2),$A$3:INDEX($A:$A,COUNT($A:$A)+2)^{1,2,3,4},TRUE,TRUE)</f>
        <v>5.521830560282367E-6</v>
      </c>
      <c r="BU5" s="56">
        <v>-7.7796202939295466E-3</v>
      </c>
      <c r="BV5" s="56">
        <v>2.5863349103661739</v>
      </c>
      <c r="BW5" s="56">
        <v>-140.28284250481562</v>
      </c>
      <c r="BX5" s="56">
        <v>1257.7309853929801</v>
      </c>
      <c r="BY5" s="57">
        <f>IF('Cumulative Curves'!$B$9=6,#REF!,IF('Cumulative Curves'!$B$9=5,#REF!, IF( 'Cumulative Curves'!$B$9=4, BX5,IF('Cumulative Curves'!$B$9=3, BS5, 0))))</f>
        <v>643.27722432115115</v>
      </c>
      <c r="BZ5" s="57">
        <f>IF('Cumulative Curves'!$B$9=6,#REF!,IF('Cumulative Curves'!$B$9=5,#REF!, IF( 'Cumulative Curves'!$B$9=4, BW5,IF('Cumulative Curves'!$B$9=3, BR5, 0))))</f>
        <v>-87.03113931544722</v>
      </c>
      <c r="CA5" s="57">
        <f>IF('Cumulative Curves'!$B$9=6,#REF!,IF('Cumulative Curves'!$B$9=5,#REF!, IF( 'Cumulative Curves'!$B$9=4, BV5,IF('Cumulative Curves'!$B$9=3, BQ5, 0))))</f>
        <v>1.8113295312547713</v>
      </c>
      <c r="CB5" s="57">
        <f>IF('Cumulative Curves'!$B$9=6,#REF!,IF('Cumulative Curves'!$B$9=5,#REF!, IF( 'Cumulative Curves'!$B$9=4, BU5,IF('Cumulative Curves'!$B$9=3, BP5, 0))))</f>
        <v>-4.0932038936197703E-3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48.550000000046566</v>
      </c>
      <c r="CH5" s="76">
        <f t="shared" si="0"/>
        <v>0.19385111548164494</v>
      </c>
      <c r="CI5" s="76">
        <f t="shared" si="1"/>
        <v>218.98946710984126</v>
      </c>
      <c r="CJ5" s="76">
        <f t="shared" si="2"/>
        <v>0</v>
      </c>
      <c r="CK5" s="76">
        <f t="shared" si="3"/>
        <v>-180.66758798010687</v>
      </c>
      <c r="CL5" s="76">
        <f t="shared" si="4"/>
        <v>1.0363247671567266</v>
      </c>
      <c r="CM5" s="76">
        <f t="shared" si="5"/>
        <v>0.39745961652708484</v>
      </c>
      <c r="CN5" s="76">
        <f t="shared" si="6"/>
        <v>1.8073904343645155</v>
      </c>
      <c r="CO5" s="76">
        <f t="shared" si="7"/>
        <v>0.81231141877257784</v>
      </c>
      <c r="CP5" s="76">
        <f t="shared" si="8"/>
        <v>7.2106550383714385E-2</v>
      </c>
      <c r="CQ5" s="76">
        <f t="shared" si="9"/>
        <v>2.1381807269478887</v>
      </c>
      <c r="CR5" s="76">
        <f t="shared" si="10"/>
        <v>-0.57441933204104068</v>
      </c>
      <c r="CS5" s="76">
        <f t="shared" si="11"/>
        <v>-3.5720931391099366</v>
      </c>
      <c r="CT5" s="76">
        <f t="shared" si="12"/>
        <v>-1.0399425896103724</v>
      </c>
      <c r="CU5" s="76">
        <f t="shared" si="13"/>
        <v>-0.34977393595704354</v>
      </c>
      <c r="CV5" s="76">
        <f t="shared" si="14"/>
        <v>4.756126905234704E-2</v>
      </c>
      <c r="CW5" s="76">
        <f t="shared" si="15"/>
        <v>2.0939683290258264</v>
      </c>
      <c r="CX5" s="76">
        <f t="shared" si="16"/>
        <v>0.13839087597598226</v>
      </c>
      <c r="CY5" s="76">
        <f t="shared" si="17"/>
        <v>-6.0846929292109844E-2</v>
      </c>
      <c r="CZ5" s="76">
        <f t="shared" si="18"/>
        <v>0.1518011927963121</v>
      </c>
      <c r="DA5" s="76">
        <f t="shared" si="19"/>
        <v>-1.9370811982296976</v>
      </c>
      <c r="DB5" s="76">
        <f t="shared" si="20"/>
        <v>-3.5222406325423367E-2</v>
      </c>
      <c r="DC5" s="76">
        <f t="shared" si="21"/>
        <v>0.67360405508737586</v>
      </c>
      <c r="DD5" s="76">
        <f t="shared" si="22"/>
        <v>1.3875559010462553</v>
      </c>
      <c r="DE5" s="76">
        <f t="shared" si="23"/>
        <v>0.27180085972609674</v>
      </c>
      <c r="DF5" s="76">
        <f t="shared" si="24"/>
        <v>0.10750879255930827</v>
      </c>
      <c r="DG5" s="76">
        <f t="shared" si="25"/>
        <v>0.10888675192621056</v>
      </c>
      <c r="DH5" s="76">
        <f t="shared" si="26"/>
        <v>-0.42127570333811115</v>
      </c>
      <c r="DI5" s="76">
        <f t="shared" si="27"/>
        <v>0</v>
      </c>
      <c r="DJ5" s="76">
        <f t="shared" si="28"/>
        <v>2.9660005196761601</v>
      </c>
      <c r="DK5" s="76">
        <f t="shared" si="29"/>
        <v>2.0652440886032091</v>
      </c>
      <c r="DL5" s="76">
        <f t="shared" si="30"/>
        <v>-8.6039538779786131</v>
      </c>
    </row>
    <row r="6" spans="1:116" s="48" customFormat="1" ht="12">
      <c r="A6" s="111">
        <f>IF(ISBLANK('In Process Calc.'!C6),"",'In Process Calc.'!C6)</f>
        <v>71.050000000046566</v>
      </c>
      <c r="B6" s="111">
        <f>IF(ISBLANK('Measured Data'!H10),"",'Measured Data'!H10)</f>
        <v>1.4873000217437744</v>
      </c>
      <c r="C6" s="111">
        <f>IF(ISBLANK('In Process Calc.'!L6),"",'In Process Calc.'!L6)</f>
        <v>2287.0748407913206</v>
      </c>
      <c r="D6" s="111">
        <f>IF(ISBLANK('In Process Calc.'!M6),"",'In Process Calc.'!M6)</f>
        <v>0</v>
      </c>
      <c r="E6" s="111">
        <f>IF(ISBLANK('In Process Calc.'!N6),"",'In Process Calc.'!N6)</f>
        <v>0</v>
      </c>
      <c r="F6" s="111">
        <f>IF(ISBLANK('In Process Calc.'!O6),"",'In Process Calc.'!O6)</f>
        <v>-6.5576999999999969E-2</v>
      </c>
      <c r="G6" s="111">
        <f>IF(ISBLANK('In Process Calc.'!P6),"",'In Process Calc.'!P6)</f>
        <v>1.1213310000000003</v>
      </c>
      <c r="H6" s="111">
        <f>IF(ISBLANK('In Process Calc.'!Q6),"",'In Process Calc.'!Q6)</f>
        <v>4.5329420000000011</v>
      </c>
      <c r="I6" s="111">
        <f>IF(ISBLANK('In Process Calc.'!R6),"",'In Process Calc.'!R6)</f>
        <v>0.4657199999999998</v>
      </c>
      <c r="J6" s="111">
        <f>IF(ISBLANK('In Process Calc.'!S6),"",'In Process Calc.'!S6)</f>
        <v>0.35703700000000027</v>
      </c>
      <c r="K6" s="111">
        <f>IF(ISBLANK('In Process Calc.'!T6),"",'In Process Calc.'!T6)</f>
        <v>5.3259832690662527</v>
      </c>
      <c r="L6" s="111">
        <f>IF(ISBLANK('In Process Calc.'!U6),"",'In Process Calc.'!U6)</f>
        <v>-0.66785600000000001</v>
      </c>
      <c r="M6" s="111">
        <f>IF(ISBLANK('In Process Calc.'!V6),"",'In Process Calc.'!V6)</f>
        <v>0.65771300000000066</v>
      </c>
      <c r="N6" s="111">
        <f>IF(ISBLANK('In Process Calc.'!W6),"",'In Process Calc.'!W6)</f>
        <v>-0.587812</v>
      </c>
      <c r="O6" s="111">
        <f>IF(ISBLANK('In Process Calc.'!X6),"",'In Process Calc.'!X6)</f>
        <v>0.7000630000000001</v>
      </c>
      <c r="P6" s="111">
        <f>IF(ISBLANK('In Process Calc.'!Y6),"",'In Process Calc.'!Y6)</f>
        <v>1.2450810000000003</v>
      </c>
      <c r="Q6" s="111">
        <f>IF(ISBLANK('In Process Calc.'!Z6),"",'In Process Calc.'!Z6)</f>
        <v>5.1671847246891662</v>
      </c>
      <c r="R6" s="111">
        <f>IF(ISBLANK('In Process Calc.'!AA6),"",'In Process Calc.'!AA6)</f>
        <v>1.8971249999999991</v>
      </c>
      <c r="S6" s="111">
        <f>IF(ISBLANK('In Process Calc.'!AB6),"",'In Process Calc.'!AB6)</f>
        <v>1.1409370000000008</v>
      </c>
      <c r="T6" s="111">
        <f>IF(ISBLANK('In Process Calc.'!AC6),"",'In Process Calc.'!AC6)</f>
        <v>0.39046099999999978</v>
      </c>
      <c r="U6" s="111">
        <f>IF(ISBLANK('In Process Calc.'!AD6),"",'In Process Calc.'!AD6)</f>
        <v>-2.1384000000000003</v>
      </c>
      <c r="V6" s="111">
        <f>IF(ISBLANK('In Process Calc.'!AE6),"",'In Process Calc.'!AE6)</f>
        <v>0.51904700000000004</v>
      </c>
      <c r="W6" s="111">
        <f>IF(ISBLANK('In Process Calc.'!AF6),"",'In Process Calc.'!AF6)</f>
        <v>1.7086209999999995</v>
      </c>
      <c r="X6" s="111">
        <f>IF(ISBLANK('In Process Calc.'!AG6),"",'In Process Calc.'!AG6)</f>
        <v>2.7151710000000007</v>
      </c>
      <c r="Y6" s="111">
        <f>IF(ISBLANK('In Process Calc.'!AH6),"",'In Process Calc.'!AH6)</f>
        <v>1.0819769999999989</v>
      </c>
      <c r="Z6" s="111">
        <f>IF(ISBLANK('In Process Calc.'!AI6),"",'In Process Calc.'!AI6)</f>
        <v>0.51005500000000004</v>
      </c>
      <c r="AA6" s="111">
        <f>IF(ISBLANK('In Process Calc.'!AJ6),"",'In Process Calc.'!AJ6)</f>
        <v>0.48212999999999967</v>
      </c>
      <c r="AB6" s="111">
        <f>IF(ISBLANK('In Process Calc.'!AK6),"",'In Process Calc.'!AK6)</f>
        <v>1.2208009999999994</v>
      </c>
      <c r="AC6" s="111">
        <f>IF(ISBLANK('In Process Calc.'!AL6),"",'In Process Calc.'!AL6)</f>
        <v>0</v>
      </c>
      <c r="AD6" s="111">
        <f>IF(ISBLANK('In Process Calc.'!AM6),"",'In Process Calc.'!AM6)</f>
        <v>32.200600999999999</v>
      </c>
      <c r="AE6" s="111">
        <f>IF(ISBLANK('In Process Calc.'!AN6),"",'In Process Calc.'!AN6)</f>
        <v>29.996623999999997</v>
      </c>
      <c r="AF6" s="111">
        <f>IF(ISBLANK('In Process Calc.'!AO6),"",'In Process Calc.'!AO6)</f>
        <v>101.428518</v>
      </c>
      <c r="AH6" s="111">
        <f>IF(ISBLANK('In Process Calc.'!C6),"",'In Process Calc.'!C6)</f>
        <v>71.050000000046566</v>
      </c>
      <c r="AI6" s="111">
        <f>IF(ISBLANK('Measured Data'!H10),"",'Measured Data'!H10)</f>
        <v>1.4873000217437744</v>
      </c>
      <c r="AJ6" s="111">
        <f>IF(ISBLANK('In Process Calc.'!L6),"",'In Process Calc.'!L6)</f>
        <v>2287.0748407913206</v>
      </c>
      <c r="AK6" s="111">
        <f>IF(ISBLANK('In Process Calc.'!M6),"",'In Process Calc.'!M6)</f>
        <v>0</v>
      </c>
      <c r="AL6" s="111">
        <f>IF(ISBLANK('In Process Calc.'!N6),"",'In Process Calc.'!N6)</f>
        <v>0</v>
      </c>
      <c r="AM6" s="111">
        <f>IF(ISBLANK('In Process Calc.'!O6),"",'In Process Calc.'!O6)</f>
        <v>-6.5576999999999969E-2</v>
      </c>
      <c r="AN6" s="111">
        <f>IF(ISBLANK('In Process Calc.'!P6),"",'In Process Calc.'!P6)</f>
        <v>1.1213310000000003</v>
      </c>
      <c r="AO6" s="111">
        <f>IF(ISBLANK('In Process Calc.'!Q6),"",'In Process Calc.'!Q6)</f>
        <v>4.5329420000000011</v>
      </c>
      <c r="AP6" s="111">
        <f>IF(ISBLANK('In Process Calc.'!R6),"",'In Process Calc.'!R6)</f>
        <v>0.4657199999999998</v>
      </c>
      <c r="AQ6" s="111">
        <f>IF(ISBLANK('In Process Calc.'!S6),"",'In Process Calc.'!S6)</f>
        <v>0.35703700000000027</v>
      </c>
      <c r="AR6" s="111">
        <f>IF(ISBLANK('In Process Calc.'!T6),"",'In Process Calc.'!T6)</f>
        <v>5.3259832690662527</v>
      </c>
      <c r="AS6" s="111">
        <f>IF(ISBLANK('In Process Calc.'!U6),"",'In Process Calc.'!U6)</f>
        <v>-0.66785600000000001</v>
      </c>
      <c r="AT6" s="111">
        <f>IF(ISBLANK('In Process Calc.'!V6),"",'In Process Calc.'!V6)</f>
        <v>0.65771300000000066</v>
      </c>
      <c r="AU6" s="111">
        <f>IF(ISBLANK('In Process Calc.'!W6),"",'In Process Calc.'!W6)</f>
        <v>-0.587812</v>
      </c>
      <c r="AV6" s="111">
        <f>IF(ISBLANK('In Process Calc.'!X6),"",'In Process Calc.'!X6)</f>
        <v>0.7000630000000001</v>
      </c>
      <c r="AW6" s="111">
        <f>IF(ISBLANK('In Process Calc.'!Y6),"",'In Process Calc.'!Y6)</f>
        <v>1.2450810000000003</v>
      </c>
      <c r="AX6" s="111">
        <f>IF(ISBLANK('In Process Calc.'!Z6),"",'In Process Calc.'!Z6)</f>
        <v>5.1671847246891662</v>
      </c>
      <c r="AY6" s="111">
        <f>IF(ISBLANK('In Process Calc.'!AA6),"",'In Process Calc.'!AA6)</f>
        <v>1.8971249999999991</v>
      </c>
      <c r="AZ6" s="111">
        <f>IF(ISBLANK('In Process Calc.'!AB6),"",'In Process Calc.'!AB6)</f>
        <v>1.1409370000000008</v>
      </c>
      <c r="BA6" s="111">
        <f>IF(ISBLANK('In Process Calc.'!AC6),"",'In Process Calc.'!AC6)</f>
        <v>0.39046099999999978</v>
      </c>
      <c r="BB6" s="111">
        <f>IF(ISBLANK('In Process Calc.'!AD6),"",'In Process Calc.'!AD6)</f>
        <v>-2.1384000000000003</v>
      </c>
      <c r="BC6" s="111">
        <f>IF(ISBLANK('In Process Calc.'!AE6),"",'In Process Calc.'!AE6)</f>
        <v>0.51904700000000004</v>
      </c>
      <c r="BD6" s="111">
        <f>IF(ISBLANK('In Process Calc.'!AF6),"",'In Process Calc.'!AF6)</f>
        <v>1.7086209999999995</v>
      </c>
      <c r="BE6" s="111">
        <f>IF(ISBLANK('In Process Calc.'!AG6),"",'In Process Calc.'!AG6)</f>
        <v>2.7151710000000007</v>
      </c>
      <c r="BF6" s="111">
        <f>IF(ISBLANK('In Process Calc.'!AH6),"",'In Process Calc.'!AH6)</f>
        <v>1.0819769999999989</v>
      </c>
      <c r="BG6" s="111">
        <f>IF(ISBLANK('In Process Calc.'!AI6),"",'In Process Calc.'!AI6)</f>
        <v>0.51005500000000004</v>
      </c>
      <c r="BH6" s="111">
        <f>IF(ISBLANK('In Process Calc.'!AJ6),"",'In Process Calc.'!AJ6)</f>
        <v>0.48212999999999967</v>
      </c>
      <c r="BI6" s="111">
        <f>IF(ISBLANK('In Process Calc.'!AK6),"",'In Process Calc.'!AK6)</f>
        <v>1.2208009999999994</v>
      </c>
      <c r="BJ6" s="111">
        <f>IF(ISBLANK('In Process Calc.'!AL6),"",'In Process Calc.'!AL6)</f>
        <v>0</v>
      </c>
      <c r="BK6" s="111">
        <f>IF(ISBLANK('In Process Calc.'!AM6),"",'In Process Calc.'!AM6)</f>
        <v>32.200600999999999</v>
      </c>
      <c r="BL6" s="111">
        <f>IF(ISBLANK('In Process Calc.'!AN6),"",'In Process Calc.'!AN6)</f>
        <v>29.996623999999997</v>
      </c>
      <c r="BM6" s="111">
        <f>IF(ISBLANK('In Process Calc.'!AO6),"",'In Process Calc.'!AO6)</f>
        <v>101.428518</v>
      </c>
      <c r="BO6" s="54" t="s">
        <v>108</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71.050000000046566</v>
      </c>
      <c r="CH6" s="76">
        <f t="shared" si="0"/>
        <v>1.2269787055750159</v>
      </c>
      <c r="CI6" s="76">
        <f t="shared" si="1"/>
        <v>2135.3919559784808</v>
      </c>
      <c r="CJ6" s="76">
        <f t="shared" si="2"/>
        <v>0</v>
      </c>
      <c r="CK6" s="76">
        <f t="shared" si="3"/>
        <v>-151.60321792786684</v>
      </c>
      <c r="CL6" s="76">
        <f t="shared" si="4"/>
        <v>0.51815257022564731</v>
      </c>
      <c r="CM6" s="76">
        <f t="shared" si="5"/>
        <v>0.17524708429823363</v>
      </c>
      <c r="CN6" s="76">
        <f t="shared" si="6"/>
        <v>1.8035512603187385</v>
      </c>
      <c r="CO6" s="76">
        <f t="shared" si="7"/>
        <v>0.59209143988470037</v>
      </c>
      <c r="CP6" s="76">
        <f t="shared" si="8"/>
        <v>0.21524846358053637</v>
      </c>
      <c r="CQ6" s="76">
        <f t="shared" si="9"/>
        <v>4.8793091482668016</v>
      </c>
      <c r="CR6" s="76">
        <f t="shared" si="10"/>
        <v>-0.77313178941273886</v>
      </c>
      <c r="CS6" s="76">
        <f t="shared" si="11"/>
        <v>-7.0940446649997995</v>
      </c>
      <c r="CT6" s="76">
        <f t="shared" si="12"/>
        <v>-1.4538910090544999</v>
      </c>
      <c r="CU6" s="76">
        <f t="shared" si="13"/>
        <v>-0.38561898319047283</v>
      </c>
      <c r="CV6" s="76">
        <f t="shared" si="14"/>
        <v>-0.20363488549529399</v>
      </c>
      <c r="CW6" s="76">
        <f t="shared" si="15"/>
        <v>5.6967125550279913</v>
      </c>
      <c r="CX6" s="76">
        <f t="shared" si="16"/>
        <v>-2.5293756040956968E-2</v>
      </c>
      <c r="CY6" s="76">
        <f t="shared" si="17"/>
        <v>-0.43301969128322171</v>
      </c>
      <c r="CZ6" s="76">
        <f t="shared" si="18"/>
        <v>0.29180407069537762</v>
      </c>
      <c r="DA6" s="76">
        <f t="shared" si="19"/>
        <v>-3.4745003964414898</v>
      </c>
      <c r="DB6" s="76">
        <f t="shared" si="20"/>
        <v>-0.20019504607137303</v>
      </c>
      <c r="DC6" s="76">
        <f t="shared" si="21"/>
        <v>1.177553262782614</v>
      </c>
      <c r="DD6" s="76">
        <f t="shared" si="22"/>
        <v>2.3306256449824536</v>
      </c>
      <c r="DE6" s="76">
        <f t="shared" si="23"/>
        <v>0.66600289890826037</v>
      </c>
      <c r="DF6" s="76">
        <f t="shared" si="24"/>
        <v>2.1487504441326161E-2</v>
      </c>
      <c r="DG6" s="76">
        <f t="shared" si="25"/>
        <v>0.30934748316724281</v>
      </c>
      <c r="DH6" s="76">
        <f t="shared" si="26"/>
        <v>-1.3672841047870861</v>
      </c>
      <c r="DI6" s="76">
        <f t="shared" si="27"/>
        <v>0</v>
      </c>
      <c r="DJ6" s="76">
        <f t="shared" si="28"/>
        <v>-1.731767902668119</v>
      </c>
      <c r="DK6" s="76">
        <f t="shared" si="29"/>
        <v>-4.6881157288839423</v>
      </c>
      <c r="DL6" s="76">
        <f t="shared" si="30"/>
        <v>-31.107772907527142</v>
      </c>
    </row>
    <row r="7" spans="1:116" s="48" customFormat="1" ht="12">
      <c r="A7" s="111">
        <f>IF(ISBLANK('In Process Calc.'!C7),"",'In Process Calc.'!C7)</f>
        <v>95.53333333338378</v>
      </c>
      <c r="B7" s="111">
        <f>IF(ISBLANK('Measured Data'!H11),"",'Measured Data'!H11)</f>
        <v>2.7073000503540041</v>
      </c>
      <c r="C7" s="111">
        <f>IF(ISBLANK('In Process Calc.'!L7),"",'In Process Calc.'!L7)</f>
        <v>4535.1853937088017</v>
      </c>
      <c r="D7" s="111">
        <f>IF(ISBLANK('In Process Calc.'!M7),"",'In Process Calc.'!M7)</f>
        <v>0</v>
      </c>
      <c r="E7" s="111">
        <f>IF(ISBLANK('In Process Calc.'!N7),"",'In Process Calc.'!N7)</f>
        <v>52.275489999999998</v>
      </c>
      <c r="F7" s="111">
        <f>IF(ISBLANK('In Process Calc.'!O7),"",'In Process Calc.'!O7)</f>
        <v>-0.36366799999999999</v>
      </c>
      <c r="G7" s="111">
        <f>IF(ISBLANK('In Process Calc.'!P7),"",'In Process Calc.'!P7)</f>
        <v>0.37249000000000088</v>
      </c>
      <c r="H7" s="111">
        <f>IF(ISBLANK('In Process Calc.'!Q7),"",'In Process Calc.'!Q7)</f>
        <v>2.2669429999999995</v>
      </c>
      <c r="I7" s="111">
        <f>IF(ISBLANK('In Process Calc.'!R7),"",'In Process Calc.'!R7)</f>
        <v>0.61397100000000004</v>
      </c>
      <c r="J7" s="111">
        <f>IF(ISBLANK('In Process Calc.'!S7),"",'In Process Calc.'!S7)</f>
        <v>0.57440600000000019</v>
      </c>
      <c r="K7" s="111">
        <f>IF(ISBLANK('In Process Calc.'!T7),"",'In Process Calc.'!T7)</f>
        <v>8.6667970104279455</v>
      </c>
      <c r="L7" s="111">
        <f>IF(ISBLANK('In Process Calc.'!U7),"",'In Process Calc.'!U7)</f>
        <v>-1.1817350000000002</v>
      </c>
      <c r="M7" s="111">
        <f>IF(ISBLANK('In Process Calc.'!V7),"",'In Process Calc.'!V7)</f>
        <v>-6.9631749999999997</v>
      </c>
      <c r="N7" s="111">
        <f>IF(ISBLANK('In Process Calc.'!W7),"",'In Process Calc.'!W7)</f>
        <v>-1.2200160000000002</v>
      </c>
      <c r="O7" s="111">
        <f>IF(ISBLANK('In Process Calc.'!X7),"",'In Process Calc.'!X7)</f>
        <v>-0.15809099999999987</v>
      </c>
      <c r="P7" s="111">
        <f>IF(ISBLANK('In Process Calc.'!Y7),"",'In Process Calc.'!Y7)</f>
        <v>0.29488599999999976</v>
      </c>
      <c r="Q7" s="111">
        <f>IF(ISBLANK('In Process Calc.'!Z7),"",'In Process Calc.'!Z7)</f>
        <v>8.2144760213143897</v>
      </c>
      <c r="R7" s="111">
        <f>IF(ISBLANK('In Process Calc.'!AA7),"",'In Process Calc.'!AA7)</f>
        <v>0.94984599999999864</v>
      </c>
      <c r="S7" s="111">
        <f>IF(ISBLANK('In Process Calc.'!AB7),"",'In Process Calc.'!AB7)</f>
        <v>3.827000000000047E-2</v>
      </c>
      <c r="T7" s="111">
        <f>IF(ISBLANK('In Process Calc.'!AC7),"",'In Process Calc.'!AC7)</f>
        <v>0.55279800000000001</v>
      </c>
      <c r="U7" s="111">
        <f>IF(ISBLANK('In Process Calc.'!AD7),"",'In Process Calc.'!AD7)</f>
        <v>-4.0282300000000006</v>
      </c>
      <c r="V7" s="111">
        <f>IF(ISBLANK('In Process Calc.'!AE7),"",'In Process Calc.'!AE7)</f>
        <v>2.2255999999999887E-2</v>
      </c>
      <c r="W7" s="111">
        <f>IF(ISBLANK('In Process Calc.'!AF7),"",'In Process Calc.'!AF7)</f>
        <v>2.2534220000000009</v>
      </c>
      <c r="X7" s="111">
        <f>IF(ISBLANK('In Process Calc.'!AG7),"",'In Process Calc.'!AG7)</f>
        <v>3.7638580000000008</v>
      </c>
      <c r="Y7" s="111">
        <f>IF(ISBLANK('In Process Calc.'!AH7),"",'In Process Calc.'!AH7)</f>
        <v>1.538875</v>
      </c>
      <c r="Z7" s="111">
        <f>IF(ISBLANK('In Process Calc.'!AI7),"",'In Process Calc.'!AI7)</f>
        <v>0.16631799999999997</v>
      </c>
      <c r="AA7" s="111">
        <f>IF(ISBLANK('In Process Calc.'!AJ7),"",'In Process Calc.'!AJ7)</f>
        <v>0.79269599999999985</v>
      </c>
      <c r="AB7" s="111">
        <f>IF(ISBLANK('In Process Calc.'!AK7),"",'In Process Calc.'!AK7)</f>
        <v>-1.0479150000000002</v>
      </c>
      <c r="AC7" s="111">
        <f>IF(ISBLANK('In Process Calc.'!AL7),"",'In Process Calc.'!AL7)</f>
        <v>0</v>
      </c>
      <c r="AD7" s="111">
        <f>IF(ISBLANK('In Process Calc.'!AM7),"",'In Process Calc.'!AM7)</f>
        <v>9.9601550000000039</v>
      </c>
      <c r="AE7" s="111">
        <f>IF(ISBLANK('In Process Calc.'!AN7),"",'In Process Calc.'!AN7)</f>
        <v>5.5682570000000036</v>
      </c>
      <c r="AF7" s="111">
        <f>IF(ISBLANK('In Process Calc.'!AO7),"",'In Process Calc.'!AO7)</f>
        <v>17.283585000000002</v>
      </c>
      <c r="AH7" s="111">
        <f>IF(ISBLANK('In Process Calc.'!C7),"",'In Process Calc.'!C7)</f>
        <v>95.53333333338378</v>
      </c>
      <c r="AI7" s="111">
        <f>IF(ISBLANK('Measured Data'!H11),"",'Measured Data'!H11)</f>
        <v>2.7073000503540041</v>
      </c>
      <c r="AJ7" s="111">
        <f>IF(ISBLANK('In Process Calc.'!L7),"",'In Process Calc.'!L7)</f>
        <v>4535.1853937088017</v>
      </c>
      <c r="AK7" s="111">
        <f>IF(ISBLANK('In Process Calc.'!M7),"",'In Process Calc.'!M7)</f>
        <v>0</v>
      </c>
      <c r="AL7" s="111">
        <f>IF(ISBLANK('In Process Calc.'!N7),"",'In Process Calc.'!N7)</f>
        <v>52.275489999999998</v>
      </c>
      <c r="AM7" s="111">
        <f>IF(ISBLANK('In Process Calc.'!O7),"",'In Process Calc.'!O7)</f>
        <v>-0.36366799999999999</v>
      </c>
      <c r="AN7" s="111">
        <f>IF(ISBLANK('In Process Calc.'!P7),"",'In Process Calc.'!P7)</f>
        <v>0.37249000000000088</v>
      </c>
      <c r="AO7" s="111">
        <f>IF(ISBLANK('In Process Calc.'!Q7),"",'In Process Calc.'!Q7)</f>
        <v>2.2669429999999995</v>
      </c>
      <c r="AP7" s="111">
        <f>IF(ISBLANK('In Process Calc.'!R7),"",'In Process Calc.'!R7)</f>
        <v>0.61397100000000004</v>
      </c>
      <c r="AQ7" s="111">
        <f>IF(ISBLANK('In Process Calc.'!S7),"",'In Process Calc.'!S7)</f>
        <v>0.57440600000000019</v>
      </c>
      <c r="AR7" s="111">
        <f>IF(ISBLANK('In Process Calc.'!T7),"",'In Process Calc.'!T7)</f>
        <v>8.6667970104279455</v>
      </c>
      <c r="AS7" s="111">
        <f>IF(ISBLANK('In Process Calc.'!U7),"",'In Process Calc.'!U7)</f>
        <v>-1.1817350000000002</v>
      </c>
      <c r="AT7" s="111">
        <f>IF(ISBLANK('In Process Calc.'!V7),"",'In Process Calc.'!V7)</f>
        <v>-6.9631749999999997</v>
      </c>
      <c r="AU7" s="111">
        <f>IF(ISBLANK('In Process Calc.'!W7),"",'In Process Calc.'!W7)</f>
        <v>-1.2200160000000002</v>
      </c>
      <c r="AV7" s="111">
        <f>IF(ISBLANK('In Process Calc.'!X7),"",'In Process Calc.'!X7)</f>
        <v>-0.15809099999999987</v>
      </c>
      <c r="AW7" s="111">
        <f>IF(ISBLANK('In Process Calc.'!Y7),"",'In Process Calc.'!Y7)</f>
        <v>0.29488599999999976</v>
      </c>
      <c r="AX7" s="111">
        <f>IF(ISBLANK('In Process Calc.'!Z7),"",'In Process Calc.'!Z7)</f>
        <v>8.2144760213143897</v>
      </c>
      <c r="AY7" s="111">
        <f>IF(ISBLANK('In Process Calc.'!AA7),"",'In Process Calc.'!AA7)</f>
        <v>0.94984599999999864</v>
      </c>
      <c r="AZ7" s="111">
        <f>IF(ISBLANK('In Process Calc.'!AB7),"",'In Process Calc.'!AB7)</f>
        <v>3.827000000000047E-2</v>
      </c>
      <c r="BA7" s="111">
        <f>IF(ISBLANK('In Process Calc.'!AC7),"",'In Process Calc.'!AC7)</f>
        <v>0.55279800000000001</v>
      </c>
      <c r="BB7" s="111">
        <f>IF(ISBLANK('In Process Calc.'!AD7),"",'In Process Calc.'!AD7)</f>
        <v>-4.0282300000000006</v>
      </c>
      <c r="BC7" s="111">
        <f>IF(ISBLANK('In Process Calc.'!AE7),"",'In Process Calc.'!AE7)</f>
        <v>2.2255999999999887E-2</v>
      </c>
      <c r="BD7" s="111">
        <f>IF(ISBLANK('In Process Calc.'!AF7),"",'In Process Calc.'!AF7)</f>
        <v>2.2534220000000009</v>
      </c>
      <c r="BE7" s="111">
        <f>IF(ISBLANK('In Process Calc.'!AG7),"",'In Process Calc.'!AG7)</f>
        <v>3.7638580000000008</v>
      </c>
      <c r="BF7" s="111">
        <f>IF(ISBLANK('In Process Calc.'!AH7),"",'In Process Calc.'!AH7)</f>
        <v>1.538875</v>
      </c>
      <c r="BG7" s="111">
        <f>IF(ISBLANK('In Process Calc.'!AI7),"",'In Process Calc.'!AI7)</f>
        <v>0.16631799999999997</v>
      </c>
      <c r="BH7" s="111">
        <f>IF(ISBLANK('In Process Calc.'!AJ7),"",'In Process Calc.'!AJ7)</f>
        <v>0.79269599999999985</v>
      </c>
      <c r="BI7" s="111">
        <f>IF(ISBLANK('In Process Calc.'!AK7),"",'In Process Calc.'!AK7)</f>
        <v>-1.0479150000000002</v>
      </c>
      <c r="BJ7" s="111">
        <f>IF(ISBLANK('In Process Calc.'!AL7),"",'In Process Calc.'!AL7)</f>
        <v>0</v>
      </c>
      <c r="BK7" s="111">
        <f>IF(ISBLANK('In Process Calc.'!AM7),"",'In Process Calc.'!AM7)</f>
        <v>9.9601550000000039</v>
      </c>
      <c r="BL7" s="111">
        <f>IF(ISBLANK('In Process Calc.'!AN7),"",'In Process Calc.'!AN7)</f>
        <v>5.5682570000000036</v>
      </c>
      <c r="BM7" s="111">
        <f>IF(ISBLANK('In Process Calc.'!AO7),"",'In Process Calc.'!AO7)</f>
        <v>17.283585000000002</v>
      </c>
      <c r="BO7" s="54" t="s">
        <v>104</v>
      </c>
      <c r="BP7" s="56">
        <f t="array" ref="BP7:BS7">LINEST($E3:INDEX($E:$E,COUNT($E:$E)+2),$A$3:INDEX($A:$A,COUNT($A:$A)+2)^{1,2,3},TRUE,TRUE)</f>
        <v>-1.7654749417388434E-4</v>
      </c>
      <c r="BQ7" s="56">
        <v>0.14480756686857246</v>
      </c>
      <c r="BR7" s="56">
        <v>-14.110868221964138</v>
      </c>
      <c r="BS7" s="56">
        <v>183.29240952294845</v>
      </c>
      <c r="BT7" s="56">
        <f t="array" ref="BT7:BX7">LINEST($E3:INDEX($E:$E,COUNT($E:$E)+2),$A$3:INDEX($A:$A,COUNT($A:$A)+2)^{1,2,3,4},TRUE,TRUE)</f>
        <v>-1.4389846880925553E-6</v>
      </c>
      <c r="BU7" s="56">
        <v>7.8412971170324956E-4</v>
      </c>
      <c r="BV7" s="56">
        <v>-5.7158223561918596E-2</v>
      </c>
      <c r="BW7" s="56">
        <v>-0.23351637862335167</v>
      </c>
      <c r="BX7" s="56">
        <v>23.166244101819757</v>
      </c>
      <c r="BY7" s="57">
        <f>IF('Cumulative Curves'!$B$5=6,#REF!,IF('Cumulative Curves'!$B$5=5,#REF!, IF( 'Cumulative Curves'!$B$5=4, BX7,IF('Cumulative Curves'!$B$5=3, BS7, 0))))</f>
        <v>183.29240952294845</v>
      </c>
      <c r="BZ7" s="57">
        <f>IF('Cumulative Curves'!$B$5=6,#REF!,IF('Cumulative Curves'!$B$5=5,#REF!, IF( 'Cumulative Curves'!$B$5=4, BW7,IF('Cumulative Curves'!$B$5=3, BR7, 0))))</f>
        <v>-14.110868221964138</v>
      </c>
      <c r="CA7" s="57">
        <f>IF('Cumulative Curves'!$B$5=6,#REF!,IF('Cumulative Curves'!$B$5=5,#REF!, IF( 'Cumulative Curves'!$B$5=4, BV7,IF('Cumulative Curves'!$B$5=3, BQ7, 0))))</f>
        <v>0.14480756686857246</v>
      </c>
      <c r="CB7" s="57">
        <f>IF('Cumulative Curves'!$B$5=6,#REF!,IF('Cumulative Curves'!$B$5=5,#REF!, IF( 'Cumulative Curves'!$B$5=4, BU7,IF('Cumulative Curves'!$B$5=3, BP7, 0))))</f>
        <v>-1.7654749417388434E-4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95.53333333338378</v>
      </c>
      <c r="CH7" s="76">
        <f t="shared" si="0"/>
        <v>2.9815023901139699</v>
      </c>
      <c r="CI7" s="76">
        <f t="shared" si="1"/>
        <v>5291.3656872239044</v>
      </c>
      <c r="CJ7" s="76">
        <f t="shared" si="2"/>
        <v>0</v>
      </c>
      <c r="CK7" s="76">
        <f t="shared" si="3"/>
        <v>2.9063536582307279</v>
      </c>
      <c r="CL7" s="76">
        <f t="shared" si="4"/>
        <v>-0.73805147489142664</v>
      </c>
      <c r="CM7" s="76">
        <f t="shared" si="5"/>
        <v>-0.13804297393900805</v>
      </c>
      <c r="CN7" s="76">
        <f t="shared" si="6"/>
        <v>1.9114835468354854</v>
      </c>
      <c r="CO7" s="76">
        <f t="shared" si="7"/>
        <v>5.769727370551625E-2</v>
      </c>
      <c r="CP7" s="76">
        <f t="shared" si="8"/>
        <v>0.4281757117566718</v>
      </c>
      <c r="CQ7" s="76">
        <f t="shared" si="9"/>
        <v>9.3630255521782537</v>
      </c>
      <c r="CR7" s="76">
        <f t="shared" si="10"/>
        <v>-1.0664851831293864</v>
      </c>
      <c r="CS7" s="76">
        <f t="shared" si="11"/>
        <v>-10.599539001173429</v>
      </c>
      <c r="CT7" s="76">
        <f t="shared" si="12"/>
        <v>-1.6634833412212267</v>
      </c>
      <c r="CU7" s="76">
        <f t="shared" si="13"/>
        <v>-0.34553793147167777</v>
      </c>
      <c r="CV7" s="76">
        <f t="shared" si="14"/>
        <v>-0.4423565092389749</v>
      </c>
      <c r="CW7" s="76">
        <f t="shared" si="15"/>
        <v>10.241190679568533</v>
      </c>
      <c r="CX7" s="76">
        <f t="shared" si="16"/>
        <v>-6.3170481204104068E-2</v>
      </c>
      <c r="CY7" s="76">
        <f t="shared" si="17"/>
        <v>-0.82569603726823004</v>
      </c>
      <c r="CZ7" s="76">
        <f t="shared" si="18"/>
        <v>0.48537762861621647</v>
      </c>
      <c r="DA7" s="76">
        <f t="shared" si="19"/>
        <v>-5.2328382387526968</v>
      </c>
      <c r="DB7" s="76">
        <f t="shared" si="20"/>
        <v>-0.3606280440354927</v>
      </c>
      <c r="DC7" s="76">
        <f t="shared" si="21"/>
        <v>1.8441645643323579</v>
      </c>
      <c r="DD7" s="76">
        <f t="shared" si="22"/>
        <v>3.4894953018828683</v>
      </c>
      <c r="DE7" s="76">
        <f t="shared" si="23"/>
        <v>1.2737046534915932</v>
      </c>
      <c r="DF7" s="76">
        <f t="shared" si="24"/>
        <v>-9.5354478369072154E-2</v>
      </c>
      <c r="DG7" s="76">
        <f t="shared" si="25"/>
        <v>0.62730797814031847</v>
      </c>
      <c r="DH7" s="76">
        <f t="shared" si="26"/>
        <v>-2.4306281136114865</v>
      </c>
      <c r="DI7" s="76">
        <f t="shared" si="27"/>
        <v>0</v>
      </c>
      <c r="DJ7" s="76">
        <f t="shared" si="28"/>
        <v>-5.9517375981024845</v>
      </c>
      <c r="DK7" s="76">
        <f t="shared" si="29"/>
        <v>-11.922627311746592</v>
      </c>
      <c r="DL7" s="76">
        <f t="shared" si="30"/>
        <v>-47.728286661047491</v>
      </c>
    </row>
    <row r="8" spans="1:116" s="48" customFormat="1" ht="12">
      <c r="A8" s="111">
        <f>IF(ISBLANK('In Process Calc.'!C8),"",'In Process Calc.'!C8)</f>
        <v>115.96666666679084</v>
      </c>
      <c r="B8" s="111">
        <f>IF(ISBLANK('Measured Data'!H12),"",'Measured Data'!H12)</f>
        <v>4.0235999656677244</v>
      </c>
      <c r="C8" s="111">
        <f>IF(ISBLANK('In Process Calc.'!L8),"",'In Process Calc.'!L8)</f>
        <v>7031.0164246023396</v>
      </c>
      <c r="D8" s="111">
        <f>IF(ISBLANK('In Process Calc.'!M8),"",'In Process Calc.'!M8)</f>
        <v>0</v>
      </c>
      <c r="E8" s="111">
        <f>IF(ISBLANK('In Process Calc.'!N8),"",'In Process Calc.'!N8)</f>
        <v>163.20548592592593</v>
      </c>
      <c r="F8" s="111">
        <f>IF(ISBLANK('In Process Calc.'!O8),"",'In Process Calc.'!O8)</f>
        <v>-1.0688681851851853</v>
      </c>
      <c r="G8" s="111">
        <f>IF(ISBLANK('In Process Calc.'!P8),"",'In Process Calc.'!P8)</f>
        <v>-0.8294693703703695</v>
      </c>
      <c r="H8" s="111">
        <f>IF(ISBLANK('In Process Calc.'!Q8),"",'In Process Calc.'!Q8)</f>
        <v>-0.81022092592592676</v>
      </c>
      <c r="I8" s="111">
        <f>IF(ISBLANK('In Process Calc.'!R8),"",'In Process Calc.'!R8)</f>
        <v>9.7187592592592464E-2</v>
      </c>
      <c r="J8" s="111">
        <f>IF(ISBLANK('In Process Calc.'!S8),"",'In Process Calc.'!S8)</f>
        <v>0.55143603703703703</v>
      </c>
      <c r="K8" s="111">
        <f>IF(ISBLANK('In Process Calc.'!T8),"",'In Process Calc.'!T8)</f>
        <v>13.450461816251424</v>
      </c>
      <c r="L8" s="111">
        <f>IF(ISBLANK('In Process Calc.'!U8),"",'In Process Calc.'!U8)</f>
        <v>-2.0054276666666668</v>
      </c>
      <c r="M8" s="111">
        <f>IF(ISBLANK('In Process Calc.'!V8),"",'In Process Calc.'!V8)</f>
        <v>-14.454739222222221</v>
      </c>
      <c r="N8" s="111">
        <f>IF(ISBLANK('In Process Calc.'!W8),"",'In Process Calc.'!W8)</f>
        <v>-1.9715764444444448</v>
      </c>
      <c r="O8" s="111">
        <f>IF(ISBLANK('In Process Calc.'!X8),"",'In Process Calc.'!X8)</f>
        <v>-0.88436370370370376</v>
      </c>
      <c r="P8" s="111">
        <f>IF(ISBLANK('In Process Calc.'!Y8),"",'In Process Calc.'!Y8)</f>
        <v>-1.1376017407407406</v>
      </c>
      <c r="Q8" s="111">
        <f>IF(ISBLANK('In Process Calc.'!Z8),"",'In Process Calc.'!Z8)</f>
        <v>11.806875370041446</v>
      </c>
      <c r="R8" s="111">
        <f>IF(ISBLANK('In Process Calc.'!AA8),"",'In Process Calc.'!AA8)</f>
        <v>-0.72249507407407521</v>
      </c>
      <c r="S8" s="111">
        <f>IF(ISBLANK('In Process Calc.'!AB8),"",'In Process Calc.'!AB8)</f>
        <v>-1.6664583703703701</v>
      </c>
      <c r="T8" s="111">
        <f>IF(ISBLANK('In Process Calc.'!AC8),"",'In Process Calc.'!AC8)</f>
        <v>0.53318062962962953</v>
      </c>
      <c r="U8" s="111">
        <f>IF(ISBLANK('In Process Calc.'!AD8),"",'In Process Calc.'!AD8)</f>
        <v>-6.3077003703703713</v>
      </c>
      <c r="V8" s="111">
        <f>IF(ISBLANK('In Process Calc.'!AE8),"",'In Process Calc.'!AE8)</f>
        <v>-0.69224218518518499</v>
      </c>
      <c r="W8" s="111">
        <f>IF(ISBLANK('In Process Calc.'!AF8),"",'In Process Calc.'!AF8)</f>
        <v>1.8051786296296308</v>
      </c>
      <c r="X8" s="111">
        <f>IF(ISBLANK('In Process Calc.'!AG8),"",'In Process Calc.'!AG8)</f>
        <v>4.0377894444444449</v>
      </c>
      <c r="Y8" s="111">
        <f>IF(ISBLANK('In Process Calc.'!AH8),"",'In Process Calc.'!AH8)</f>
        <v>1.4363408148148147</v>
      </c>
      <c r="Z8" s="111">
        <f>IF(ISBLANK('In Process Calc.'!AI8),"",'In Process Calc.'!AI8)</f>
        <v>-0.36120959259259278</v>
      </c>
      <c r="AA8" s="111">
        <f>IF(ISBLANK('In Process Calc.'!AJ8),"",'In Process Calc.'!AJ8)</f>
        <v>0.70221537037037018</v>
      </c>
      <c r="AB8" s="111">
        <f>IF(ISBLANK('In Process Calc.'!AK8),"",'In Process Calc.'!AK8)</f>
        <v>-3.9301911111111103</v>
      </c>
      <c r="AC8" s="111">
        <f>IF(ISBLANK('In Process Calc.'!AL8),"",'In Process Calc.'!AL8)</f>
        <v>0</v>
      </c>
      <c r="AD8" s="111">
        <f>IF(ISBLANK('In Process Calc.'!AM8),"",'In Process Calc.'!AM8)</f>
        <v>-23.612850740740743</v>
      </c>
      <c r="AE8" s="111">
        <f>IF(ISBLANK('In Process Calc.'!AN8),"",'In Process Calc.'!AN8)</f>
        <v>-30.989419296296301</v>
      </c>
      <c r="AF8" s="111">
        <f>IF(ISBLANK('In Process Calc.'!AO8),"",'In Process Calc.'!AO8)</f>
        <v>-108.00720396296293</v>
      </c>
      <c r="AH8" s="111">
        <f>IF(ISBLANK('In Process Calc.'!C8),"",'In Process Calc.'!C8)</f>
        <v>115.96666666679084</v>
      </c>
      <c r="AI8" s="111">
        <f>IF(ISBLANK('Measured Data'!H12),"",'Measured Data'!H12)</f>
        <v>4.0235999656677244</v>
      </c>
      <c r="AJ8" s="111">
        <f>IF(ISBLANK('In Process Calc.'!L8),"",'In Process Calc.'!L8)</f>
        <v>7031.0164246023396</v>
      </c>
      <c r="AK8" s="111">
        <f>IF(ISBLANK('In Process Calc.'!M8),"",'In Process Calc.'!M8)</f>
        <v>0</v>
      </c>
      <c r="AL8" s="111">
        <f>IF(ISBLANK('In Process Calc.'!N8),"",'In Process Calc.'!N8)</f>
        <v>163.20548592592593</v>
      </c>
      <c r="AM8" s="111">
        <f>IF(ISBLANK('In Process Calc.'!O8),"",'In Process Calc.'!O8)</f>
        <v>-1.0688681851851853</v>
      </c>
      <c r="AN8" s="111">
        <f>IF(ISBLANK('In Process Calc.'!P8),"",'In Process Calc.'!P8)</f>
        <v>-0.8294693703703695</v>
      </c>
      <c r="AO8" s="111">
        <f>IF(ISBLANK('In Process Calc.'!Q8),"",'In Process Calc.'!Q8)</f>
        <v>-0.81022092592592676</v>
      </c>
      <c r="AP8" s="111">
        <f>IF(ISBLANK('In Process Calc.'!R8),"",'In Process Calc.'!R8)</f>
        <v>9.7187592592592464E-2</v>
      </c>
      <c r="AQ8" s="111">
        <f>IF(ISBLANK('In Process Calc.'!S8),"",'In Process Calc.'!S8)</f>
        <v>0.55143603703703703</v>
      </c>
      <c r="AR8" s="111">
        <f>IF(ISBLANK('In Process Calc.'!T8),"",'In Process Calc.'!T8)</f>
        <v>13.450461816251424</v>
      </c>
      <c r="AS8" s="111">
        <f>IF(ISBLANK('In Process Calc.'!U8),"",'In Process Calc.'!U8)</f>
        <v>-2.0054276666666668</v>
      </c>
      <c r="AT8" s="111">
        <f>IF(ISBLANK('In Process Calc.'!V8),"",'In Process Calc.'!V8)</f>
        <v>-14.454739222222221</v>
      </c>
      <c r="AU8" s="111">
        <f>IF(ISBLANK('In Process Calc.'!W8),"",'In Process Calc.'!W8)</f>
        <v>-1.9715764444444448</v>
      </c>
      <c r="AV8" s="111">
        <f>IF(ISBLANK('In Process Calc.'!X8),"",'In Process Calc.'!X8)</f>
        <v>-0.88436370370370376</v>
      </c>
      <c r="AW8" s="111">
        <f>IF(ISBLANK('In Process Calc.'!Y8),"",'In Process Calc.'!Y8)</f>
        <v>-1.1376017407407406</v>
      </c>
      <c r="AX8" s="111">
        <f>IF(ISBLANK('In Process Calc.'!Z8),"",'In Process Calc.'!Z8)</f>
        <v>11.806875370041446</v>
      </c>
      <c r="AY8" s="111">
        <f>IF(ISBLANK('In Process Calc.'!AA8),"",'In Process Calc.'!AA8)</f>
        <v>-0.72249507407407521</v>
      </c>
      <c r="AZ8" s="111">
        <f>IF(ISBLANK('In Process Calc.'!AB8),"",'In Process Calc.'!AB8)</f>
        <v>-1.6664583703703701</v>
      </c>
      <c r="BA8" s="111">
        <f>IF(ISBLANK('In Process Calc.'!AC8),"",'In Process Calc.'!AC8)</f>
        <v>0.53318062962962953</v>
      </c>
      <c r="BB8" s="111">
        <f>IF(ISBLANK('In Process Calc.'!AD8),"",'In Process Calc.'!AD8)</f>
        <v>-6.3077003703703713</v>
      </c>
      <c r="BC8" s="111">
        <f>IF(ISBLANK('In Process Calc.'!AE8),"",'In Process Calc.'!AE8)</f>
        <v>-0.69224218518518499</v>
      </c>
      <c r="BD8" s="111">
        <f>IF(ISBLANK('In Process Calc.'!AF8),"",'In Process Calc.'!AF8)</f>
        <v>1.8051786296296308</v>
      </c>
      <c r="BE8" s="111">
        <f>IF(ISBLANK('In Process Calc.'!AG8),"",'In Process Calc.'!AG8)</f>
        <v>4.0377894444444449</v>
      </c>
      <c r="BF8" s="111">
        <f>IF(ISBLANK('In Process Calc.'!AH8),"",'In Process Calc.'!AH8)</f>
        <v>1.4363408148148147</v>
      </c>
      <c r="BG8" s="111">
        <f>IF(ISBLANK('In Process Calc.'!AI8),"",'In Process Calc.'!AI8)</f>
        <v>-0.36120959259259278</v>
      </c>
      <c r="BH8" s="111">
        <f>IF(ISBLANK('In Process Calc.'!AJ8),"",'In Process Calc.'!AJ8)</f>
        <v>0.70221537037037018</v>
      </c>
      <c r="BI8" s="111">
        <f>IF(ISBLANK('In Process Calc.'!AK8),"",'In Process Calc.'!AK8)</f>
        <v>-3.9301911111111103</v>
      </c>
      <c r="BJ8" s="111">
        <f>IF(ISBLANK('In Process Calc.'!AL8),"",'In Process Calc.'!AL8)</f>
        <v>0</v>
      </c>
      <c r="BK8" s="111">
        <f>IF(ISBLANK('In Process Calc.'!AM8),"",'In Process Calc.'!AM8)</f>
        <v>-23.612850740740743</v>
      </c>
      <c r="BL8" s="111">
        <f>IF(ISBLANK('In Process Calc.'!AN8),"",'In Process Calc.'!AN8)</f>
        <v>-30.989419296296301</v>
      </c>
      <c r="BM8" s="111">
        <f>IF(ISBLANK('In Process Calc.'!AO8),"",'In Process Calc.'!AO8)</f>
        <v>-108.00720396296293</v>
      </c>
      <c r="BO8" s="54" t="s">
        <v>289</v>
      </c>
      <c r="BP8" s="56">
        <f t="array" ref="BP8:BS8">LINEST($AM3:INDEX($AM:$AM,COUNT($AM:$AM)+2),$AH$3:INDEX($AH:$AH,COUNT($AH:$AH)+2)^{1,2,3},TRUE,TRUE)</f>
        <v>2.722154647658025E-6</v>
      </c>
      <c r="BQ8" s="56">
        <v>-1.1875133158553706E-3</v>
      </c>
      <c r="BR8" s="56">
        <v>8.9448592740981117E-2</v>
      </c>
      <c r="BS8" s="56">
        <v>-0.8188299046888794</v>
      </c>
      <c r="BT8" s="56">
        <f t="array" ref="BT8:BX8">LINEST($AM3:INDEX($AM:$AM,COUNT($AM:$AM)+2),$AH$3:INDEX($AH:$AH,COUNT($AH:$AH)+2)^{1,2,3,4},TRUE,TRUE)</f>
        <v>-2.4660650082045576E-9</v>
      </c>
      <c r="BU8" s="56">
        <v>4.3685185465912941E-6</v>
      </c>
      <c r="BV8" s="56">
        <v>-1.5336328908282049E-3</v>
      </c>
      <c r="BW8" s="56">
        <v>0.11323095267197501</v>
      </c>
      <c r="BX8" s="56">
        <v>-1.0932466769524458</v>
      </c>
      <c r="BY8" s="57">
        <f>IF('Cumulative Curves'!$B$4=6,#REF!,IF('Cumulative Curves'!$B$4=5,#REF!, IF( 'Cumulative Curves'!$B$4=4, BX8,IF('Cumulative Curves'!$B$4=3, BS8, 0))))</f>
        <v>-0.8188299046888794</v>
      </c>
      <c r="BZ8" s="57">
        <f>IF('Cumulative Curves'!$B$4=6,#REF!,IF('Cumulative Curves'!$B$4=5,#REF!, IF( 'Cumulative Curves'!$B$4=4, BW8,IF('Cumulative Curves'!$B$4=3, BR8, 0))))</f>
        <v>8.9448592740981117E-2</v>
      </c>
      <c r="CA8" s="57">
        <f>IF('Cumulative Curves'!$B$4=6,#REF!,IF('Cumulative Curves'!$B$4=5,#REF!, IF( 'Cumulative Curves'!$B$4=4, BV8,IF('Cumulative Curves'!$B$4=3, BQ8, 0))))</f>
        <v>-1.1875133158553706E-3</v>
      </c>
      <c r="CB8" s="57">
        <f>IF('Cumulative Curves'!$B$4=6,#REF!,IF('Cumulative Curves'!$B$4=5,#REF!, IF( 'Cumulative Curves'!$B$4=4, BU8,IF('Cumulative Curves'!$B$4=3, BP8, 0))))</f>
        <v>2.722154647658025E-6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115.96666666679084</v>
      </c>
      <c r="CH8" s="76">
        <f t="shared" si="0"/>
        <v>4.7774479936004646</v>
      </c>
      <c r="CI8" s="76">
        <f t="shared" si="1"/>
        <v>8526.2513197080007</v>
      </c>
      <c r="CJ8" s="76">
        <f t="shared" si="2"/>
        <v>0</v>
      </c>
      <c r="CK8" s="76">
        <f t="shared" si="3"/>
        <v>218.97821013136053</v>
      </c>
      <c r="CL8" s="76">
        <f t="shared" si="4"/>
        <v>-2.170433405719808</v>
      </c>
      <c r="CM8" s="76">
        <f t="shared" si="5"/>
        <v>-0.42279154014147946</v>
      </c>
      <c r="CN8" s="76">
        <f t="shared" si="6"/>
        <v>2.3008307391009968</v>
      </c>
      <c r="CO8" s="76">
        <f t="shared" si="7"/>
        <v>-0.48065247604373085</v>
      </c>
      <c r="CP8" s="76">
        <f t="shared" si="8"/>
        <v>0.63732016457437912</v>
      </c>
      <c r="CQ8" s="76">
        <f t="shared" si="9"/>
        <v>14.271247706541011</v>
      </c>
      <c r="CR8" s="76">
        <f t="shared" si="10"/>
        <v>-1.6854752837713223</v>
      </c>
      <c r="CS8" s="76">
        <f t="shared" si="11"/>
        <v>-13.153897034716945</v>
      </c>
      <c r="CT8" s="76">
        <f t="shared" si="12"/>
        <v>-1.6825450369925226</v>
      </c>
      <c r="CU8" s="76">
        <f t="shared" si="13"/>
        <v>-0.25797000223259103</v>
      </c>
      <c r="CV8" s="76">
        <f t="shared" si="14"/>
        <v>-0.60338288792435879</v>
      </c>
      <c r="CW8" s="76">
        <f t="shared" si="15"/>
        <v>13.744677091425928</v>
      </c>
      <c r="CX8" s="76">
        <f t="shared" si="16"/>
        <v>2.290164209132789E-2</v>
      </c>
      <c r="CY8" s="76">
        <f t="shared" si="17"/>
        <v>-1.1086984550745029</v>
      </c>
      <c r="CZ8" s="76">
        <f t="shared" si="18"/>
        <v>0.66744689610378893</v>
      </c>
      <c r="DA8" s="76">
        <f t="shared" si="19"/>
        <v>-6.7477522056548258</v>
      </c>
      <c r="DB8" s="76">
        <f t="shared" si="20"/>
        <v>-0.46586201515779851</v>
      </c>
      <c r="DC8" s="76">
        <f t="shared" si="21"/>
        <v>2.4591647957740008</v>
      </c>
      <c r="DD8" s="76">
        <f t="shared" si="22"/>
        <v>4.5122572690063389</v>
      </c>
      <c r="DE8" s="76">
        <f t="shared" si="23"/>
        <v>1.8838575249689906</v>
      </c>
      <c r="DF8" s="76">
        <f t="shared" si="24"/>
        <v>-0.19759681718757804</v>
      </c>
      <c r="DG8" s="76">
        <f t="shared" si="25"/>
        <v>0.94852345050095688</v>
      </c>
      <c r="DH8" s="76">
        <f t="shared" si="26"/>
        <v>-3.2773409149311838</v>
      </c>
      <c r="DI8" s="76">
        <f t="shared" si="27"/>
        <v>0</v>
      </c>
      <c r="DJ8" s="76">
        <f t="shared" si="28"/>
        <v>-8.3559721064249572</v>
      </c>
      <c r="DK8" s="76">
        <f t="shared" si="29"/>
        <v>-17.274157717799568</v>
      </c>
      <c r="DL8" s="76">
        <f t="shared" si="30"/>
        <v>-54.798451322052657</v>
      </c>
    </row>
    <row r="9" spans="1:116" s="48" customFormat="1" ht="12">
      <c r="A9" s="111">
        <f>IF(ISBLANK('In Process Calc.'!C9),"",'In Process Calc.'!C9)</f>
        <v>141.16666666668607</v>
      </c>
      <c r="B9" s="111">
        <f>IF(ISBLANK('Measured Data'!H13),"",'Measured Data'!H13)</f>
        <v>6.555300099945069</v>
      </c>
      <c r="C9" s="111">
        <f>IF(ISBLANK('In Process Calc.'!L9),"",'In Process Calc.'!L9)</f>
        <v>11845.628654940967</v>
      </c>
      <c r="D9" s="111">
        <f>IF(ISBLANK('In Process Calc.'!M9),"",'In Process Calc.'!M9)</f>
        <v>0</v>
      </c>
      <c r="E9" s="111">
        <f>IF(ISBLANK('In Process Calc.'!N9),"",'In Process Calc.'!N9)</f>
        <v>402.43144666666666</v>
      </c>
      <c r="F9" s="111">
        <f>IF(ISBLANK('In Process Calc.'!O9),"",'In Process Calc.'!O9)</f>
        <v>-2.5133976666666671</v>
      </c>
      <c r="G9" s="111">
        <f>IF(ISBLANK('In Process Calc.'!P9),"",'In Process Calc.'!P9)</f>
        <v>-1.0411961111111112</v>
      </c>
      <c r="H9" s="111">
        <f>IF(ISBLANK('In Process Calc.'!Q9),"",'In Process Calc.'!Q9)</f>
        <v>0.89982533333333259</v>
      </c>
      <c r="I9" s="111">
        <f>IF(ISBLANK('In Process Calc.'!R9),"",'In Process Calc.'!R9)</f>
        <v>-0.44225777777777775</v>
      </c>
      <c r="J9" s="111">
        <f>IF(ISBLANK('In Process Calc.'!S9),"",'In Process Calc.'!S9)</f>
        <v>0.87884966666666675</v>
      </c>
      <c r="K9" s="111">
        <f>IF(ISBLANK('In Process Calc.'!T9),"",'In Process Calc.'!T9)</f>
        <v>21.06940013986409</v>
      </c>
      <c r="L9" s="111">
        <f>IF(ISBLANK('In Process Calc.'!U9),"",'In Process Calc.'!U9)</f>
        <v>-3.0366497777777783</v>
      </c>
      <c r="M9" s="111">
        <f>IF(ISBLANK('In Process Calc.'!V9),"",'In Process Calc.'!V9)</f>
        <v>-19.546170777777775</v>
      </c>
      <c r="N9" s="111">
        <f>IF(ISBLANK('In Process Calc.'!W9),"",'In Process Calc.'!W9)</f>
        <v>-2.2440228888888889</v>
      </c>
      <c r="O9" s="111">
        <f>IF(ISBLANK('In Process Calc.'!X9),"",'In Process Calc.'!X9)</f>
        <v>-0.82586077777777789</v>
      </c>
      <c r="P9" s="111">
        <f>IF(ISBLANK('In Process Calc.'!Y9),"",'In Process Calc.'!Y9)</f>
        <v>-1.4599227777777777</v>
      </c>
      <c r="Q9" s="111">
        <f>IF(ISBLANK('In Process Calc.'!Z9),"",'In Process Calc.'!Z9)</f>
        <v>17.323070850601937</v>
      </c>
      <c r="R9" s="111">
        <f>IF(ISBLANK('In Process Calc.'!AA9),"",'In Process Calc.'!AA9)</f>
        <v>-0.70881633333333427</v>
      </c>
      <c r="S9" s="111">
        <f>IF(ISBLANK('In Process Calc.'!AB9),"",'In Process Calc.'!AB9)</f>
        <v>-2.0172981111111112</v>
      </c>
      <c r="T9" s="111">
        <f>IF(ISBLANK('In Process Calc.'!AC9),"",'In Process Calc.'!AC9)</f>
        <v>0.83186855555555561</v>
      </c>
      <c r="U9" s="111">
        <f>IF(ISBLANK('In Process Calc.'!AD9),"",'In Process Calc.'!AD9)</f>
        <v>-9.6309977777777789</v>
      </c>
      <c r="V9" s="111">
        <f>IF(ISBLANK('In Process Calc.'!AE9),"",'In Process Calc.'!AE9)</f>
        <v>-0.87614788888888873</v>
      </c>
      <c r="W9" s="111">
        <f>IF(ISBLANK('In Process Calc.'!AF9),"",'In Process Calc.'!AF9)</f>
        <v>2.9692012222222224</v>
      </c>
      <c r="X9" s="111">
        <f>IF(ISBLANK('In Process Calc.'!AG9),"",'In Process Calc.'!AG9)</f>
        <v>5.4313156666666664</v>
      </c>
      <c r="Y9" s="111">
        <f>IF(ISBLANK('In Process Calc.'!AH9),"",'In Process Calc.'!AH9)</f>
        <v>2.3977358888888878</v>
      </c>
      <c r="Z9" s="111">
        <f>IF(ISBLANK('In Process Calc.'!AI9),"",'In Process Calc.'!AI9)</f>
        <v>-0.49350233333333332</v>
      </c>
      <c r="AA9" s="111">
        <f>IF(ISBLANK('In Process Calc.'!AJ9),"",'In Process Calc.'!AJ9)</f>
        <v>1.243978888888889</v>
      </c>
      <c r="AB9" s="111">
        <f>IF(ISBLANK('In Process Calc.'!AK9),"",'In Process Calc.'!AK9)</f>
        <v>-5.3031476666666686</v>
      </c>
      <c r="AC9" s="111">
        <f>IF(ISBLANK('In Process Calc.'!AL9),"",'In Process Calc.'!AL9)</f>
        <v>0</v>
      </c>
      <c r="AD9" s="111">
        <f>IF(ISBLANK('In Process Calc.'!AM9),"",'In Process Calc.'!AM9)</f>
        <v>-24.768702999999991</v>
      </c>
      <c r="AE9" s="111">
        <f>IF(ISBLANK('In Process Calc.'!AN9),"",'In Process Calc.'!AN9)</f>
        <v>-36.913098444444437</v>
      </c>
      <c r="AF9" s="111">
        <f>IF(ISBLANK('In Process Calc.'!AO9),"",'In Process Calc.'!AO9)</f>
        <v>-122.82069755555558</v>
      </c>
      <c r="AH9" s="111">
        <f>IF(ISBLANK('In Process Calc.'!C9),"",'In Process Calc.'!C9)</f>
        <v>141.16666666668607</v>
      </c>
      <c r="AI9" s="111">
        <f>IF(ISBLANK('Measured Data'!H13),"",'Measured Data'!H13)</f>
        <v>6.555300099945069</v>
      </c>
      <c r="AJ9" s="111">
        <f>IF(ISBLANK('In Process Calc.'!L9),"",'In Process Calc.'!L9)</f>
        <v>11845.628654940967</v>
      </c>
      <c r="AK9" s="111">
        <f>IF(ISBLANK('In Process Calc.'!M9),"",'In Process Calc.'!M9)</f>
        <v>0</v>
      </c>
      <c r="AL9" s="111">
        <f>IF(ISBLANK('In Process Calc.'!N9),"",'In Process Calc.'!N9)</f>
        <v>402.43144666666666</v>
      </c>
      <c r="AM9" s="111">
        <f>IF(ISBLANK('In Process Calc.'!O9),"",'In Process Calc.'!O9)</f>
        <v>-2.5133976666666671</v>
      </c>
      <c r="AN9" s="111">
        <f>IF(ISBLANK('In Process Calc.'!P9),"",'In Process Calc.'!P9)</f>
        <v>-1.0411961111111112</v>
      </c>
      <c r="AO9" s="111">
        <f>IF(ISBLANK('In Process Calc.'!Q9),"",'In Process Calc.'!Q9)</f>
        <v>0.89982533333333259</v>
      </c>
      <c r="AP9" s="111">
        <f>IF(ISBLANK('In Process Calc.'!R9),"",'In Process Calc.'!R9)</f>
        <v>-0.44225777777777775</v>
      </c>
      <c r="AQ9" s="111">
        <f>IF(ISBLANK('In Process Calc.'!S9),"",'In Process Calc.'!S9)</f>
        <v>0.87884966666666675</v>
      </c>
      <c r="AR9" s="111">
        <f>IF(ISBLANK('In Process Calc.'!T9),"",'In Process Calc.'!T9)</f>
        <v>21.06940013986409</v>
      </c>
      <c r="AS9" s="111">
        <f>IF(ISBLANK('In Process Calc.'!U9),"",'In Process Calc.'!U9)</f>
        <v>-3.0366497777777783</v>
      </c>
      <c r="AT9" s="111">
        <f>IF(ISBLANK('In Process Calc.'!V9),"",'In Process Calc.'!V9)</f>
        <v>-19.546170777777775</v>
      </c>
      <c r="AU9" s="111">
        <f>IF(ISBLANK('In Process Calc.'!W9),"",'In Process Calc.'!W9)</f>
        <v>-2.2440228888888889</v>
      </c>
      <c r="AV9" s="111">
        <f>IF(ISBLANK('In Process Calc.'!X9),"",'In Process Calc.'!X9)</f>
        <v>-0.82586077777777789</v>
      </c>
      <c r="AW9" s="111">
        <f>IF(ISBLANK('In Process Calc.'!Y9),"",'In Process Calc.'!Y9)</f>
        <v>-1.4599227777777777</v>
      </c>
      <c r="AX9" s="111">
        <f>IF(ISBLANK('In Process Calc.'!Z9),"",'In Process Calc.'!Z9)</f>
        <v>17.323070850601937</v>
      </c>
      <c r="AY9" s="111">
        <f>IF(ISBLANK('In Process Calc.'!AA9),"",'In Process Calc.'!AA9)</f>
        <v>-0.70881633333333427</v>
      </c>
      <c r="AZ9" s="111">
        <f>IF(ISBLANK('In Process Calc.'!AB9),"",'In Process Calc.'!AB9)</f>
        <v>-2.0172981111111112</v>
      </c>
      <c r="BA9" s="111">
        <f>IF(ISBLANK('In Process Calc.'!AC9),"",'In Process Calc.'!AC9)</f>
        <v>0.83186855555555561</v>
      </c>
      <c r="BB9" s="111">
        <f>IF(ISBLANK('In Process Calc.'!AD9),"",'In Process Calc.'!AD9)</f>
        <v>-9.6309977777777789</v>
      </c>
      <c r="BC9" s="111">
        <f>IF(ISBLANK('In Process Calc.'!AE9),"",'In Process Calc.'!AE9)</f>
        <v>-0.87614788888888873</v>
      </c>
      <c r="BD9" s="111">
        <f>IF(ISBLANK('In Process Calc.'!AF9),"",'In Process Calc.'!AF9)</f>
        <v>2.9692012222222224</v>
      </c>
      <c r="BE9" s="111">
        <f>IF(ISBLANK('In Process Calc.'!AG9),"",'In Process Calc.'!AG9)</f>
        <v>5.4313156666666664</v>
      </c>
      <c r="BF9" s="111">
        <f>IF(ISBLANK('In Process Calc.'!AH9),"",'In Process Calc.'!AH9)</f>
        <v>2.3977358888888878</v>
      </c>
      <c r="BG9" s="111">
        <f>IF(ISBLANK('In Process Calc.'!AI9),"",'In Process Calc.'!AI9)</f>
        <v>-0.49350233333333332</v>
      </c>
      <c r="BH9" s="111">
        <f>IF(ISBLANK('In Process Calc.'!AJ9),"",'In Process Calc.'!AJ9)</f>
        <v>1.243978888888889</v>
      </c>
      <c r="BI9" s="111">
        <f>IF(ISBLANK('In Process Calc.'!AK9),"",'In Process Calc.'!AK9)</f>
        <v>-5.3031476666666686</v>
      </c>
      <c r="BJ9" s="111">
        <f>IF(ISBLANK('In Process Calc.'!AL9),"",'In Process Calc.'!AL9)</f>
        <v>0</v>
      </c>
      <c r="BK9" s="111">
        <f>IF(ISBLANK('In Process Calc.'!AM9),"",'In Process Calc.'!AM9)</f>
        <v>-24.768702999999991</v>
      </c>
      <c r="BL9" s="111">
        <f>IF(ISBLANK('In Process Calc.'!AN9),"",'In Process Calc.'!AN9)</f>
        <v>-36.913098444444437</v>
      </c>
      <c r="BM9" s="111">
        <f>IF(ISBLANK('In Process Calc.'!AO9),"",'In Process Calc.'!AO9)</f>
        <v>-122.82069755555558</v>
      </c>
      <c r="BO9" s="54" t="s">
        <v>53</v>
      </c>
      <c r="BP9" s="56">
        <f t="array" ref="BP9:BS9">LINEST($AN3:INDEX($AN:$AN,COUNT($AN:$AN)+2),$AH$3:INDEX($AH:$AH,COUNT($AH:$AH)+2)^{1,2,3},TRUE,TRUE)</f>
        <v>5.4557163938338315E-7</v>
      </c>
      <c r="BQ9" s="56">
        <v>-1.7951910021653218E-4</v>
      </c>
      <c r="BR9" s="56">
        <v>5.672364915889236E-3</v>
      </c>
      <c r="BS9" s="56">
        <v>0.48277746002210886</v>
      </c>
      <c r="BT9" s="56">
        <f t="array" ref="BT9:BX9">LINEST($AN3:INDEX($AN:$AN,COUNT($AN:$AN)+2),$AH$3:INDEX($AH:$AH,COUNT($AH:$AH)+2)^{1,2,3,4},TRUE,TRUE)</f>
        <v>-7.7685909962588311E-9</v>
      </c>
      <c r="BU9" s="56">
        <v>5.7319425254981724E-6</v>
      </c>
      <c r="BV9" s="56">
        <v>-1.2698640038654968E-3</v>
      </c>
      <c r="BW9" s="56">
        <v>8.0591487735046832E-2</v>
      </c>
      <c r="BX9" s="56">
        <v>-0.38168947784711094</v>
      </c>
      <c r="BY9" s="57">
        <f>IF('Cumulative Curves'!$B$6=6,#REF!,IF('Cumulative Curves'!$B$6=5,#REF!, IF( 'Cumulative Curves'!$B$6=4, BX9,IF('Cumulative Curves'!$B$6=3, BS9, 0))))</f>
        <v>0.48277746002210886</v>
      </c>
      <c r="BZ9" s="57">
        <f>IF('Cumulative Curves'!$B$6=6,#REF!,IF('Cumulative Curves'!$B$6=5,#REF!, IF( 'Cumulative Curves'!$B$6=4, BW9,IF('Cumulative Curves'!$B$6=3, BR9, 0))))</f>
        <v>5.672364915889236E-3</v>
      </c>
      <c r="CA9" s="57">
        <f>IF('Cumulative Curves'!$B$6=6,#REF!,IF('Cumulative Curves'!$B$6=5,#REF!, IF( 'Cumulative Curves'!$B$6=4, BV9,IF('Cumulative Curves'!$B$6=3, BQ9, 0))))</f>
        <v>-1.7951910021653218E-4</v>
      </c>
      <c r="CB9" s="57">
        <f>IF('Cumulative Curves'!$B$6=6,#REF!,IF('Cumulative Curves'!$B$6=5,#REF!, IF( 'Cumulative Curves'!$B$6=4, BU9,IF('Cumulative Curves'!$B$6=3, BP9, 0))))</f>
        <v>5.4557163938338315E-7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141.16666666668607</v>
      </c>
      <c r="CH9" s="76">
        <f t="shared" si="0"/>
        <v>7.1992478283758583</v>
      </c>
      <c r="CI9" s="76">
        <f t="shared" si="1"/>
        <v>12938.714885237951</v>
      </c>
      <c r="CJ9" s="76">
        <f t="shared" si="2"/>
        <v>0</v>
      </c>
      <c r="CK9" s="76">
        <f t="shared" si="3"/>
        <v>580.37870506346553</v>
      </c>
      <c r="CL9" s="76">
        <f t="shared" si="4"/>
        <v>-4.1985759245115135</v>
      </c>
      <c r="CM9" s="76">
        <f t="shared" si="5"/>
        <v>-0.75914776404405249</v>
      </c>
      <c r="CN9" s="76">
        <f t="shared" si="6"/>
        <v>3.3171416535694371</v>
      </c>
      <c r="CO9" s="76">
        <f t="shared" si="7"/>
        <v>-1.1135784365079151</v>
      </c>
      <c r="CP9" s="76">
        <f t="shared" si="8"/>
        <v>0.91617635502359718</v>
      </c>
      <c r="CQ9" s="76">
        <f t="shared" si="9"/>
        <v>21.744758474007615</v>
      </c>
      <c r="CR9" s="76">
        <f t="shared" si="10"/>
        <v>-3.1811958880821738</v>
      </c>
      <c r="CS9" s="76">
        <f t="shared" si="11"/>
        <v>-15.695052612179154</v>
      </c>
      <c r="CT9" s="76">
        <f t="shared" si="12"/>
        <v>-1.558075002527342</v>
      </c>
      <c r="CU9" s="76">
        <f t="shared" si="13"/>
        <v>-9.387432879749591E-2</v>
      </c>
      <c r="CV9" s="76">
        <f t="shared" si="14"/>
        <v>-0.7403071190755508</v>
      </c>
      <c r="CW9" s="76">
        <f t="shared" si="15"/>
        <v>16.877752958786264</v>
      </c>
      <c r="CX9" s="76">
        <f t="shared" si="16"/>
        <v>0.28405355465088855</v>
      </c>
      <c r="CY9" s="76">
        <f t="shared" si="17"/>
        <v>-1.3562077641023871</v>
      </c>
      <c r="CZ9" s="76">
        <f t="shared" si="18"/>
        <v>0.90156297281928033</v>
      </c>
      <c r="DA9" s="76">
        <f t="shared" si="19"/>
        <v>-8.6485284588656075</v>
      </c>
      <c r="DB9" s="76">
        <f t="shared" si="20"/>
        <v>-0.54222603115325829</v>
      </c>
      <c r="DC9" s="76">
        <f t="shared" si="21"/>
        <v>3.2446311084163413</v>
      </c>
      <c r="DD9" s="76">
        <f t="shared" si="22"/>
        <v>5.7777621670604908</v>
      </c>
      <c r="DE9" s="76">
        <f t="shared" si="23"/>
        <v>2.7137092065670596</v>
      </c>
      <c r="DF9" s="76">
        <f t="shared" si="24"/>
        <v>-0.31161443531793953</v>
      </c>
      <c r="DG9" s="76">
        <f t="shared" si="25"/>
        <v>1.3836373899102874</v>
      </c>
      <c r="DH9" s="76">
        <f t="shared" si="26"/>
        <v>-4.1821578248472617</v>
      </c>
      <c r="DI9" s="76">
        <f t="shared" si="27"/>
        <v>0</v>
      </c>
      <c r="DJ9" s="76">
        <f t="shared" si="28"/>
        <v>-9.3915235265144119</v>
      </c>
      <c r="DK9" s="76">
        <f t="shared" si="29"/>
        <v>-22.238627909891513</v>
      </c>
      <c r="DL9" s="76">
        <f t="shared" si="30"/>
        <v>-54.313494591051054</v>
      </c>
    </row>
    <row r="10" spans="1:116" s="48" customFormat="1" ht="12">
      <c r="A10" s="111">
        <f>IF(ISBLANK('In Process Calc.'!C10),"",'In Process Calc.'!C10)</f>
        <v>164.81666666676756</v>
      </c>
      <c r="B10" s="111">
        <f>IF(ISBLANK('Measured Data'!H14),"",'Measured Data'!H14)</f>
        <v>9.4350002838134763</v>
      </c>
      <c r="C10" s="111">
        <f>IF(ISBLANK('In Process Calc.'!L10),"",'In Process Calc.'!L10)</f>
        <v>17383.913315835569</v>
      </c>
      <c r="D10" s="111">
        <f>IF(ISBLANK('In Process Calc.'!M10),"",'In Process Calc.'!M10)</f>
        <v>0</v>
      </c>
      <c r="E10" s="111">
        <f>IF(ISBLANK('In Process Calc.'!N10),"",'In Process Calc.'!N10)</f>
        <v>778.40260481481482</v>
      </c>
      <c r="F10" s="111">
        <f>IF(ISBLANK('In Process Calc.'!O10),"",'In Process Calc.'!O10)</f>
        <v>-5.1370069259259257</v>
      </c>
      <c r="G10" s="111">
        <f>IF(ISBLANK('In Process Calc.'!P10),"",'In Process Calc.'!P10)</f>
        <v>-2.0895218518518512</v>
      </c>
      <c r="H10" s="111">
        <f>IF(ISBLANK('In Process Calc.'!Q10),"",'In Process Calc.'!Q10)</f>
        <v>2.3941419259259256</v>
      </c>
      <c r="I10" s="111">
        <f>IF(ISBLANK('In Process Calc.'!R10),"",'In Process Calc.'!R10)</f>
        <v>-1.6930745185185176</v>
      </c>
      <c r="J10" s="111">
        <f>IF(ISBLANK('In Process Calc.'!S10),"",'In Process Calc.'!S10)</f>
        <v>1.0525784444444446</v>
      </c>
      <c r="K10" s="111">
        <f>IF(ISBLANK('In Process Calc.'!T10),"",'In Process Calc.'!T10)</f>
        <v>30.113780010844337</v>
      </c>
      <c r="L10" s="111">
        <f>IF(ISBLANK('In Process Calc.'!U10),"",'In Process Calc.'!U10)</f>
        <v>-4.8020989259259261</v>
      </c>
      <c r="M10" s="111">
        <f>IF(ISBLANK('In Process Calc.'!V10),"",'In Process Calc.'!V10)</f>
        <v>-24.860478259259256</v>
      </c>
      <c r="N10" s="111">
        <f>IF(ISBLANK('In Process Calc.'!W10),"",'In Process Calc.'!W10)</f>
        <v>-2.3462947407407406</v>
      </c>
      <c r="O10" s="111">
        <f>IF(ISBLANK('In Process Calc.'!X10),"",'In Process Calc.'!X10)</f>
        <v>5.6980851851851644E-2</v>
      </c>
      <c r="P10" s="111">
        <f>IF(ISBLANK('In Process Calc.'!Y10),"",'In Process Calc.'!Y10)</f>
        <v>-2.1961614074074065</v>
      </c>
      <c r="Q10" s="111">
        <f>IF(ISBLANK('In Process Calc.'!Z10),"",'In Process Calc.'!Z10)</f>
        <v>20.388424281297283</v>
      </c>
      <c r="R10" s="111">
        <f>IF(ISBLANK('In Process Calc.'!AA10),"",'In Process Calc.'!AA10)</f>
        <v>-1.1454321111111114</v>
      </c>
      <c r="S10" s="111">
        <f>IF(ISBLANK('In Process Calc.'!AB10),"",'In Process Calc.'!AB10)</f>
        <v>-2.8056807777777779</v>
      </c>
      <c r="T10" s="111">
        <f>IF(ISBLANK('In Process Calc.'!AC10),"",'In Process Calc.'!AC10)</f>
        <v>1.0354489259259259</v>
      </c>
      <c r="U10" s="111">
        <f>IF(ISBLANK('In Process Calc.'!AD10),"",'In Process Calc.'!AD10)</f>
        <v>-13.018127407407407</v>
      </c>
      <c r="V10" s="111">
        <f>IF(ISBLANK('In Process Calc.'!AE10),"",'In Process Calc.'!AE10)</f>
        <v>-1.2283965185185184</v>
      </c>
      <c r="W10" s="111">
        <f>IF(ISBLANK('In Process Calc.'!AF10),"",'In Process Calc.'!AF10)</f>
        <v>3.5482247407407419</v>
      </c>
      <c r="X10" s="111">
        <f>IF(ISBLANK('In Process Calc.'!AG10),"",'In Process Calc.'!AG10)</f>
        <v>6.7156125555555555</v>
      </c>
      <c r="Y10" s="111">
        <f>IF(ISBLANK('In Process Calc.'!AH10),"",'In Process Calc.'!AH10)</f>
        <v>3.1271970370370363</v>
      </c>
      <c r="Z10" s="111">
        <f>IF(ISBLANK('In Process Calc.'!AI10),"",'In Process Calc.'!AI10)</f>
        <v>-0.7970314814814814</v>
      </c>
      <c r="AA10" s="111">
        <f>IF(ISBLANK('In Process Calc.'!AJ10),"",'In Process Calc.'!AJ10)</f>
        <v>1.6250977407407408</v>
      </c>
      <c r="AB10" s="111">
        <f>IF(ISBLANK('In Process Calc.'!AK10),"",'In Process Calc.'!AK10)</f>
        <v>-7.2903053703703709</v>
      </c>
      <c r="AC10" s="111">
        <f>IF(ISBLANK('In Process Calc.'!AL10),"",'In Process Calc.'!AL10)</f>
        <v>0</v>
      </c>
      <c r="AD10" s="111">
        <f>IF(ISBLANK('In Process Calc.'!AM10),"",'In Process Calc.'!AM10)</f>
        <v>-34.930767925925913</v>
      </c>
      <c r="AE10" s="111">
        <f>IF(ISBLANK('In Process Calc.'!AN10),"",'In Process Calc.'!AN10)</f>
        <v>-53.085902259259242</v>
      </c>
      <c r="AF10" s="111">
        <f>IF(ISBLANK('In Process Calc.'!AO10),"",'In Process Calc.'!AO10)</f>
        <v>-163.62817411111109</v>
      </c>
      <c r="AH10" s="111">
        <f>IF(ISBLANK('In Process Calc.'!C10),"",'In Process Calc.'!C10)</f>
        <v>164.81666666676756</v>
      </c>
      <c r="AI10" s="111">
        <f>IF(ISBLANK('Measured Data'!H14),"",'Measured Data'!H14)</f>
        <v>9.4350002838134763</v>
      </c>
      <c r="AJ10" s="111">
        <f>IF(ISBLANK('In Process Calc.'!L10),"",'In Process Calc.'!L10)</f>
        <v>17383.913315835569</v>
      </c>
      <c r="AK10" s="111">
        <f>IF(ISBLANK('In Process Calc.'!M10),"",'In Process Calc.'!M10)</f>
        <v>0</v>
      </c>
      <c r="AL10" s="111">
        <f>IF(ISBLANK('In Process Calc.'!N10),"",'In Process Calc.'!N10)</f>
        <v>778.40260481481482</v>
      </c>
      <c r="AM10" s="111">
        <f>IF(ISBLANK('In Process Calc.'!O10),"",'In Process Calc.'!O10)</f>
        <v>-5.1370069259259257</v>
      </c>
      <c r="AN10" s="111">
        <f>IF(ISBLANK('In Process Calc.'!P10),"",'In Process Calc.'!P10)</f>
        <v>-2.0895218518518512</v>
      </c>
      <c r="AO10" s="111">
        <f>IF(ISBLANK('In Process Calc.'!Q10),"",'In Process Calc.'!Q10)</f>
        <v>2.3941419259259256</v>
      </c>
      <c r="AP10" s="111">
        <f>IF(ISBLANK('In Process Calc.'!R10),"",'In Process Calc.'!R10)</f>
        <v>-1.6930745185185176</v>
      </c>
      <c r="AQ10" s="111">
        <f>IF(ISBLANK('In Process Calc.'!S10),"",'In Process Calc.'!S10)</f>
        <v>1.0525784444444446</v>
      </c>
      <c r="AR10" s="111">
        <f>IF(ISBLANK('In Process Calc.'!T10),"",'In Process Calc.'!T10)</f>
        <v>30.113780010844337</v>
      </c>
      <c r="AS10" s="111">
        <f>IF(ISBLANK('In Process Calc.'!U10),"",'In Process Calc.'!U10)</f>
        <v>-4.8020989259259261</v>
      </c>
      <c r="AT10" s="111">
        <f>IF(ISBLANK('In Process Calc.'!V10),"",'In Process Calc.'!V10)</f>
        <v>-24.860478259259256</v>
      </c>
      <c r="AU10" s="111">
        <f>IF(ISBLANK('In Process Calc.'!W10),"",'In Process Calc.'!W10)</f>
        <v>-2.3462947407407406</v>
      </c>
      <c r="AV10" s="111">
        <f>IF(ISBLANK('In Process Calc.'!X10),"",'In Process Calc.'!X10)</f>
        <v>5.6980851851851644E-2</v>
      </c>
      <c r="AW10" s="111">
        <f>IF(ISBLANK('In Process Calc.'!Y10),"",'In Process Calc.'!Y10)</f>
        <v>-2.1961614074074065</v>
      </c>
      <c r="AX10" s="111">
        <f>IF(ISBLANK('In Process Calc.'!Z10),"",'In Process Calc.'!Z10)</f>
        <v>20.388424281297283</v>
      </c>
      <c r="AY10" s="111">
        <f>IF(ISBLANK('In Process Calc.'!AA10),"",'In Process Calc.'!AA10)</f>
        <v>-1.1454321111111114</v>
      </c>
      <c r="AZ10" s="111">
        <f>IF(ISBLANK('In Process Calc.'!AB10),"",'In Process Calc.'!AB10)</f>
        <v>-2.8056807777777779</v>
      </c>
      <c r="BA10" s="111">
        <f>IF(ISBLANK('In Process Calc.'!AC10),"",'In Process Calc.'!AC10)</f>
        <v>1.0354489259259259</v>
      </c>
      <c r="BB10" s="111">
        <f>IF(ISBLANK('In Process Calc.'!AD10),"",'In Process Calc.'!AD10)</f>
        <v>-13.018127407407407</v>
      </c>
      <c r="BC10" s="111">
        <f>IF(ISBLANK('In Process Calc.'!AE10),"",'In Process Calc.'!AE10)</f>
        <v>-1.2283965185185184</v>
      </c>
      <c r="BD10" s="111">
        <f>IF(ISBLANK('In Process Calc.'!AF10),"",'In Process Calc.'!AF10)</f>
        <v>3.5482247407407419</v>
      </c>
      <c r="BE10" s="111">
        <f>IF(ISBLANK('In Process Calc.'!AG10),"",'In Process Calc.'!AG10)</f>
        <v>6.7156125555555555</v>
      </c>
      <c r="BF10" s="111">
        <f>IF(ISBLANK('In Process Calc.'!AH10),"",'In Process Calc.'!AH10)</f>
        <v>3.1271970370370363</v>
      </c>
      <c r="BG10" s="111">
        <f>IF(ISBLANK('In Process Calc.'!AI10),"",'In Process Calc.'!AI10)</f>
        <v>-0.7970314814814814</v>
      </c>
      <c r="BH10" s="111">
        <f>IF(ISBLANK('In Process Calc.'!AJ10),"",'In Process Calc.'!AJ10)</f>
        <v>1.6250977407407408</v>
      </c>
      <c r="BI10" s="111">
        <f>IF(ISBLANK('In Process Calc.'!AK10),"",'In Process Calc.'!AK10)</f>
        <v>-7.2903053703703709</v>
      </c>
      <c r="BJ10" s="111">
        <f>IF(ISBLANK('In Process Calc.'!AL10),"",'In Process Calc.'!AL10)</f>
        <v>0</v>
      </c>
      <c r="BK10" s="111">
        <f>IF(ISBLANK('In Process Calc.'!AM10),"",'In Process Calc.'!AM10)</f>
        <v>-34.930767925925913</v>
      </c>
      <c r="BL10" s="111">
        <f>IF(ISBLANK('In Process Calc.'!AN10),"",'In Process Calc.'!AN10)</f>
        <v>-53.085902259259242</v>
      </c>
      <c r="BM10" s="111">
        <f>IF(ISBLANK('In Process Calc.'!AO10),"",'In Process Calc.'!AO10)</f>
        <v>-163.62817411111109</v>
      </c>
      <c r="BO10" s="54" t="s">
        <v>48</v>
      </c>
      <c r="BP10" s="56">
        <f t="array" ref="BP10:BS10">LINEST($AO3:INDEX($AO:$AO,COUNT($AO:$AO)+2),$AH$3:INDEX($AH:$AH,COUNT($AH:$AH)+2)^{1,2,3},TRUE,TRUE)</f>
        <v>-1.6674136956501072E-6</v>
      </c>
      <c r="BQ10" s="56">
        <v>8.7911392675702263E-4</v>
      </c>
      <c r="BR10" s="56">
        <v>-7.5467847995262211E-2</v>
      </c>
      <c r="BS10" s="56">
        <v>2.132655928946793</v>
      </c>
      <c r="BT10" s="56">
        <f t="array" ref="BT10:BX10">LINEST($AO3:INDEX($AO:$AO,COUNT($AO:$AO)+2),$AH$3:INDEX($AH:$AH,COUNT($AH:$AH)+2)^{1,2,3,4},TRUE,TRUE)</f>
        <v>-1.5032197118791542E-8</v>
      </c>
      <c r="BU10" s="56">
        <v>8.3681963047713242E-6</v>
      </c>
      <c r="BV10" s="56">
        <v>-1.2306997482085091E-3</v>
      </c>
      <c r="BW10" s="56">
        <v>6.9500399493488116E-2</v>
      </c>
      <c r="BX10" s="56">
        <v>0.45991534844951332</v>
      </c>
      <c r="BY10" s="57">
        <f>IF('Cumulative Curves'!$B$7=6,#REF!,IF('Cumulative Curves'!$B$7=5,#REF!, IF( 'Cumulative Curves'!$B$7=4, BX10,IF('Cumulative Curves'!$B$7=3, BS10, 0))))</f>
        <v>0.45991534844951332</v>
      </c>
      <c r="BZ10" s="57">
        <f>IF('Cumulative Curves'!$B$7=6,#REF!,IF('Cumulative Curves'!$B$7=5,#REF!, IF( 'Cumulative Curves'!$B$7=4, BW10,IF('Cumulative Curves'!$B$7=3, BR10, 0))))</f>
        <v>6.9500399493488116E-2</v>
      </c>
      <c r="CA10" s="57">
        <f>IF('Cumulative Curves'!$B$7=6,#REF!,IF('Cumulative Curves'!$B$7=5,#REF!, IF( 'Cumulative Curves'!$B$7=4, BV10,IF('Cumulative Curves'!$B$7=3, BQ10, 0))))</f>
        <v>-1.2306997482085091E-3</v>
      </c>
      <c r="CB10" s="57">
        <f>IF('Cumulative Curves'!$B$7=6,#REF!,IF('Cumulative Curves'!$B$7=5,#REF!, IF( 'Cumulative Curves'!$B$7=4, BU10,IF('Cumulative Curves'!$B$7=3, BP10, 0))))</f>
        <v>8.3681963047713242E-6</v>
      </c>
      <c r="CC10" s="57">
        <f>IF('Cumulative Curves'!$B$7=6,#REF!,IF('Cumulative Curves'!$B$7=5,#REF!, IF( 'Cumulative Curves'!$B$7=4,BT10, 0)))</f>
        <v>-1.5032197118791542E-8</v>
      </c>
      <c r="CD10" s="57">
        <f>IF('Cumulative Curves'!$B$7=6,#REF!,IF('Cumulative Curves'!$B$7=5,#REF!, 0))</f>
        <v>0</v>
      </c>
      <c r="CE10" s="57">
        <f>IF('Cumulative Curves'!$B$7=6,#REF!,0)</f>
        <v>0</v>
      </c>
      <c r="CF10" s="49"/>
      <c r="CG10" s="76">
        <f>IF(ISBLANK('In Process Calc.'!C10),"",'In Process Calc.'!C10)</f>
        <v>164.81666666676756</v>
      </c>
      <c r="CH10" s="76">
        <f t="shared" si="0"/>
        <v>9.4874289774674594</v>
      </c>
      <c r="CI10" s="76">
        <f t="shared" si="1"/>
        <v>17177.055874451111</v>
      </c>
      <c r="CJ10" s="76">
        <f t="shared" si="2"/>
        <v>0</v>
      </c>
      <c r="CK10" s="76">
        <f t="shared" si="3"/>
        <v>1000.7833923067064</v>
      </c>
      <c r="CL10" s="76">
        <f t="shared" si="4"/>
        <v>-6.1469130367701119</v>
      </c>
      <c r="CM10" s="76">
        <f t="shared" si="5"/>
        <v>-1.0162590732772241</v>
      </c>
      <c r="CN10" s="76">
        <f t="shared" si="6"/>
        <v>4.8567376387338381</v>
      </c>
      <c r="CO10" s="76">
        <f t="shared" si="7"/>
        <v>-1.5703625685173086</v>
      </c>
      <c r="CP10" s="76">
        <f t="shared" si="8"/>
        <v>1.1805659487571378</v>
      </c>
      <c r="CQ10" s="76">
        <f t="shared" si="9"/>
        <v>30.144900131954234</v>
      </c>
      <c r="CR10" s="76">
        <f t="shared" si="10"/>
        <v>-5.2652888998747613</v>
      </c>
      <c r="CS10" s="76">
        <f t="shared" si="11"/>
        <v>-17.325141443415063</v>
      </c>
      <c r="CT10" s="76">
        <f t="shared" si="12"/>
        <v>-1.3395574546450568</v>
      </c>
      <c r="CU10" s="76">
        <f t="shared" si="13"/>
        <v>0.10486787042294199</v>
      </c>
      <c r="CV10" s="76">
        <f t="shared" si="14"/>
        <v>-0.79316188820695321</v>
      </c>
      <c r="CW10" s="76">
        <f t="shared" si="15"/>
        <v>18.056922982006874</v>
      </c>
      <c r="CX10" s="76">
        <f t="shared" si="16"/>
        <v>0.69235744591044834</v>
      </c>
      <c r="CY10" s="76">
        <f t="shared" si="17"/>
        <v>-1.441359838484972</v>
      </c>
      <c r="CZ10" s="76">
        <f t="shared" si="18"/>
        <v>1.114882826785395</v>
      </c>
      <c r="DA10" s="76">
        <f t="shared" si="19"/>
        <v>-10.438231187098337</v>
      </c>
      <c r="DB10" s="76">
        <f t="shared" si="20"/>
        <v>-0.54284519720492519</v>
      </c>
      <c r="DC10" s="76">
        <f t="shared" si="21"/>
        <v>3.9627515353339384</v>
      </c>
      <c r="DD10" s="76">
        <f t="shared" si="22"/>
        <v>6.9045806526621476</v>
      </c>
      <c r="DE10" s="76">
        <f t="shared" si="23"/>
        <v>3.518955795672857</v>
      </c>
      <c r="DF10" s="76">
        <f t="shared" si="24"/>
        <v>-0.38861861988963153</v>
      </c>
      <c r="DG10" s="76">
        <f t="shared" si="25"/>
        <v>1.8003473438178101</v>
      </c>
      <c r="DH10" s="76">
        <f t="shared" si="26"/>
        <v>-4.8035242071511464</v>
      </c>
      <c r="DI10" s="76">
        <f t="shared" si="27"/>
        <v>0</v>
      </c>
      <c r="DJ10" s="76">
        <f t="shared" si="28"/>
        <v>-7.8995912545614644</v>
      </c>
      <c r="DK10" s="76">
        <f t="shared" si="29"/>
        <v>-24.484735478429897</v>
      </c>
      <c r="DL10" s="76">
        <f t="shared" si="30"/>
        <v>-43.933067833324088</v>
      </c>
    </row>
    <row r="11" spans="1:116" s="48" customFormat="1" ht="12">
      <c r="A11" s="111">
        <f>IF(ISBLANK('In Process Calc.'!C11),"",'In Process Calc.'!C11)</f>
        <v>189.19999999995343</v>
      </c>
      <c r="B11" s="111">
        <f>IF(ISBLANK('Measured Data'!H15),"",'Measured Data'!H15)</f>
        <v>12.014300210571289</v>
      </c>
      <c r="C11" s="111">
        <f>IF(ISBLANK('In Process Calc.'!L11),"",'In Process Calc.'!L11)</f>
        <v>22575.925730425577</v>
      </c>
      <c r="D11" s="111">
        <f>IF(ISBLANK('In Process Calc.'!M11),"",'In Process Calc.'!M11)</f>
        <v>0</v>
      </c>
      <c r="E11" s="111">
        <f>IF(ISBLANK('In Process Calc.'!N11),"",'In Process Calc.'!N11)</f>
        <v>1416.7101851851853</v>
      </c>
      <c r="F11" s="111">
        <f>IF(ISBLANK('In Process Calc.'!O11),"",'In Process Calc.'!O11)</f>
        <v>-9.1255826296296298</v>
      </c>
      <c r="G11" s="111">
        <f>IF(ISBLANK('In Process Calc.'!P11),"",'In Process Calc.'!P11)</f>
        <v>-1.9321040370370364</v>
      </c>
      <c r="H11" s="111">
        <f>IF(ISBLANK('In Process Calc.'!Q11),"",'In Process Calc.'!Q11)</f>
        <v>10.069861481481482</v>
      </c>
      <c r="I11" s="111">
        <f>IF(ISBLANK('In Process Calc.'!R11),"",'In Process Calc.'!R11)</f>
        <v>-3.2334283703703703</v>
      </c>
      <c r="J11" s="111">
        <f>IF(ISBLANK('In Process Calc.'!S11),"",'In Process Calc.'!S11)</f>
        <v>1.3124135925925926</v>
      </c>
      <c r="K11" s="111">
        <f>IF(ISBLANK('In Process Calc.'!T11),"",'In Process Calc.'!T11)</f>
        <v>41.34882051236805</v>
      </c>
      <c r="L11" s="111">
        <f>IF(ISBLANK('In Process Calc.'!U11),"",'In Process Calc.'!U11)</f>
        <v>-7.5052022962962965</v>
      </c>
      <c r="M11" s="111">
        <f>IF(ISBLANK('In Process Calc.'!V11),"",'In Process Calc.'!V11)</f>
        <v>-24.228604629629629</v>
      </c>
      <c r="N11" s="111">
        <f>IF(ISBLANK('In Process Calc.'!W11),"",'In Process Calc.'!W11)</f>
        <v>-1.6432894074074071</v>
      </c>
      <c r="O11" s="111">
        <f>IF(ISBLANK('In Process Calc.'!X11),"",'In Process Calc.'!X11)</f>
        <v>0.46403788888888903</v>
      </c>
      <c r="P11" s="111">
        <f>IF(ISBLANK('In Process Calc.'!Y11),"",'In Process Calc.'!Y11)</f>
        <v>-1.6563149259259258</v>
      </c>
      <c r="Q11" s="111">
        <f>IF(ISBLANK('In Process Calc.'!Z11),"",'In Process Calc.'!Z11)</f>
        <v>20.889226037760675</v>
      </c>
      <c r="R11" s="111">
        <f>IF(ISBLANK('In Process Calc.'!AA11),"",'In Process Calc.'!AA11)</f>
        <v>0.18156662962962922</v>
      </c>
      <c r="S11" s="111">
        <f>IF(ISBLANK('In Process Calc.'!AB11),"",'In Process Calc.'!AB11)</f>
        <v>-2.2689813703703714</v>
      </c>
      <c r="T11" s="111">
        <f>IF(ISBLANK('In Process Calc.'!AC11),"",'In Process Calc.'!AC11)</f>
        <v>1.2833422592592592</v>
      </c>
      <c r="U11" s="111">
        <f>IF(ISBLANK('In Process Calc.'!AD11),"",'In Process Calc.'!AD11)</f>
        <v>-15.781331851851853</v>
      </c>
      <c r="V11" s="111">
        <f>IF(ISBLANK('In Process Calc.'!AE11),"",'In Process Calc.'!AE11)</f>
        <v>-0.88764625925925933</v>
      </c>
      <c r="W11" s="111">
        <f>IF(ISBLANK('In Process Calc.'!AF11),"",'In Process Calc.'!AF11)</f>
        <v>4.4561549259259268</v>
      </c>
      <c r="X11" s="111">
        <f>IF(ISBLANK('In Process Calc.'!AG11),"",'In Process Calc.'!AG11)</f>
        <v>7.5166258148148142</v>
      </c>
      <c r="Y11" s="111">
        <f>IF(ISBLANK('In Process Calc.'!AH11),"",'In Process Calc.'!AH11)</f>
        <v>4.2374001851851846</v>
      </c>
      <c r="Z11" s="111">
        <f>IF(ISBLANK('In Process Calc.'!AI11),"",'In Process Calc.'!AI11)</f>
        <v>-0.71779159259259262</v>
      </c>
      <c r="AA11" s="111">
        <f>IF(ISBLANK('In Process Calc.'!AJ11),"",'In Process Calc.'!AJ11)</f>
        <v>2.125324148148148</v>
      </c>
      <c r="AB11" s="111">
        <f>IF(ISBLANK('In Process Calc.'!AK11),"",'In Process Calc.'!AK11)</f>
        <v>-6.9291575185185188</v>
      </c>
      <c r="AC11" s="111">
        <f>IF(ISBLANK('In Process Calc.'!AL11),"",'In Process Calc.'!AL11)</f>
        <v>0</v>
      </c>
      <c r="AD11" s="111">
        <f>IF(ISBLANK('In Process Calc.'!AM11),"",'In Process Calc.'!AM11)</f>
        <v>-16.677980777777787</v>
      </c>
      <c r="AE11" s="111">
        <f>IF(ISBLANK('In Process Calc.'!AN11),"",'In Process Calc.'!AN11)</f>
        <v>-41.58489525925927</v>
      </c>
      <c r="AF11" s="111">
        <f>IF(ISBLANK('In Process Calc.'!AO11),"",'In Process Calc.'!AO11)</f>
        <v>-93.834856444444469</v>
      </c>
      <c r="AH11" s="111">
        <f>IF(ISBLANK('In Process Calc.'!C11),"",'In Process Calc.'!C11)</f>
        <v>189.19999999995343</v>
      </c>
      <c r="AI11" s="111">
        <f>IF(ISBLANK('Measured Data'!H15),"",'Measured Data'!H15)</f>
        <v>12.014300210571289</v>
      </c>
      <c r="AJ11" s="111">
        <f>IF(ISBLANK('In Process Calc.'!L11),"",'In Process Calc.'!L11)</f>
        <v>22575.925730425577</v>
      </c>
      <c r="AK11" s="111">
        <f>IF(ISBLANK('In Process Calc.'!M11),"",'In Process Calc.'!M11)</f>
        <v>0</v>
      </c>
      <c r="AL11" s="111">
        <f>IF(ISBLANK('In Process Calc.'!N11),"",'In Process Calc.'!N11)</f>
        <v>1416.7101851851853</v>
      </c>
      <c r="AM11" s="111">
        <f>IF(ISBLANK('In Process Calc.'!O11),"",'In Process Calc.'!O11)</f>
        <v>-9.1255826296296298</v>
      </c>
      <c r="AN11" s="111">
        <f>IF(ISBLANK('In Process Calc.'!P11),"",'In Process Calc.'!P11)</f>
        <v>-1.9321040370370364</v>
      </c>
      <c r="AO11" s="111">
        <f>IF(ISBLANK('In Process Calc.'!Q11),"",'In Process Calc.'!Q11)</f>
        <v>10.069861481481482</v>
      </c>
      <c r="AP11" s="111">
        <f>IF(ISBLANK('In Process Calc.'!R11),"",'In Process Calc.'!R11)</f>
        <v>-3.2334283703703703</v>
      </c>
      <c r="AQ11" s="111">
        <f>IF(ISBLANK('In Process Calc.'!S11),"",'In Process Calc.'!S11)</f>
        <v>1.3124135925925926</v>
      </c>
      <c r="AR11" s="111">
        <f>IF(ISBLANK('In Process Calc.'!T11),"",'In Process Calc.'!T11)</f>
        <v>41.34882051236805</v>
      </c>
      <c r="AS11" s="111">
        <f>IF(ISBLANK('In Process Calc.'!U11),"",'In Process Calc.'!U11)</f>
        <v>-7.5052022962962965</v>
      </c>
      <c r="AT11" s="111">
        <f>IF(ISBLANK('In Process Calc.'!V11),"",'In Process Calc.'!V11)</f>
        <v>-24.228604629629629</v>
      </c>
      <c r="AU11" s="111">
        <f>IF(ISBLANK('In Process Calc.'!W11),"",'In Process Calc.'!W11)</f>
        <v>-1.6432894074074071</v>
      </c>
      <c r="AV11" s="111">
        <f>IF(ISBLANK('In Process Calc.'!X11),"",'In Process Calc.'!X11)</f>
        <v>0.46403788888888903</v>
      </c>
      <c r="AW11" s="111">
        <f>IF(ISBLANK('In Process Calc.'!Y11),"",'In Process Calc.'!Y11)</f>
        <v>-1.6563149259259258</v>
      </c>
      <c r="AX11" s="111">
        <f>IF(ISBLANK('In Process Calc.'!Z11),"",'In Process Calc.'!Z11)</f>
        <v>20.889226037760675</v>
      </c>
      <c r="AY11" s="111">
        <f>IF(ISBLANK('In Process Calc.'!AA11),"",'In Process Calc.'!AA11)</f>
        <v>0.18156662962962922</v>
      </c>
      <c r="AZ11" s="111">
        <f>IF(ISBLANK('In Process Calc.'!AB11),"",'In Process Calc.'!AB11)</f>
        <v>-2.2689813703703714</v>
      </c>
      <c r="BA11" s="111">
        <f>IF(ISBLANK('In Process Calc.'!AC11),"",'In Process Calc.'!AC11)</f>
        <v>1.2833422592592592</v>
      </c>
      <c r="BB11" s="111">
        <f>IF(ISBLANK('In Process Calc.'!AD11),"",'In Process Calc.'!AD11)</f>
        <v>-15.781331851851853</v>
      </c>
      <c r="BC11" s="111">
        <f>IF(ISBLANK('In Process Calc.'!AE11),"",'In Process Calc.'!AE11)</f>
        <v>-0.88764625925925933</v>
      </c>
      <c r="BD11" s="111">
        <f>IF(ISBLANK('In Process Calc.'!AF11),"",'In Process Calc.'!AF11)</f>
        <v>4.4561549259259268</v>
      </c>
      <c r="BE11" s="111">
        <f>IF(ISBLANK('In Process Calc.'!AG11),"",'In Process Calc.'!AG11)</f>
        <v>7.5166258148148142</v>
      </c>
      <c r="BF11" s="111">
        <f>IF(ISBLANK('In Process Calc.'!AH11),"",'In Process Calc.'!AH11)</f>
        <v>4.2374001851851846</v>
      </c>
      <c r="BG11" s="111">
        <f>IF(ISBLANK('In Process Calc.'!AI11),"",'In Process Calc.'!AI11)</f>
        <v>-0.71779159259259262</v>
      </c>
      <c r="BH11" s="111">
        <f>IF(ISBLANK('In Process Calc.'!AJ11),"",'In Process Calc.'!AJ11)</f>
        <v>2.125324148148148</v>
      </c>
      <c r="BI11" s="111">
        <f>IF(ISBLANK('In Process Calc.'!AK11),"",'In Process Calc.'!AK11)</f>
        <v>-6.9291575185185188</v>
      </c>
      <c r="BJ11" s="111">
        <f>IF(ISBLANK('In Process Calc.'!AL11),"",'In Process Calc.'!AL11)</f>
        <v>0</v>
      </c>
      <c r="BK11" s="111">
        <f>IF(ISBLANK('In Process Calc.'!AM11),"",'In Process Calc.'!AM11)</f>
        <v>-16.677980777777787</v>
      </c>
      <c r="BL11" s="111">
        <f>IF(ISBLANK('In Process Calc.'!AN11),"",'In Process Calc.'!AN11)</f>
        <v>-41.58489525925927</v>
      </c>
      <c r="BM11" s="111">
        <f>IF(ISBLANK('In Process Calc.'!AO11),"",'In Process Calc.'!AO11)</f>
        <v>-93.834856444444469</v>
      </c>
      <c r="BO11" s="54" t="s">
        <v>46</v>
      </c>
      <c r="BP11" s="56">
        <f t="array" ref="BP11:BS11">LINEST($AP3:INDEX($AP:$AP,COUNT($AP:$AP)+2),$AH$3:INDEX($AH:$AH,COUNT($AH:$AH)+2)^{1,2,3},TRUE,TRUE)</f>
        <v>5.3298920701703928E-7</v>
      </c>
      <c r="BQ11" s="56">
        <v>-2.2247346006010733E-4</v>
      </c>
      <c r="BR11" s="56">
        <v>1.5157134826421536E-2</v>
      </c>
      <c r="BS11" s="56">
        <v>2.8350725904910945E-2</v>
      </c>
      <c r="BT11" s="56">
        <f t="array" ref="BT11:BX11">LINEST($AP3:INDEX($AP:$AP,COUNT($AP:$AP)+2),$AH$3:INDEX($AH:$AH,COUNT($AH:$AH)+2)^{1,2,3,4},TRUE,TRUE)</f>
        <v>-5.2757895273809524E-9</v>
      </c>
      <c r="BU11" s="56">
        <v>4.0551467281498753E-6</v>
      </c>
      <c r="BV11" s="56">
        <v>-9.6294624678225989E-4</v>
      </c>
      <c r="BW11" s="56">
        <v>6.6036055310229422E-2</v>
      </c>
      <c r="BX11" s="56">
        <v>-0.55872428161883292</v>
      </c>
      <c r="BY11" s="57">
        <f>IF('Cumulative Curves'!$B$8=6,#REF!,IF('Cumulative Curves'!$B$8=5,#REF!, IF( 'Cumulative Curves'!$B$8=4, BX11,IF('Cumulative Curves'!$B$8=3, BS11, 0))))</f>
        <v>-0.55872428161883292</v>
      </c>
      <c r="BZ11" s="57">
        <f>IF('Cumulative Curves'!$B$8=6,#REF!,IF('Cumulative Curves'!$B$8=5,#REF!, IF( 'Cumulative Curves'!$B$8=4, BW11,IF('Cumulative Curves'!$B$8=3, BR11, 0))))</f>
        <v>6.6036055310229422E-2</v>
      </c>
      <c r="CA11" s="57">
        <f>IF('Cumulative Curves'!$B$8=6,#REF!,IF('Cumulative Curves'!$B$8=5,#REF!, IF( 'Cumulative Curves'!$B$8=4, BV11,IF('Cumulative Curves'!$B$8=3, BQ11, 0))))</f>
        <v>-9.6294624678225989E-4</v>
      </c>
      <c r="CB11" s="57">
        <f>IF('Cumulative Curves'!$B$8=6,#REF!,IF('Cumulative Curves'!$B$8=5,#REF!, IF( 'Cumulative Curves'!$B$8=4, BU11,IF('Cumulative Curves'!$B$8=3, BP11, 0))))</f>
        <v>4.0551467281498753E-6</v>
      </c>
      <c r="CC11" s="57">
        <f>IF('Cumulative Curves'!$B$8=6,#REF!,IF('Cumulative Curves'!$B$8=5,#REF!, IF( 'Cumulative Curves'!$B$8=4,BT11, 0)))</f>
        <v>-5.2757895273809524E-9</v>
      </c>
      <c r="CD11" s="57">
        <f>IF('Cumulative Curves'!$B$8=6,#REF!,IF('Cumulative Curves'!$B$8=5,#REF!, 0))</f>
        <v>0</v>
      </c>
      <c r="CE11" s="57">
        <f>IF('Cumulative Curves'!$B$8=6,#REF!,0)</f>
        <v>0</v>
      </c>
      <c r="CF11" s="49"/>
      <c r="CG11" s="76">
        <f>IF(ISBLANK('In Process Calc.'!C11),"",'In Process Calc.'!C11)</f>
        <v>189.19999999995343</v>
      </c>
      <c r="CH11" s="76">
        <f t="shared" si="0"/>
        <v>11.671455455189898</v>
      </c>
      <c r="CI11" s="76">
        <f t="shared" si="1"/>
        <v>21294.355391472141</v>
      </c>
      <c r="CJ11" s="76">
        <f t="shared" si="2"/>
        <v>0</v>
      </c>
      <c r="CK11" s="76">
        <f t="shared" si="3"/>
        <v>1501.4329806195317</v>
      </c>
      <c r="CL11" s="76">
        <f t="shared" si="4"/>
        <v>-7.9677399230875103</v>
      </c>
      <c r="CM11" s="76">
        <f t="shared" si="5"/>
        <v>-1.1751854085707851</v>
      </c>
      <c r="CN11" s="76">
        <f t="shared" si="6"/>
        <v>6.967712558797551</v>
      </c>
      <c r="CO11" s="76">
        <f t="shared" si="7"/>
        <v>-1.8309457362872195</v>
      </c>
      <c r="CP11" s="76">
        <f t="shared" si="8"/>
        <v>1.4362290599917118</v>
      </c>
      <c r="CQ11" s="76">
        <f t="shared" si="9"/>
        <v>40.167417953517109</v>
      </c>
      <c r="CR11" s="76">
        <f t="shared" si="10"/>
        <v>-7.6533899224034911</v>
      </c>
      <c r="CS11" s="76">
        <f t="shared" si="11"/>
        <v>-18.087536467314198</v>
      </c>
      <c r="CT11" s="76">
        <f t="shared" si="12"/>
        <v>-1.0614836998468662</v>
      </c>
      <c r="CU11" s="76">
        <f t="shared" si="13"/>
        <v>0.34267586143624396</v>
      </c>
      <c r="CV11" s="76">
        <f t="shared" si="14"/>
        <v>-0.7562912908893582</v>
      </c>
      <c r="CW11" s="76">
        <f t="shared" si="15"/>
        <v>17.2015805559749</v>
      </c>
      <c r="CX11" s="76">
        <f t="shared" si="16"/>
        <v>1.2868146733771311</v>
      </c>
      <c r="CY11" s="76">
        <f t="shared" si="17"/>
        <v>-1.3316110072535459</v>
      </c>
      <c r="CZ11" s="76">
        <f t="shared" si="18"/>
        <v>1.3111722062007216</v>
      </c>
      <c r="DA11" s="76">
        <f t="shared" si="19"/>
        <v>-12.26065567820787</v>
      </c>
      <c r="DB11" s="76">
        <f t="shared" si="20"/>
        <v>-0.45283248149555577</v>
      </c>
      <c r="DC11" s="76">
        <f t="shared" si="21"/>
        <v>4.6343817851031481</v>
      </c>
      <c r="DD11" s="76">
        <f t="shared" si="22"/>
        <v>7.9349787591937506</v>
      </c>
      <c r="DE11" s="76">
        <f t="shared" si="23"/>
        <v>4.3210172839371452</v>
      </c>
      <c r="DF11" s="76">
        <f t="shared" si="24"/>
        <v>-0.41844945776105513</v>
      </c>
      <c r="DG11" s="76">
        <f t="shared" si="25"/>
        <v>2.2054614746352548</v>
      </c>
      <c r="DH11" s="76">
        <f t="shared" si="26"/>
        <v>-5.119211333906267</v>
      </c>
      <c r="DI11" s="76">
        <f t="shared" si="27"/>
        <v>0</v>
      </c>
      <c r="DJ11" s="76">
        <f t="shared" si="28"/>
        <v>-3.3007999050065209</v>
      </c>
      <c r="DK11" s="76">
        <f t="shared" si="29"/>
        <v>-23.529195506301889</v>
      </c>
      <c r="DL11" s="76">
        <f t="shared" si="30"/>
        <v>-22.442157081661193</v>
      </c>
    </row>
    <row r="12" spans="1:116" s="48" customFormat="1" ht="12">
      <c r="A12" s="111">
        <f>IF(ISBLANK('In Process Calc.'!C12),"",'In Process Calc.'!C12)</f>
        <v>213.14999999996508</v>
      </c>
      <c r="B12" s="111">
        <f>IF(ISBLANK('Measured Data'!H16),"",'Measured Data'!H16)</f>
        <v>14.453400476074219</v>
      </c>
      <c r="C12" s="111">
        <f>IF(ISBLANK('In Process Calc.'!L12),"",'In Process Calc.'!L12)</f>
        <v>27230.16513016052</v>
      </c>
      <c r="D12" s="111">
        <f>IF(ISBLANK('In Process Calc.'!M12),"",'In Process Calc.'!M12)</f>
        <v>0</v>
      </c>
      <c r="E12" s="111">
        <f>IF(ISBLANK('In Process Calc.'!N12),"",'In Process Calc.'!N12)</f>
        <v>2255.076229166667</v>
      </c>
      <c r="F12" s="111">
        <f>IF(ISBLANK('In Process Calc.'!O12),"",'In Process Calc.'!O12)</f>
        <v>-11.882110166666667</v>
      </c>
      <c r="G12" s="111">
        <f>IF(ISBLANK('In Process Calc.'!P12),"",'In Process Calc.'!P12)</f>
        <v>-1.0961921944444437</v>
      </c>
      <c r="H12" s="111">
        <f>IF(ISBLANK('In Process Calc.'!Q12),"",'In Process Calc.'!Q12)</f>
        <v>12.884201666666666</v>
      </c>
      <c r="I12" s="111">
        <f>IF(ISBLANK('In Process Calc.'!R12),"",'In Process Calc.'!R12)</f>
        <v>-2.3334581111111117</v>
      </c>
      <c r="J12" s="111">
        <f>IF(ISBLANK('In Process Calc.'!S12),"",'In Process Calc.'!S12)</f>
        <v>1.6568463055555556</v>
      </c>
      <c r="K12" s="111">
        <f>IF(ISBLANK('In Process Calc.'!T12),"",'In Process Calc.'!T12)</f>
        <v>53.032254089398172</v>
      </c>
      <c r="L12" s="111">
        <f>IF(ISBLANK('In Process Calc.'!U12),"",'In Process Calc.'!U12)</f>
        <v>-9.7245065555555552</v>
      </c>
      <c r="M12" s="111">
        <f>IF(ISBLANK('In Process Calc.'!V12),"",'In Process Calc.'!V12)</f>
        <v>-18.69282872222222</v>
      </c>
      <c r="N12" s="111">
        <f>IF(ISBLANK('In Process Calc.'!W12),"",'In Process Calc.'!W12)</f>
        <v>-0.50888786111111095</v>
      </c>
      <c r="O12" s="111">
        <f>IF(ISBLANK('In Process Calc.'!X12),"",'In Process Calc.'!X12)</f>
        <v>0.84820372222222207</v>
      </c>
      <c r="P12" s="111">
        <f>IF(ISBLANK('In Process Calc.'!Y12),"",'In Process Calc.'!Y12)</f>
        <v>-0.28179130555555498</v>
      </c>
      <c r="Q12" s="111">
        <f>IF(ISBLANK('In Process Calc.'!Z12),"",'In Process Calc.'!Z12)</f>
        <v>13.621934823366885</v>
      </c>
      <c r="R12" s="111">
        <f>IF(ISBLANK('In Process Calc.'!AA12),"",'In Process Calc.'!AA12)</f>
        <v>2.4727908611111094</v>
      </c>
      <c r="S12" s="111">
        <f>IF(ISBLANK('In Process Calc.'!AB12),"",'In Process Calc.'!AB12)</f>
        <v>-0.811971555555556</v>
      </c>
      <c r="T12" s="111">
        <f>IF(ISBLANK('In Process Calc.'!AC12),"",'In Process Calc.'!AC12)</f>
        <v>1.6079849999999998</v>
      </c>
      <c r="U12" s="111">
        <f>IF(ISBLANK('In Process Calc.'!AD12),"",'In Process Calc.'!AD12)</f>
        <v>-12.50024777777778</v>
      </c>
      <c r="V12" s="111">
        <f>IF(ISBLANK('In Process Calc.'!AE12),"",'In Process Calc.'!AE12)</f>
        <v>-0.13536619444444475</v>
      </c>
      <c r="W12" s="111">
        <f>IF(ISBLANK('In Process Calc.'!AF12),"",'In Process Calc.'!AF12)</f>
        <v>5.65041525</v>
      </c>
      <c r="X12" s="111">
        <f>IF(ISBLANK('In Process Calc.'!AG12),"",'In Process Calc.'!AG12)</f>
        <v>9.7241768611111112</v>
      </c>
      <c r="Y12" s="111">
        <f>IF(ISBLANK('In Process Calc.'!AH12),"",'In Process Calc.'!AH12)</f>
        <v>5.5080714444444432</v>
      </c>
      <c r="Z12" s="111">
        <f>IF(ISBLANK('In Process Calc.'!AI12),"",'In Process Calc.'!AI12)</f>
        <v>-0.34993280555555561</v>
      </c>
      <c r="AA12" s="111">
        <f>IF(ISBLANK('In Process Calc.'!AJ12),"",'In Process Calc.'!AJ12)</f>
        <v>2.79022975</v>
      </c>
      <c r="AB12" s="111">
        <f>IF(ISBLANK('In Process Calc.'!AK12),"",'In Process Calc.'!AK12)</f>
        <v>-4.8899358611111126</v>
      </c>
      <c r="AC12" s="111">
        <f>IF(ISBLANK('In Process Calc.'!AL12),"",'In Process Calc.'!AL12)</f>
        <v>0</v>
      </c>
      <c r="AD12" s="111">
        <f>IF(ISBLANK('In Process Calc.'!AM12),"",'In Process Calc.'!AM12)</f>
        <v>6.9986552222222222</v>
      </c>
      <c r="AE12" s="111">
        <f>IF(ISBLANK('In Process Calc.'!AN12),"",'In Process Calc.'!AN12)</f>
        <v>-17.383702722222225</v>
      </c>
      <c r="AF12" s="111">
        <f>IF(ISBLANK('In Process Calc.'!AO12),"",'In Process Calc.'!AO12)</f>
        <v>34.563817055555532</v>
      </c>
      <c r="AH12" s="111">
        <f>IF(ISBLANK('In Process Calc.'!C12),"",'In Process Calc.'!C12)</f>
        <v>213.14999999996508</v>
      </c>
      <c r="AI12" s="111">
        <f>IF(ISBLANK('Measured Data'!H16),"",'Measured Data'!H16)</f>
        <v>14.453400476074219</v>
      </c>
      <c r="AJ12" s="111">
        <f>IF(ISBLANK('In Process Calc.'!L12),"",'In Process Calc.'!L12)</f>
        <v>27230.16513016052</v>
      </c>
      <c r="AK12" s="111">
        <f>IF(ISBLANK('In Process Calc.'!M12),"",'In Process Calc.'!M12)</f>
        <v>0</v>
      </c>
      <c r="AL12" s="111">
        <f>IF(ISBLANK('In Process Calc.'!N12),"",'In Process Calc.'!N12)</f>
        <v>2255.076229166667</v>
      </c>
      <c r="AM12" s="111">
        <f>IF(ISBLANK('In Process Calc.'!O12),"",'In Process Calc.'!O12)</f>
        <v>-11.882110166666667</v>
      </c>
      <c r="AN12" s="111">
        <f>IF(ISBLANK('In Process Calc.'!P12),"",'In Process Calc.'!P12)</f>
        <v>-1.0961921944444437</v>
      </c>
      <c r="AO12" s="111">
        <f>IF(ISBLANK('In Process Calc.'!Q12),"",'In Process Calc.'!Q12)</f>
        <v>12.884201666666666</v>
      </c>
      <c r="AP12" s="111">
        <f>IF(ISBLANK('In Process Calc.'!R12),"",'In Process Calc.'!R12)</f>
        <v>-2.3334581111111117</v>
      </c>
      <c r="AQ12" s="111">
        <f>IF(ISBLANK('In Process Calc.'!S12),"",'In Process Calc.'!S12)</f>
        <v>1.6568463055555556</v>
      </c>
      <c r="AR12" s="111">
        <f>IF(ISBLANK('In Process Calc.'!T12),"",'In Process Calc.'!T12)</f>
        <v>53.032254089398172</v>
      </c>
      <c r="AS12" s="111">
        <f>IF(ISBLANK('In Process Calc.'!U12),"",'In Process Calc.'!U12)</f>
        <v>-9.7245065555555552</v>
      </c>
      <c r="AT12" s="111">
        <f>IF(ISBLANK('In Process Calc.'!V12),"",'In Process Calc.'!V12)</f>
        <v>-18.69282872222222</v>
      </c>
      <c r="AU12" s="111">
        <f>IF(ISBLANK('In Process Calc.'!W12),"",'In Process Calc.'!W12)</f>
        <v>-0.50888786111111095</v>
      </c>
      <c r="AV12" s="111">
        <f>IF(ISBLANK('In Process Calc.'!X12),"",'In Process Calc.'!X12)</f>
        <v>0.84820372222222207</v>
      </c>
      <c r="AW12" s="111">
        <f>IF(ISBLANK('In Process Calc.'!Y12),"",'In Process Calc.'!Y12)</f>
        <v>-0.28179130555555498</v>
      </c>
      <c r="AX12" s="111">
        <f>IF(ISBLANK('In Process Calc.'!Z12),"",'In Process Calc.'!Z12)</f>
        <v>13.621934823366885</v>
      </c>
      <c r="AY12" s="111">
        <f>IF(ISBLANK('In Process Calc.'!AA12),"",'In Process Calc.'!AA12)</f>
        <v>2.4727908611111094</v>
      </c>
      <c r="AZ12" s="111">
        <f>IF(ISBLANK('In Process Calc.'!AB12),"",'In Process Calc.'!AB12)</f>
        <v>-0.811971555555556</v>
      </c>
      <c r="BA12" s="111">
        <f>IF(ISBLANK('In Process Calc.'!AC12),"",'In Process Calc.'!AC12)</f>
        <v>1.6079849999999998</v>
      </c>
      <c r="BB12" s="111">
        <f>IF(ISBLANK('In Process Calc.'!AD12),"",'In Process Calc.'!AD12)</f>
        <v>-12.50024777777778</v>
      </c>
      <c r="BC12" s="111">
        <f>IF(ISBLANK('In Process Calc.'!AE12),"",'In Process Calc.'!AE12)</f>
        <v>-0.13536619444444475</v>
      </c>
      <c r="BD12" s="111">
        <f>IF(ISBLANK('In Process Calc.'!AF12),"",'In Process Calc.'!AF12)</f>
        <v>5.65041525</v>
      </c>
      <c r="BE12" s="111">
        <f>IF(ISBLANK('In Process Calc.'!AG12),"",'In Process Calc.'!AG12)</f>
        <v>9.7241768611111112</v>
      </c>
      <c r="BF12" s="111">
        <f>IF(ISBLANK('In Process Calc.'!AH12),"",'In Process Calc.'!AH12)</f>
        <v>5.5080714444444432</v>
      </c>
      <c r="BG12" s="111">
        <f>IF(ISBLANK('In Process Calc.'!AI12),"",'In Process Calc.'!AI12)</f>
        <v>-0.34993280555555561</v>
      </c>
      <c r="BH12" s="111">
        <f>IF(ISBLANK('In Process Calc.'!AJ12),"",'In Process Calc.'!AJ12)</f>
        <v>2.79022975</v>
      </c>
      <c r="BI12" s="111">
        <f>IF(ISBLANK('In Process Calc.'!AK12),"",'In Process Calc.'!AK12)</f>
        <v>-4.8899358611111126</v>
      </c>
      <c r="BJ12" s="111">
        <f>IF(ISBLANK('In Process Calc.'!AL12),"",'In Process Calc.'!AL12)</f>
        <v>0</v>
      </c>
      <c r="BK12" s="111">
        <f>IF(ISBLANK('In Process Calc.'!AM12),"",'In Process Calc.'!AM12)</f>
        <v>6.9986552222222222</v>
      </c>
      <c r="BL12" s="111">
        <f>IF(ISBLANK('In Process Calc.'!AN12),"",'In Process Calc.'!AN12)</f>
        <v>-17.383702722222225</v>
      </c>
      <c r="BM12" s="111">
        <f>IF(ISBLANK('In Process Calc.'!AO12),"",'In Process Calc.'!AO12)</f>
        <v>34.563817055555532</v>
      </c>
      <c r="BO12" s="54" t="s">
        <v>346</v>
      </c>
      <c r="BP12" s="56">
        <f t="array" ref="BP12:BS12">LINEST($AQ3:INDEX($AQ:$AQ,COUNT($AQ:$AQ)+2),$AH$3:INDEX($AH:$AH,COUNT($AH:$AH)+2)^{1,2,3},TRUE,TRUE)</f>
        <v>-2.2905964730987623E-7</v>
      </c>
      <c r="BQ12" s="56">
        <v>9.8976020379779226E-5</v>
      </c>
      <c r="BR12" s="56">
        <v>-2.9892994835686582E-3</v>
      </c>
      <c r="BS12" s="56">
        <v>1.0153388852053968E-2</v>
      </c>
      <c r="BT12" s="56">
        <f t="array" ref="BT12:BX12">LINEST($AQ3:INDEX($AQ:$AQ,COUNT($AQ:$AQ)+2),$AH$3:INDEX($AH:$AH,COUNT($AH:$AH)+2)^{1,2,3,4},TRUE,TRUE)</f>
        <v>-8.1997674190712937E-10</v>
      </c>
      <c r="BU12" s="56">
        <v>3.1836310973401927E-7</v>
      </c>
      <c r="BV12" s="56">
        <v>-1.6110159608287575E-5</v>
      </c>
      <c r="BW12" s="56">
        <v>4.9184328536565616E-3</v>
      </c>
      <c r="BX12" s="56">
        <v>-8.109131479392051E-2</v>
      </c>
      <c r="BY12" s="57">
        <f>IF('Cumulative Curves'!$B$10=6,#REF!,IF('Cumulative Curves'!$B$10=5,#REF!, IF( 'Cumulative Curves'!$B$10=4, BX12,IF('Cumulative Curves'!$B$10=3, BS12, 0))))</f>
        <v>1.0153388852053968E-2</v>
      </c>
      <c r="BZ12" s="57">
        <f>IF('Cumulative Curves'!$B$10=6,#REF!,IF('Cumulative Curves'!$B$10=5,#REF!, IF( 'Cumulative Curves'!$B$10=4, BW12,IF('Cumulative Curves'!$B$10=3, BR12, 0))))</f>
        <v>-2.9892994835686582E-3</v>
      </c>
      <c r="CA12" s="57">
        <f>IF('Cumulative Curves'!$B$10=6,#REF!,IF('Cumulative Curves'!$B$10=5,#REF!, IF( 'Cumulative Curves'!$B$10=4, BV12,IF('Cumulative Curves'!$B$10=3, BQ12, 0))))</f>
        <v>9.8976020379779226E-5</v>
      </c>
      <c r="CB12" s="57">
        <f>IF('Cumulative Curves'!$B$10=6,#REF!,IF('Cumulative Curves'!$B$10=5,#REF!, IF( 'Cumulative Curves'!$B$10=4, BU12,IF('Cumulative Curves'!$B$10=3, BP12, 0))))</f>
        <v>-2.2905964730987623E-7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213.14999999996508</v>
      </c>
      <c r="CH12" s="76">
        <f t="shared" si="0"/>
        <v>13.474138629329271</v>
      </c>
      <c r="CI12" s="76">
        <f t="shared" si="1"/>
        <v>24747.885308710269</v>
      </c>
      <c r="CJ12" s="76">
        <f t="shared" si="2"/>
        <v>0</v>
      </c>
      <c r="CK12" s="76">
        <f t="shared" si="3"/>
        <v>2044.9010345317504</v>
      </c>
      <c r="CL12" s="76">
        <f t="shared" si="4"/>
        <v>-9.3436425299180392</v>
      </c>
      <c r="CM12" s="76">
        <f t="shared" si="5"/>
        <v>-1.1809046042675373</v>
      </c>
      <c r="CN12" s="76">
        <f t="shared" si="6"/>
        <v>9.3687653812012535</v>
      </c>
      <c r="CO12" s="76">
        <f t="shared" si="7"/>
        <v>-1.8524724529877368</v>
      </c>
      <c r="CP12" s="76">
        <f t="shared" si="8"/>
        <v>1.6515341593466513</v>
      </c>
      <c r="CQ12" s="76">
        <f t="shared" si="9"/>
        <v>51.315620543005316</v>
      </c>
      <c r="CR12" s="76">
        <f t="shared" si="10"/>
        <v>-9.4896937559628043</v>
      </c>
      <c r="CS12" s="76">
        <f t="shared" si="11"/>
        <v>-17.780113259583413</v>
      </c>
      <c r="CT12" s="76">
        <f t="shared" si="12"/>
        <v>-0.78507449830185738</v>
      </c>
      <c r="CU12" s="76">
        <f t="shared" si="13"/>
        <v>0.59668033139087484</v>
      </c>
      <c r="CV12" s="76">
        <f t="shared" si="14"/>
        <v>-0.61551826613599414</v>
      </c>
      <c r="CW12" s="76">
        <f t="shared" si="15"/>
        <v>14.416767037108812</v>
      </c>
      <c r="CX12" s="76">
        <f t="shared" si="16"/>
        <v>2.0499824155038846</v>
      </c>
      <c r="CY12" s="76">
        <f t="shared" si="17"/>
        <v>-0.98156775445284872</v>
      </c>
      <c r="CZ12" s="76">
        <f t="shared" si="18"/>
        <v>1.4639317752193617</v>
      </c>
      <c r="DA12" s="76">
        <f t="shared" si="19"/>
        <v>-14.000310030685467</v>
      </c>
      <c r="DB12" s="76">
        <f t="shared" si="20"/>
        <v>-0.25672942693824252</v>
      </c>
      <c r="DC12" s="76">
        <f t="shared" si="21"/>
        <v>5.178066811273708</v>
      </c>
      <c r="DD12" s="76">
        <f t="shared" si="22"/>
        <v>8.7495446210276739</v>
      </c>
      <c r="DE12" s="76">
        <f t="shared" si="23"/>
        <v>5.0276095960548366</v>
      </c>
      <c r="DF12" s="76">
        <f t="shared" si="24"/>
        <v>-0.3801641848734123</v>
      </c>
      <c r="DG12" s="76">
        <f t="shared" si="25"/>
        <v>2.547093612224248</v>
      </c>
      <c r="DH12" s="76">
        <f t="shared" si="26"/>
        <v>-5.0167909549023548</v>
      </c>
      <c r="DI12" s="76">
        <f t="shared" si="27"/>
        <v>0</v>
      </c>
      <c r="DJ12" s="76">
        <f t="shared" si="28"/>
        <v>4.7880767900812415</v>
      </c>
      <c r="DK12" s="76">
        <f t="shared" si="29"/>
        <v>-18.555875770522277</v>
      </c>
      <c r="DL12" s="76">
        <f t="shared" si="30"/>
        <v>10.035797544182245</v>
      </c>
    </row>
    <row r="13" spans="1:116" s="48" customFormat="1" ht="12">
      <c r="A13" s="111">
        <f>IF(ISBLANK('In Process Calc.'!C13),"",'In Process Calc.'!C13)</f>
        <v>238.2666666667792</v>
      </c>
      <c r="B13" s="111">
        <f>IF(ISBLANK('Measured Data'!H17),"",'Measured Data'!H17)</f>
        <v>15.10840020904541</v>
      </c>
      <c r="C13" s="111">
        <f>IF(ISBLANK('In Process Calc.'!L13),"",'In Process Calc.'!L13)</f>
        <v>27640.911844966511</v>
      </c>
      <c r="D13" s="111">
        <f>IF(ISBLANK('In Process Calc.'!M13),"",'In Process Calc.'!M13)</f>
        <v>0</v>
      </c>
      <c r="E13" s="111">
        <f>IF(ISBLANK('In Process Calc.'!N13),"",'In Process Calc.'!N13)</f>
        <v>2668.8415194444447</v>
      </c>
      <c r="F13" s="111">
        <f>IF(ISBLANK('In Process Calc.'!O13),"",'In Process Calc.'!O13)</f>
        <v>-11.950793416666667</v>
      </c>
      <c r="G13" s="111">
        <f>IF(ISBLANK('In Process Calc.'!P13),"",'In Process Calc.'!P13)</f>
        <v>-0.68007022222222235</v>
      </c>
      <c r="H13" s="111">
        <f>IF(ISBLANK('In Process Calc.'!Q13),"",'In Process Calc.'!Q13)</f>
        <v>12.865207999999999</v>
      </c>
      <c r="I13" s="111">
        <f>IF(ISBLANK('In Process Calc.'!R13),"",'In Process Calc.'!R13)</f>
        <v>-0.86617505555555607</v>
      </c>
      <c r="J13" s="111">
        <f>IF(ISBLANK('In Process Calc.'!S13),"",'In Process Calc.'!S13)</f>
        <v>1.8842701388888889</v>
      </c>
      <c r="K13" s="111">
        <f>IF(ISBLANK('In Process Calc.'!T13),"",'In Process Calc.'!T13)</f>
        <v>62.980321981010789</v>
      </c>
      <c r="L13" s="111">
        <f>IF(ISBLANK('In Process Calc.'!U13),"",'In Process Calc.'!U13)</f>
        <v>-10.960747888888891</v>
      </c>
      <c r="M13" s="111">
        <f>IF(ISBLANK('In Process Calc.'!V13),"",'In Process Calc.'!V13)</f>
        <v>-12.378621138888887</v>
      </c>
      <c r="N13" s="111">
        <f>IF(ISBLANK('In Process Calc.'!W13),"",'In Process Calc.'!W13)</f>
        <v>-0.32745099999999988</v>
      </c>
      <c r="O13" s="111">
        <f>IF(ISBLANK('In Process Calc.'!X13),"",'In Process Calc.'!X13)</f>
        <v>0.96629552777777783</v>
      </c>
      <c r="P13" s="111">
        <f>IF(ISBLANK('In Process Calc.'!Y13),"",'In Process Calc.'!Y13)</f>
        <v>0.29144227777777776</v>
      </c>
      <c r="Q13" s="111">
        <f>IF(ISBLANK('In Process Calc.'!Z13),"",'In Process Calc.'!Z13)</f>
        <v>5.1217775557529119</v>
      </c>
      <c r="R13" s="111">
        <f>IF(ISBLANK('In Process Calc.'!AA13),"",'In Process Calc.'!AA13)</f>
        <v>3.5985168611111087</v>
      </c>
      <c r="S13" s="111">
        <f>IF(ISBLANK('In Process Calc.'!AB13),"",'In Process Calc.'!AB13)</f>
        <v>-8.7548861111110599E-2</v>
      </c>
      <c r="T13" s="111">
        <f>IF(ISBLANK('In Process Calc.'!AC13),"",'In Process Calc.'!AC13)</f>
        <v>1.6079849999999998</v>
      </c>
      <c r="U13" s="111">
        <f>IF(ISBLANK('In Process Calc.'!AD13),"",'In Process Calc.'!AD13)</f>
        <v>-11.633586388888892</v>
      </c>
      <c r="V13" s="111">
        <f>IF(ISBLANK('In Process Calc.'!AE13),"",'In Process Calc.'!AE13)</f>
        <v>0.21346180555555566</v>
      </c>
      <c r="W13" s="111">
        <f>IF(ISBLANK('In Process Calc.'!AF13),"",'In Process Calc.'!AF13)</f>
        <v>5.8315533888888886</v>
      </c>
      <c r="X13" s="111">
        <f>IF(ISBLANK('In Process Calc.'!AG13),"",'In Process Calc.'!AG13)</f>
        <v>9.5063785833333334</v>
      </c>
      <c r="Y13" s="111">
        <f>IF(ISBLANK('In Process Calc.'!AH13),"",'In Process Calc.'!AH13)</f>
        <v>5.7944710277777762</v>
      </c>
      <c r="Z13" s="111">
        <f>IF(ISBLANK('In Process Calc.'!AI13),"",'In Process Calc.'!AI13)</f>
        <v>-0.14488841666666663</v>
      </c>
      <c r="AA13" s="111">
        <f>IF(ISBLANK('In Process Calc.'!AJ13),"",'In Process Calc.'!AJ13)</f>
        <v>2.8955104444444446</v>
      </c>
      <c r="AB13" s="111">
        <f>IF(ISBLANK('In Process Calc.'!AK13),"",'In Process Calc.'!AK13)</f>
        <v>-3.677895222222225</v>
      </c>
      <c r="AC13" s="111">
        <f>IF(ISBLANK('In Process Calc.'!AL13),"",'In Process Calc.'!AL13)</f>
        <v>0</v>
      </c>
      <c r="AD13" s="111">
        <f>IF(ISBLANK('In Process Calc.'!AM13),"",'In Process Calc.'!AM13)</f>
        <v>19.463161583333321</v>
      </c>
      <c r="AE13" s="111">
        <f>IF(ISBLANK('In Process Calc.'!AN13),"",'In Process Calc.'!AN13)</f>
        <v>-4.1212182222222378</v>
      </c>
      <c r="AF13" s="111">
        <f>IF(ISBLANK('In Process Calc.'!AO13),"",'In Process Calc.'!AO13)</f>
        <v>99.226412583333314</v>
      </c>
      <c r="AH13" s="111">
        <f>IF(ISBLANK('In Process Calc.'!C13),"",'In Process Calc.'!C13)</f>
        <v>238.2666666667792</v>
      </c>
      <c r="AI13" s="111">
        <f>IF(ISBLANK('Measured Data'!H17),"",'Measured Data'!H17)</f>
        <v>15.10840020904541</v>
      </c>
      <c r="AJ13" s="111">
        <f>IF(ISBLANK('In Process Calc.'!L13),"",'In Process Calc.'!L13)</f>
        <v>27640.911844966511</v>
      </c>
      <c r="AK13" s="111">
        <f>IF(ISBLANK('In Process Calc.'!M13),"",'In Process Calc.'!M13)</f>
        <v>0</v>
      </c>
      <c r="AL13" s="111">
        <f>IF(ISBLANK('In Process Calc.'!N13),"",'In Process Calc.'!N13)</f>
        <v>2668.8415194444447</v>
      </c>
      <c r="AM13" s="111">
        <f>IF(ISBLANK('In Process Calc.'!O13),"",'In Process Calc.'!O13)</f>
        <v>-11.950793416666667</v>
      </c>
      <c r="AN13" s="111">
        <f>IF(ISBLANK('In Process Calc.'!P13),"",'In Process Calc.'!P13)</f>
        <v>-0.68007022222222235</v>
      </c>
      <c r="AO13" s="111">
        <f>IF(ISBLANK('In Process Calc.'!Q13),"",'In Process Calc.'!Q13)</f>
        <v>12.865207999999999</v>
      </c>
      <c r="AP13" s="111">
        <f>IF(ISBLANK('In Process Calc.'!R13),"",'In Process Calc.'!R13)</f>
        <v>-0.86617505555555607</v>
      </c>
      <c r="AQ13" s="111">
        <f>IF(ISBLANK('In Process Calc.'!S13),"",'In Process Calc.'!S13)</f>
        <v>1.8842701388888889</v>
      </c>
      <c r="AR13" s="111">
        <f>IF(ISBLANK('In Process Calc.'!T13),"",'In Process Calc.'!T13)</f>
        <v>62.980321981010789</v>
      </c>
      <c r="AS13" s="111">
        <f>IF(ISBLANK('In Process Calc.'!U13),"",'In Process Calc.'!U13)</f>
        <v>-10.960747888888891</v>
      </c>
      <c r="AT13" s="111">
        <f>IF(ISBLANK('In Process Calc.'!V13),"",'In Process Calc.'!V13)</f>
        <v>-12.378621138888887</v>
      </c>
      <c r="AU13" s="111">
        <f>IF(ISBLANK('In Process Calc.'!W13),"",'In Process Calc.'!W13)</f>
        <v>-0.32745099999999988</v>
      </c>
      <c r="AV13" s="111">
        <f>IF(ISBLANK('In Process Calc.'!X13),"",'In Process Calc.'!X13)</f>
        <v>0.96629552777777783</v>
      </c>
      <c r="AW13" s="111">
        <f>IF(ISBLANK('In Process Calc.'!Y13),"",'In Process Calc.'!Y13)</f>
        <v>0.29144227777777776</v>
      </c>
      <c r="AX13" s="111">
        <f>IF(ISBLANK('In Process Calc.'!Z13),"",'In Process Calc.'!Z13)</f>
        <v>5.1217775557529119</v>
      </c>
      <c r="AY13" s="111">
        <f>IF(ISBLANK('In Process Calc.'!AA13),"",'In Process Calc.'!AA13)</f>
        <v>3.5985168611111087</v>
      </c>
      <c r="AZ13" s="111">
        <f>IF(ISBLANK('In Process Calc.'!AB13),"",'In Process Calc.'!AB13)</f>
        <v>-8.7548861111110599E-2</v>
      </c>
      <c r="BA13" s="111">
        <f>IF(ISBLANK('In Process Calc.'!AC13),"",'In Process Calc.'!AC13)</f>
        <v>1.6079849999999998</v>
      </c>
      <c r="BB13" s="111">
        <f>IF(ISBLANK('In Process Calc.'!AD13),"",'In Process Calc.'!AD13)</f>
        <v>-11.633586388888892</v>
      </c>
      <c r="BC13" s="111">
        <f>IF(ISBLANK('In Process Calc.'!AE13),"",'In Process Calc.'!AE13)</f>
        <v>0.21346180555555566</v>
      </c>
      <c r="BD13" s="111">
        <f>IF(ISBLANK('In Process Calc.'!AF13),"",'In Process Calc.'!AF13)</f>
        <v>5.8315533888888886</v>
      </c>
      <c r="BE13" s="111">
        <f>IF(ISBLANK('In Process Calc.'!AG13),"",'In Process Calc.'!AG13)</f>
        <v>9.5063785833333334</v>
      </c>
      <c r="BF13" s="111">
        <f>IF(ISBLANK('In Process Calc.'!AH13),"",'In Process Calc.'!AH13)</f>
        <v>5.7944710277777762</v>
      </c>
      <c r="BG13" s="111">
        <f>IF(ISBLANK('In Process Calc.'!AI13),"",'In Process Calc.'!AI13)</f>
        <v>-0.14488841666666663</v>
      </c>
      <c r="BH13" s="111">
        <f>IF(ISBLANK('In Process Calc.'!AJ13),"",'In Process Calc.'!AJ13)</f>
        <v>2.8955104444444446</v>
      </c>
      <c r="BI13" s="111">
        <f>IF(ISBLANK('In Process Calc.'!AK13),"",'In Process Calc.'!AK13)</f>
        <v>-3.677895222222225</v>
      </c>
      <c r="BJ13" s="111">
        <f>IF(ISBLANK('In Process Calc.'!AL13),"",'In Process Calc.'!AL13)</f>
        <v>0</v>
      </c>
      <c r="BK13" s="111">
        <f>IF(ISBLANK('In Process Calc.'!AM13),"",'In Process Calc.'!AM13)</f>
        <v>19.463161583333321</v>
      </c>
      <c r="BL13" s="111">
        <f>IF(ISBLANK('In Process Calc.'!AN13),"",'In Process Calc.'!AN13)</f>
        <v>-4.1212182222222378</v>
      </c>
      <c r="BM13" s="111">
        <f>IF(ISBLANK('In Process Calc.'!AO13),"",'In Process Calc.'!AO13)</f>
        <v>99.226412583333314</v>
      </c>
      <c r="BO13" s="54" t="s">
        <v>105</v>
      </c>
      <c r="BP13" s="56">
        <f t="array" ref="BP13:BS13">LINEST($K3:INDEX($K:$K,COUNT($K:$K)+2),$A$3:INDEX($A:$A,COUNT($A:$A)+2)^{1,2,3},TRUE,TRUE)</f>
        <v>-5.0711390091894605E-7</v>
      </c>
      <c r="BQ13" s="56">
        <v>1.4139318012152432E-3</v>
      </c>
      <c r="BR13" s="56">
        <v>-4.1773753203258622E-2</v>
      </c>
      <c r="BS13" s="56">
        <v>0.89154702047662227</v>
      </c>
      <c r="BT13" s="56">
        <f t="array" ref="BT13:BX13">LINEST($K3:INDEX($K:$K,COUNT($K:$K)+2),$A$3:INDEX($A:$A,COUNT($A:$A)+2)^{1,2,3,4},TRUE,TRUE)</f>
        <v>-1.7481272151374221E-9</v>
      </c>
      <c r="BU13" s="56">
        <v>6.5994922522321486E-7</v>
      </c>
      <c r="BV13" s="56">
        <v>1.1685769355937849E-3</v>
      </c>
      <c r="BW13" s="56">
        <v>-2.4915077338167436E-2</v>
      </c>
      <c r="BX13" s="56">
        <v>0.69702034486666253</v>
      </c>
      <c r="BY13" s="57">
        <f>IF('Cumulative Curves'!$B$12=6,#REF!,IF('Cumulative Curves'!$B$12=5,#REF!, IF( 'Cumulative Curves'!$B$12=4, BX13,IF('Cumulative Curves'!$B$12=3, BS13, 0))))</f>
        <v>0.89154702047662227</v>
      </c>
      <c r="BZ13" s="57">
        <f>IF('Cumulative Curves'!$B$12=6,#REF!,IF('Cumulative Curves'!$B$12=5,#REF!, IF( 'Cumulative Curves'!$B$12=4, BW13,IF('Cumulative Curves'!$B$12=3, BR13, 0))))</f>
        <v>-4.1773753203258622E-2</v>
      </c>
      <c r="CA13" s="57">
        <f>IF('Cumulative Curves'!$B$12=6,#REF!,IF('Cumulative Curves'!$B$12=5,#REF!, IF( 'Cumulative Curves'!$B$12=4, BV13,IF('Cumulative Curves'!$B$12=3, BQ13, 0))))</f>
        <v>1.4139318012152432E-3</v>
      </c>
      <c r="CB13" s="57">
        <f>IF('Cumulative Curves'!$B$12=6,#REF!,IF('Cumulative Curves'!$B$12=5,#REF!, IF( 'Cumulative Curves'!$B$12=4, BU13,IF('Cumulative Curves'!$B$12=3, BP13, 0))))</f>
        <v>-5.0711390091894605E-7</v>
      </c>
      <c r="CC13" s="57">
        <f>IF('Cumulative Curves'!$B$12=6,#REF!,IF('Cumulative Curves'!$B$12=5,#REF!, IF( 'Cumulative Curves'!$B$12=4,BT13, 0)))</f>
        <v>0</v>
      </c>
      <c r="CD13" s="57">
        <f>IF('Cumulative Curves'!$B$12=6,#REF!,IF('Cumulative Curves'!$B$12=5,#REF!, 0))</f>
        <v>0</v>
      </c>
      <c r="CE13" s="57">
        <f>IF('Cumulative Curves'!$B$12=6,#REF!,0)</f>
        <v>0</v>
      </c>
      <c r="CF13" s="49"/>
      <c r="CG13" s="76">
        <f>IF(ISBLANK('In Process Calc.'!C13),"",'In Process Calc.'!C13)</f>
        <v>238.2666666667792</v>
      </c>
      <c r="CH13" s="76">
        <f t="shared" si="0"/>
        <v>14.832989890925617</v>
      </c>
      <c r="CI13" s="76">
        <f t="shared" si="1"/>
        <v>27370.367335001923</v>
      </c>
      <c r="CJ13" s="76">
        <f t="shared" si="2"/>
        <v>0</v>
      </c>
      <c r="CK13" s="76">
        <f t="shared" si="3"/>
        <v>2653.9198546534953</v>
      </c>
      <c r="CL13" s="76">
        <f t="shared" si="4"/>
        <v>-10.100935128617778</v>
      </c>
      <c r="CM13" s="76">
        <f t="shared" si="5"/>
        <v>-0.97741663080331875</v>
      </c>
      <c r="CN13" s="76">
        <f t="shared" si="6"/>
        <v>11.897071265432373</v>
      </c>
      <c r="CO13" s="76">
        <f t="shared" si="7"/>
        <v>-1.6430471046072412</v>
      </c>
      <c r="CP13" s="76">
        <f t="shared" si="8"/>
        <v>1.8184641303044518</v>
      </c>
      <c r="CQ13" s="76">
        <f t="shared" si="9"/>
        <v>64.349036502981718</v>
      </c>
      <c r="CR13" s="76">
        <f t="shared" si="10"/>
        <v>-9.9808011815821658</v>
      </c>
      <c r="CS13" s="76">
        <f t="shared" si="11"/>
        <v>-16.171632976062366</v>
      </c>
      <c r="CT13" s="76">
        <f t="shared" si="12"/>
        <v>-0.54482047039005455</v>
      </c>
      <c r="CU13" s="76">
        <f t="shared" si="13"/>
        <v>0.87165871897679814</v>
      </c>
      <c r="CV13" s="76">
        <f t="shared" si="14"/>
        <v>-0.3410860068413073</v>
      </c>
      <c r="CW13" s="76">
        <f t="shared" si="15"/>
        <v>10.010478364091092</v>
      </c>
      <c r="CX13" s="76">
        <f t="shared" si="16"/>
        <v>3.0496611494088657</v>
      </c>
      <c r="CY13" s="76">
        <f t="shared" si="17"/>
        <v>-0.30551387552398968</v>
      </c>
      <c r="CZ13" s="76">
        <f t="shared" si="18"/>
        <v>1.563393058409777</v>
      </c>
      <c r="DA13" s="76">
        <f t="shared" si="19"/>
        <v>-15.740788287031711</v>
      </c>
      <c r="DB13" s="76">
        <f t="shared" si="20"/>
        <v>8.3231338543684252E-2</v>
      </c>
      <c r="DC13" s="76">
        <f t="shared" si="21"/>
        <v>5.5725304374659093</v>
      </c>
      <c r="DD13" s="76">
        <f t="shared" si="22"/>
        <v>9.3199741433592607</v>
      </c>
      <c r="DE13" s="76">
        <f t="shared" si="23"/>
        <v>5.6241610934143527</v>
      </c>
      <c r="DF13" s="76">
        <f t="shared" si="24"/>
        <v>-0.24785303522071489</v>
      </c>
      <c r="DG13" s="76">
        <f t="shared" si="25"/>
        <v>2.8106307592889275</v>
      </c>
      <c r="DH13" s="76">
        <f t="shared" si="26"/>
        <v>-4.3710113336034606</v>
      </c>
      <c r="DI13" s="76">
        <f t="shared" si="27"/>
        <v>0</v>
      </c>
      <c r="DJ13" s="76">
        <f t="shared" si="28"/>
        <v>17.667655291565865</v>
      </c>
      <c r="DK13" s="76">
        <f t="shared" si="29"/>
        <v>-8.1740681240836182</v>
      </c>
      <c r="DL13" s="76">
        <f t="shared" si="30"/>
        <v>56.966363685837379</v>
      </c>
    </row>
    <row r="14" spans="1:116" s="48" customFormat="1" ht="12">
      <c r="A14" s="111">
        <f>IF(ISBLANK('In Process Calc.'!C14),"",'In Process Calc.'!C14)</f>
        <v>261.91666666668607</v>
      </c>
      <c r="B14" s="111">
        <f>IF(ISBLANK('Measured Data'!H18),"",'Measured Data'!H18)</f>
        <v>15.682599885559082</v>
      </c>
      <c r="C14" s="111">
        <f>IF(ISBLANK('In Process Calc.'!L14),"",'In Process Calc.'!L14)</f>
        <v>28557.62884349018</v>
      </c>
      <c r="D14" s="111">
        <f>IF(ISBLANK('In Process Calc.'!M14),"",'In Process Calc.'!M14)</f>
        <v>0</v>
      </c>
      <c r="E14" s="111">
        <f>IF(ISBLANK('In Process Calc.'!N14),"",'In Process Calc.'!N14)</f>
        <v>3275.5721833333337</v>
      </c>
      <c r="F14" s="111">
        <f>IF(ISBLANK('In Process Calc.'!O14),"",'In Process Calc.'!O14)</f>
        <v>-9.030172499999999</v>
      </c>
      <c r="G14" s="111">
        <f>IF(ISBLANK('In Process Calc.'!P14),"",'In Process Calc.'!P14)</f>
        <v>-7.219777777777725E-2</v>
      </c>
      <c r="H14" s="111">
        <f>IF(ISBLANK('In Process Calc.'!Q14),"",'In Process Calc.'!Q14)</f>
        <v>12.856644722222221</v>
      </c>
      <c r="I14" s="111">
        <f>IF(ISBLANK('In Process Calc.'!R14),"",'In Process Calc.'!R14)</f>
        <v>-1.0927230555555558</v>
      </c>
      <c r="J14" s="111">
        <f>IF(ISBLANK('In Process Calc.'!S14),"",'In Process Calc.'!S14)</f>
        <v>1.9951116666666666</v>
      </c>
      <c r="K14" s="111">
        <f>IF(ISBLANK('In Process Calc.'!T14),"",'In Process Calc.'!T14)</f>
        <v>76.351001640459856</v>
      </c>
      <c r="L14" s="111">
        <f>IF(ISBLANK('In Process Calc.'!U14),"",'In Process Calc.'!U14)</f>
        <v>-8.1997708333333339</v>
      </c>
      <c r="M14" s="111">
        <f>IF(ISBLANK('In Process Calc.'!V14),"",'In Process Calc.'!V14)</f>
        <v>-8.1024688888888861</v>
      </c>
      <c r="N14" s="111">
        <f>IF(ISBLANK('In Process Calc.'!W14),"",'In Process Calc.'!W14)</f>
        <v>0.22120833333333351</v>
      </c>
      <c r="O14" s="111">
        <f>IF(ISBLANK('In Process Calc.'!X14),"",'In Process Calc.'!X14)</f>
        <v>1.1672130555555555</v>
      </c>
      <c r="P14" s="111">
        <f>IF(ISBLANK('In Process Calc.'!Y14),"",'In Process Calc.'!Y14)</f>
        <v>0.67958055555555497</v>
      </c>
      <c r="Q14" s="111">
        <f>IF(ISBLANK('In Process Calc.'!Z14),"",'In Process Calc.'!Z14)</f>
        <v>4.6767996348924417</v>
      </c>
      <c r="R14" s="111">
        <f>IF(ISBLANK('In Process Calc.'!AA14),"",'In Process Calc.'!AA14)</f>
        <v>5.0900524999999979</v>
      </c>
      <c r="S14" s="111">
        <f>IF(ISBLANK('In Process Calc.'!AB14),"",'In Process Calc.'!AB14)</f>
        <v>1.3310908333333336</v>
      </c>
      <c r="T14" s="111">
        <f>IF(ISBLANK('In Process Calc.'!AC14),"",'In Process Calc.'!AC14)</f>
        <v>1.6079849999999998</v>
      </c>
      <c r="U14" s="111">
        <f>IF(ISBLANK('In Process Calc.'!AD14),"",'In Process Calc.'!AD14)</f>
        <v>-17.811011111111114</v>
      </c>
      <c r="V14" s="111">
        <f>IF(ISBLANK('In Process Calc.'!AE14),"",'In Process Calc.'!AE14)</f>
        <v>0.86909833333333331</v>
      </c>
      <c r="W14" s="111">
        <f>IF(ISBLANK('In Process Calc.'!AF14),"",'In Process Calc.'!AF14)</f>
        <v>5.7157597222222227</v>
      </c>
      <c r="X14" s="111">
        <f>IF(ISBLANK('In Process Calc.'!AG14),"",'In Process Calc.'!AG14)</f>
        <v>9.5129219444444448</v>
      </c>
      <c r="Y14" s="111">
        <f>IF(ISBLANK('In Process Calc.'!AH14),"",'In Process Calc.'!AH14)</f>
        <v>6.0344213888888873</v>
      </c>
      <c r="Z14" s="111">
        <f>IF(ISBLANK('In Process Calc.'!AI14),"",'In Process Calc.'!AI14)</f>
        <v>0.18244527777777791</v>
      </c>
      <c r="AA14" s="111">
        <f>IF(ISBLANK('In Process Calc.'!AJ14),"",'In Process Calc.'!AJ14)</f>
        <v>3.0147300000000001</v>
      </c>
      <c r="AB14" s="111">
        <f>IF(ISBLANK('In Process Calc.'!AK14),"",'In Process Calc.'!AK14)</f>
        <v>-1.8132688888888895</v>
      </c>
      <c r="AC14" s="111">
        <f>IF(ISBLANK('In Process Calc.'!AL14),"",'In Process Calc.'!AL14)</f>
        <v>0</v>
      </c>
      <c r="AD14" s="111">
        <f>IF(ISBLANK('In Process Calc.'!AM14),"",'In Process Calc.'!AM14)</f>
        <v>50.06202694444444</v>
      </c>
      <c r="AE14" s="111">
        <f>IF(ISBLANK('In Process Calc.'!AN14),"",'In Process Calc.'!AN14)</f>
        <v>23.220843333333328</v>
      </c>
      <c r="AF14" s="111">
        <f>IF(ISBLANK('In Process Calc.'!AO14),"",'In Process Calc.'!AO14)</f>
        <v>171.41271083333334</v>
      </c>
      <c r="AH14" s="111">
        <f>IF(ISBLANK('In Process Calc.'!C14),"",'In Process Calc.'!C14)</f>
        <v>261.91666666668607</v>
      </c>
      <c r="AI14" s="111">
        <f>IF(ISBLANK('Measured Data'!H18),"",'Measured Data'!H18)</f>
        <v>15.682599885559082</v>
      </c>
      <c r="AJ14" s="111">
        <f>IF(ISBLANK('In Process Calc.'!L14),"",'In Process Calc.'!L14)</f>
        <v>28557.62884349018</v>
      </c>
      <c r="AK14" s="111">
        <f>IF(ISBLANK('In Process Calc.'!M14),"",'In Process Calc.'!M14)</f>
        <v>0</v>
      </c>
      <c r="AL14" s="111">
        <f>IF(ISBLANK('In Process Calc.'!N14),"",'In Process Calc.'!N14)</f>
        <v>3275.5721833333337</v>
      </c>
      <c r="AM14" s="111">
        <f>IF(ISBLANK('In Process Calc.'!O14),"",'In Process Calc.'!O14)</f>
        <v>-9.030172499999999</v>
      </c>
      <c r="AN14" s="111">
        <f>IF(ISBLANK('In Process Calc.'!P14),"",'In Process Calc.'!P14)</f>
        <v>-7.219777777777725E-2</v>
      </c>
      <c r="AO14" s="111">
        <f>IF(ISBLANK('In Process Calc.'!Q14),"",'In Process Calc.'!Q14)</f>
        <v>12.856644722222221</v>
      </c>
      <c r="AP14" s="111">
        <f>IF(ISBLANK('In Process Calc.'!R14),"",'In Process Calc.'!R14)</f>
        <v>-1.0927230555555558</v>
      </c>
      <c r="AQ14" s="111">
        <f>IF(ISBLANK('In Process Calc.'!S14),"",'In Process Calc.'!S14)</f>
        <v>1.9951116666666666</v>
      </c>
      <c r="AR14" s="111">
        <f>IF(ISBLANK('In Process Calc.'!T14),"",'In Process Calc.'!T14)</f>
        <v>76.351001640459856</v>
      </c>
      <c r="AS14" s="111">
        <f>IF(ISBLANK('In Process Calc.'!U14),"",'In Process Calc.'!U14)</f>
        <v>-8.1997708333333339</v>
      </c>
      <c r="AT14" s="111">
        <f>IF(ISBLANK('In Process Calc.'!V14),"",'In Process Calc.'!V14)</f>
        <v>-8.1024688888888861</v>
      </c>
      <c r="AU14" s="111">
        <f>IF(ISBLANK('In Process Calc.'!W14),"",'In Process Calc.'!W14)</f>
        <v>0.22120833333333351</v>
      </c>
      <c r="AV14" s="111">
        <f>IF(ISBLANK('In Process Calc.'!X14),"",'In Process Calc.'!X14)</f>
        <v>1.1672130555555555</v>
      </c>
      <c r="AW14" s="111">
        <f>IF(ISBLANK('In Process Calc.'!Y14),"",'In Process Calc.'!Y14)</f>
        <v>0.67958055555555497</v>
      </c>
      <c r="AX14" s="111">
        <f>IF(ISBLANK('In Process Calc.'!Z14),"",'In Process Calc.'!Z14)</f>
        <v>4.6767996348924417</v>
      </c>
      <c r="AY14" s="111">
        <f>IF(ISBLANK('In Process Calc.'!AA14),"",'In Process Calc.'!AA14)</f>
        <v>5.0900524999999979</v>
      </c>
      <c r="AZ14" s="111">
        <f>IF(ISBLANK('In Process Calc.'!AB14),"",'In Process Calc.'!AB14)</f>
        <v>1.3310908333333336</v>
      </c>
      <c r="BA14" s="111">
        <f>IF(ISBLANK('In Process Calc.'!AC14),"",'In Process Calc.'!AC14)</f>
        <v>1.6079849999999998</v>
      </c>
      <c r="BB14" s="111">
        <f>IF(ISBLANK('In Process Calc.'!AD14),"",'In Process Calc.'!AD14)</f>
        <v>-17.811011111111114</v>
      </c>
      <c r="BC14" s="111">
        <f>IF(ISBLANK('In Process Calc.'!AE14),"",'In Process Calc.'!AE14)</f>
        <v>0.86909833333333331</v>
      </c>
      <c r="BD14" s="111">
        <f>IF(ISBLANK('In Process Calc.'!AF14),"",'In Process Calc.'!AF14)</f>
        <v>5.7157597222222227</v>
      </c>
      <c r="BE14" s="111">
        <f>IF(ISBLANK('In Process Calc.'!AG14),"",'In Process Calc.'!AG14)</f>
        <v>9.5129219444444448</v>
      </c>
      <c r="BF14" s="111">
        <f>IF(ISBLANK('In Process Calc.'!AH14),"",'In Process Calc.'!AH14)</f>
        <v>6.0344213888888873</v>
      </c>
      <c r="BG14" s="111">
        <f>IF(ISBLANK('In Process Calc.'!AI14),"",'In Process Calc.'!AI14)</f>
        <v>0.18244527777777791</v>
      </c>
      <c r="BH14" s="111">
        <f>IF(ISBLANK('In Process Calc.'!AJ14),"",'In Process Calc.'!AJ14)</f>
        <v>3.0147300000000001</v>
      </c>
      <c r="BI14" s="111">
        <f>IF(ISBLANK('In Process Calc.'!AK14),"",'In Process Calc.'!AK14)</f>
        <v>-1.8132688888888895</v>
      </c>
      <c r="BJ14" s="111">
        <f>IF(ISBLANK('In Process Calc.'!AL14),"",'In Process Calc.'!AL14)</f>
        <v>0</v>
      </c>
      <c r="BK14" s="111">
        <f>IF(ISBLANK('In Process Calc.'!AM14),"",'In Process Calc.'!AM14)</f>
        <v>50.06202694444444</v>
      </c>
      <c r="BL14" s="111">
        <f>IF(ISBLANK('In Process Calc.'!AN14),"",'In Process Calc.'!AN14)</f>
        <v>23.220843333333328</v>
      </c>
      <c r="BM14" s="111">
        <f>IF(ISBLANK('In Process Calc.'!AO14),"",'In Process Calc.'!AO14)</f>
        <v>171.41271083333334</v>
      </c>
      <c r="BO14" s="54" t="s">
        <v>50</v>
      </c>
      <c r="BP14" s="56">
        <f t="array" ref="BP14:BS14">LINEST($L3:INDEX($L:$L,COUNT($L:$L)+2),$A$3:INDEX($A:$A,COUNT($A:$A)+2)^{1,2,3},TRUE,TRUE)</f>
        <v>1.9759773286491692E-6</v>
      </c>
      <c r="BQ14" s="56">
        <v>-8.2350998252769163E-4</v>
      </c>
      <c r="BR14" s="56">
        <v>5.0290915942070261E-2</v>
      </c>
      <c r="BS14" s="56">
        <v>-0.47536963646829733</v>
      </c>
      <c r="BT14" s="56">
        <f t="array" ref="BT14:BX14">LINEST($L3:INDEX($L:$L,COUNT($L:$L)+2),$A$3:INDEX($A:$A,COUNT($A:$A)+2)^{1,2,3,4},TRUE,TRUE)</f>
        <v>-2.7463965721637235E-9</v>
      </c>
      <c r="BU14" s="56">
        <v>3.8094927280896724E-6</v>
      </c>
      <c r="BV14" s="56">
        <v>-1.2089749281400685E-3</v>
      </c>
      <c r="BW14" s="56">
        <v>7.6776751301292662E-2</v>
      </c>
      <c r="BX14" s="56">
        <v>-0.78098091604992081</v>
      </c>
      <c r="BY14" s="57">
        <f t="array" ref="BY14">IF('Cumulative Curves'!$B$13=6,CB37,IF('Cumulative Curves'!$B$13=5,BU37, IF( 'Cumulative Curves'!$B$13=4, BX14,IF('Cumulative Curves'!$B$13=3, BS14, 0))))</f>
        <v>5.4605425590892764E-2</v>
      </c>
      <c r="BZ14" s="57">
        <f t="array" ref="BZ14">IF('Cumulative Curves'!$B$13=6,CA37,IF('Cumulative Curves'!$B$13=5,BT37, IF( 'Cumulative Curves'!$B$13=4, BW14,IF('Cumulative Curves'!$B$13=3, BR14, 0))))</f>
        <v>9.7841052482361916E-3</v>
      </c>
      <c r="CA14" s="57">
        <f>IF('Cumulative Curves'!$B$13=6,BZ37,IF('Cumulative Curves'!$B$13=5,BS37, IF( 'Cumulative Curves'!$B$13=4, BV14,IF('Cumulative Curves'!$B$13=3, BQ14, 0))))</f>
        <v>-1.34942373424835E-3</v>
      </c>
      <c r="CB14" s="57">
        <f>IF('Cumulative Curves'!$B$13=6,BY37,IF('Cumulative Curves'!$B$13=5,BR37, IF( 'Cumulative Curves'!$B$13=4, BU14,IF('Cumulative Curves'!$B$13=3, BP14, 0))))</f>
        <v>2.7980584998854334E-5</v>
      </c>
      <c r="CC14" s="57">
        <f>IF('Cumulative Curves'!$B$13=6,BX37,IF('Cumulative Curves'!$B$13=5,BQ37, IF( 'Cumulative Curves'!$B$13=4,BT14, 0)))</f>
        <v>-2.4119149971962965E-7</v>
      </c>
      <c r="CD14" s="57">
        <f>IF('Cumulative Curves'!$B$13=6,BW37,IF('Cumulative Curves'!$B$13=5,BP37, 0))</f>
        <v>8.4534502075343087E-10</v>
      </c>
      <c r="CE14" s="57">
        <f>IF('Cumulative Curves'!$B$13=6,BV37,0)</f>
        <v>-1.016846699706742E-12</v>
      </c>
      <c r="CF14" s="49"/>
      <c r="CG14" s="76">
        <f>IF(ISBLANK('In Process Calc.'!C14),"",'In Process Calc.'!C14)</f>
        <v>261.91666666668607</v>
      </c>
      <c r="CH14" s="76">
        <f t="shared" si="0"/>
        <v>15.476095352836225</v>
      </c>
      <c r="CI14" s="76">
        <f t="shared" si="1"/>
        <v>28561.25597490574</v>
      </c>
      <c r="CJ14" s="76">
        <f t="shared" si="2"/>
        <v>0</v>
      </c>
      <c r="CK14" s="76">
        <f t="shared" si="3"/>
        <v>3249.1393092308517</v>
      </c>
      <c r="CL14" s="76">
        <f t="shared" si="4"/>
        <v>-9.9440593350079141</v>
      </c>
      <c r="CM14" s="76">
        <f t="shared" si="5"/>
        <v>-0.54400902878845336</v>
      </c>
      <c r="CN14" s="76">
        <f t="shared" si="6"/>
        <v>13.851360105887295</v>
      </c>
      <c r="CO14" s="76">
        <f t="shared" si="7"/>
        <v>-1.287979119540708</v>
      </c>
      <c r="CP14" s="76">
        <f t="shared" si="8"/>
        <v>1.9013488996525982</v>
      </c>
      <c r="CQ14" s="76">
        <f t="shared" si="9"/>
        <v>77.834901761175843</v>
      </c>
      <c r="CR14" s="76">
        <f t="shared" si="10"/>
        <v>-8.5749602179486715</v>
      </c>
      <c r="CS14" s="76">
        <f t="shared" si="11"/>
        <v>-13.303821792239049</v>
      </c>
      <c r="CT14" s="76">
        <f t="shared" si="12"/>
        <v>-0.41423812235009372</v>
      </c>
      <c r="CU14" s="76">
        <f t="shared" si="13"/>
        <v>1.1264529549267048</v>
      </c>
      <c r="CV14" s="76">
        <f t="shared" si="14"/>
        <v>5.0337289280566022E-2</v>
      </c>
      <c r="CW14" s="76">
        <f t="shared" si="15"/>
        <v>5.5071186851875638</v>
      </c>
      <c r="CX14" s="76">
        <f t="shared" si="16"/>
        <v>4.1853637467074503</v>
      </c>
      <c r="CY14" s="76">
        <f t="shared" si="17"/>
        <v>0.66750820428462809</v>
      </c>
      <c r="CZ14" s="76">
        <f t="shared" si="18"/>
        <v>1.5834237903820831</v>
      </c>
      <c r="DA14" s="76">
        <f t="shared" si="19"/>
        <v>-17.273041903912159</v>
      </c>
      <c r="DB14" s="76">
        <f t="shared" si="20"/>
        <v>0.54724061139534985</v>
      </c>
      <c r="DC14" s="76">
        <f t="shared" si="21"/>
        <v>5.7311626147386185</v>
      </c>
      <c r="DD14" s="76">
        <f t="shared" si="22"/>
        <v>9.5233581963451677</v>
      </c>
      <c r="DE14" s="76">
        <f t="shared" si="23"/>
        <v>5.9969494140212731</v>
      </c>
      <c r="DF14" s="76">
        <f t="shared" si="24"/>
        <v>-1.8297296506601057E-2</v>
      </c>
      <c r="DG14" s="76">
        <f t="shared" si="25"/>
        <v>2.937861311427624</v>
      </c>
      <c r="DH14" s="76">
        <f t="shared" si="26"/>
        <v>-3.1671847392095742</v>
      </c>
      <c r="DI14" s="76">
        <f t="shared" si="27"/>
        <v>0</v>
      </c>
      <c r="DJ14" s="76">
        <f t="shared" si="28"/>
        <v>34.460135544875612</v>
      </c>
      <c r="DK14" s="76">
        <f t="shared" si="29"/>
        <v>7.2430343059555469</v>
      </c>
      <c r="DL14" s="76">
        <f t="shared" si="30"/>
        <v>113.91180780900018</v>
      </c>
    </row>
    <row r="15" spans="1:116" s="48" customFormat="1" ht="12">
      <c r="A15" s="111">
        <f>IF(ISBLANK('In Process Calc.'!C15),"",'In Process Calc.'!C15)</f>
        <v>284.91666666674428</v>
      </c>
      <c r="B15" s="111">
        <f>IF(ISBLANK('Measured Data'!H19),"",'Measured Data'!H19)</f>
        <v>14.457500321960449</v>
      </c>
      <c r="C15" s="111">
        <f>IF(ISBLANK('In Process Calc.'!L15),"",'In Process Calc.'!L15)</f>
        <v>25639.273359953819</v>
      </c>
      <c r="D15" s="111">
        <f>IF(ISBLANK('In Process Calc.'!M15),"",'In Process Calc.'!M15)</f>
        <v>0</v>
      </c>
      <c r="E15" s="111">
        <f>IF(ISBLANK('In Process Calc.'!N15),"",'In Process Calc.'!N15)</f>
        <v>3932.6663466666673</v>
      </c>
      <c r="F15" s="111">
        <f>IF(ISBLANK('In Process Calc.'!O15),"",'In Process Calc.'!O15)</f>
        <v>-6.7129214444444436</v>
      </c>
      <c r="G15" s="111">
        <f>IF(ISBLANK('In Process Calc.'!P15),"",'In Process Calc.'!P15)</f>
        <v>0.98084833333333366</v>
      </c>
      <c r="H15" s="111">
        <f>IF(ISBLANK('In Process Calc.'!Q15),"",'In Process Calc.'!Q15)</f>
        <v>12.86190511111111</v>
      </c>
      <c r="I15" s="111">
        <f>IF(ISBLANK('In Process Calc.'!R15),"",'In Process Calc.'!R15)</f>
        <v>-0.74663177777777734</v>
      </c>
      <c r="J15" s="111">
        <f>IF(ISBLANK('In Process Calc.'!S15),"",'In Process Calc.'!S15)</f>
        <v>1.9650594444444445</v>
      </c>
      <c r="K15" s="111">
        <f>IF(ISBLANK('In Process Calc.'!T15),"",'In Process Calc.'!T15)</f>
        <v>92.722816786932441</v>
      </c>
      <c r="L15" s="111">
        <f>IF(ISBLANK('In Process Calc.'!U15),"",'In Process Calc.'!U15)</f>
        <v>-4.3867471111111112</v>
      </c>
      <c r="M15" s="111">
        <f>IF(ISBLANK('In Process Calc.'!V15),"",'In Process Calc.'!V15)</f>
        <v>-4.127792555555553</v>
      </c>
      <c r="N15" s="111">
        <f>IF(ISBLANK('In Process Calc.'!W15),"",'In Process Calc.'!W15)</f>
        <v>0.18238400000000016</v>
      </c>
      <c r="O15" s="111">
        <f>IF(ISBLANK('In Process Calc.'!X15),"",'In Process Calc.'!X15)</f>
        <v>1.435324111111111</v>
      </c>
      <c r="P15" s="111">
        <f>IF(ISBLANK('In Process Calc.'!Y15),"",'In Process Calc.'!Y15)</f>
        <v>1.3107136666666661</v>
      </c>
      <c r="Q15" s="111">
        <f>IF(ISBLANK('In Process Calc.'!Z15),"",'In Process Calc.'!Z15)</f>
        <v>4.9339352674166186</v>
      </c>
      <c r="R15" s="111">
        <f>IF(ISBLANK('In Process Calc.'!AA15),"",'In Process Calc.'!AA15)</f>
        <v>6.6029096666666653</v>
      </c>
      <c r="S15" s="111">
        <f>IF(ISBLANK('In Process Calc.'!AB15),"",'In Process Calc.'!AB15)</f>
        <v>3.1116707777777775</v>
      </c>
      <c r="T15" s="111">
        <f>IF(ISBLANK('In Process Calc.'!AC15),"",'In Process Calc.'!AC15)</f>
        <v>1.486834111111111</v>
      </c>
      <c r="U15" s="111">
        <f>IF(ISBLANK('In Process Calc.'!AD15),"",'In Process Calc.'!AD15)</f>
        <v>-18.48930444444445</v>
      </c>
      <c r="V15" s="111">
        <f>IF(ISBLANK('In Process Calc.'!AE15),"",'In Process Calc.'!AE15)</f>
        <v>1.6457385555555555</v>
      </c>
      <c r="W15" s="111">
        <f>IF(ISBLANK('In Process Calc.'!AF15),"",'In Process Calc.'!AF15)</f>
        <v>5.760639888888889</v>
      </c>
      <c r="X15" s="111">
        <f>IF(ISBLANK('In Process Calc.'!AG15),"",'In Process Calc.'!AG15)</f>
        <v>9.1768918888888891</v>
      </c>
      <c r="Y15" s="111">
        <f>IF(ISBLANK('In Process Calc.'!AH15),"",'In Process Calc.'!AH15)</f>
        <v>6.1534803333333317</v>
      </c>
      <c r="Z15" s="111">
        <f>IF(ISBLANK('In Process Calc.'!AI15),"",'In Process Calc.'!AI15)</f>
        <v>0.64553100000000008</v>
      </c>
      <c r="AA15" s="111">
        <f>IF(ISBLANK('In Process Calc.'!AJ15),"",'In Process Calc.'!AJ15)</f>
        <v>2.9062366666666666</v>
      </c>
      <c r="AB15" s="111">
        <f>IF(ISBLANK('In Process Calc.'!AK15),"",'In Process Calc.'!AK15)</f>
        <v>0.49193655555555349</v>
      </c>
      <c r="AC15" s="111">
        <f>IF(ISBLANK('In Process Calc.'!AL15),"",'In Process Calc.'!AL15)</f>
        <v>0</v>
      </c>
      <c r="AD15" s="111">
        <f>IF(ISBLANK('In Process Calc.'!AM15),"",'In Process Calc.'!AM15)</f>
        <v>79.243928111111117</v>
      </c>
      <c r="AE15" s="111">
        <f>IF(ISBLANK('In Process Calc.'!AN15),"",'In Process Calc.'!AN15)</f>
        <v>54.041702222222227</v>
      </c>
      <c r="AF15" s="111">
        <f>IF(ISBLANK('In Process Calc.'!AO15),"",'In Process Calc.'!AO15)</f>
        <v>257.74135111111104</v>
      </c>
      <c r="AH15" s="111">
        <f>IF(ISBLANK('In Process Calc.'!C15),"",'In Process Calc.'!C15)</f>
        <v>284.91666666674428</v>
      </c>
      <c r="AI15" s="111">
        <f>IF(ISBLANK('Measured Data'!H19),"",'Measured Data'!H19)</f>
        <v>14.457500321960449</v>
      </c>
      <c r="AJ15" s="111">
        <f>IF(ISBLANK('In Process Calc.'!L15),"",'In Process Calc.'!L15)</f>
        <v>25639.273359953819</v>
      </c>
      <c r="AK15" s="111">
        <f>IF(ISBLANK('In Process Calc.'!M15),"",'In Process Calc.'!M15)</f>
        <v>0</v>
      </c>
      <c r="AL15" s="111">
        <f>IF(ISBLANK('In Process Calc.'!N15),"",'In Process Calc.'!N15)</f>
        <v>3932.6663466666673</v>
      </c>
      <c r="AM15" s="111">
        <f>IF(ISBLANK('In Process Calc.'!O15),"",'In Process Calc.'!O15)</f>
        <v>-6.7129214444444436</v>
      </c>
      <c r="AN15" s="111">
        <f>IF(ISBLANK('In Process Calc.'!P15),"",'In Process Calc.'!P15)</f>
        <v>0.98084833333333366</v>
      </c>
      <c r="AO15" s="111">
        <f>IF(ISBLANK('In Process Calc.'!Q15),"",'In Process Calc.'!Q15)</f>
        <v>12.86190511111111</v>
      </c>
      <c r="AP15" s="111">
        <f>IF(ISBLANK('In Process Calc.'!R15),"",'In Process Calc.'!R15)</f>
        <v>-0.74663177777777734</v>
      </c>
      <c r="AQ15" s="111">
        <f>IF(ISBLANK('In Process Calc.'!S15),"",'In Process Calc.'!S15)</f>
        <v>1.9650594444444445</v>
      </c>
      <c r="AR15" s="111">
        <f>IF(ISBLANK('In Process Calc.'!T15),"",'In Process Calc.'!T15)</f>
        <v>92.722816786932441</v>
      </c>
      <c r="AS15" s="111">
        <f>IF(ISBLANK('In Process Calc.'!U15),"",'In Process Calc.'!U15)</f>
        <v>-4.3867471111111112</v>
      </c>
      <c r="AT15" s="111">
        <f>IF(ISBLANK('In Process Calc.'!V15),"",'In Process Calc.'!V15)</f>
        <v>-4.127792555555553</v>
      </c>
      <c r="AU15" s="111">
        <f>IF(ISBLANK('In Process Calc.'!W15),"",'In Process Calc.'!W15)</f>
        <v>0.18238400000000016</v>
      </c>
      <c r="AV15" s="111">
        <f>IF(ISBLANK('In Process Calc.'!X15),"",'In Process Calc.'!X15)</f>
        <v>1.435324111111111</v>
      </c>
      <c r="AW15" s="111">
        <f>IF(ISBLANK('In Process Calc.'!Y15),"",'In Process Calc.'!Y15)</f>
        <v>1.3107136666666661</v>
      </c>
      <c r="AX15" s="111">
        <f>IF(ISBLANK('In Process Calc.'!Z15),"",'In Process Calc.'!Z15)</f>
        <v>4.9339352674166186</v>
      </c>
      <c r="AY15" s="111">
        <f>IF(ISBLANK('In Process Calc.'!AA15),"",'In Process Calc.'!AA15)</f>
        <v>6.6029096666666653</v>
      </c>
      <c r="AZ15" s="111">
        <f>IF(ISBLANK('In Process Calc.'!AB15),"",'In Process Calc.'!AB15)</f>
        <v>3.1116707777777775</v>
      </c>
      <c r="BA15" s="111">
        <f>IF(ISBLANK('In Process Calc.'!AC15),"",'In Process Calc.'!AC15)</f>
        <v>1.486834111111111</v>
      </c>
      <c r="BB15" s="111">
        <f>IF(ISBLANK('In Process Calc.'!AD15),"",'In Process Calc.'!AD15)</f>
        <v>-18.48930444444445</v>
      </c>
      <c r="BC15" s="111">
        <f>IF(ISBLANK('In Process Calc.'!AE15),"",'In Process Calc.'!AE15)</f>
        <v>1.6457385555555555</v>
      </c>
      <c r="BD15" s="111">
        <f>IF(ISBLANK('In Process Calc.'!AF15),"",'In Process Calc.'!AF15)</f>
        <v>5.760639888888889</v>
      </c>
      <c r="BE15" s="111">
        <f>IF(ISBLANK('In Process Calc.'!AG15),"",'In Process Calc.'!AG15)</f>
        <v>9.1768918888888891</v>
      </c>
      <c r="BF15" s="111">
        <f>IF(ISBLANK('In Process Calc.'!AH15),"",'In Process Calc.'!AH15)</f>
        <v>6.1534803333333317</v>
      </c>
      <c r="BG15" s="111">
        <f>IF(ISBLANK('In Process Calc.'!AI15),"",'In Process Calc.'!AI15)</f>
        <v>0.64553100000000008</v>
      </c>
      <c r="BH15" s="111">
        <f>IF(ISBLANK('In Process Calc.'!AJ15),"",'In Process Calc.'!AJ15)</f>
        <v>2.9062366666666666</v>
      </c>
      <c r="BI15" s="111">
        <f>IF(ISBLANK('In Process Calc.'!AK15),"",'In Process Calc.'!AK15)</f>
        <v>0.49193655555555349</v>
      </c>
      <c r="BJ15" s="111">
        <f>IF(ISBLANK('In Process Calc.'!AL15),"",'In Process Calc.'!AL15)</f>
        <v>0</v>
      </c>
      <c r="BK15" s="111">
        <f>IF(ISBLANK('In Process Calc.'!AM15),"",'In Process Calc.'!AM15)</f>
        <v>79.243928111111117</v>
      </c>
      <c r="BL15" s="111">
        <f>IF(ISBLANK('In Process Calc.'!AN15),"",'In Process Calc.'!AN15)</f>
        <v>54.041702222222227</v>
      </c>
      <c r="BM15" s="111">
        <f>IF(ISBLANK('In Process Calc.'!AO15),"",'In Process Calc.'!AO15)</f>
        <v>257.74135111111104</v>
      </c>
      <c r="BO15" s="54" t="s">
        <v>47</v>
      </c>
      <c r="BP15" s="56">
        <f t="array" ref="BP15:BS15">LINEST($M3:INDEX($M:$M,COUNT($M:$M)+2),$A$3:INDEX($A:$A,COUNT($A:$A)+2)^{1,2,3},TRUE,TRUE)</f>
        <v>1.7847286236149065E-6</v>
      </c>
      <c r="BQ15" s="56">
        <v>-9.9760714246011883E-5</v>
      </c>
      <c r="BR15" s="56">
        <v>-0.16397246006263769</v>
      </c>
      <c r="BS15" s="56">
        <v>4.4196764538982585</v>
      </c>
      <c r="BT15" s="56">
        <f t="array" ref="BT15:BX15">LINEST($M3:INDEX($M:$M,COUNT($M:$M)+2),$A$3:INDEX($A:$A,COUNT($A:$A)+2)^{1,2,3,4},TRUE,TRUE)</f>
        <v>-5.9940754560669122E-8</v>
      </c>
      <c r="BU15" s="56">
        <v>4.1801635742926071E-5</v>
      </c>
      <c r="BV15" s="56">
        <v>-8.5126242936998612E-3</v>
      </c>
      <c r="BW15" s="56">
        <v>0.41408715910979266</v>
      </c>
      <c r="BX15" s="56">
        <v>-2.250361983391798</v>
      </c>
      <c r="BY15" s="57">
        <f>IF('Cumulative Curves'!$B$14=6,#REF!,IF('Cumulative Curves'!$B$14=5,#REF!, IF( 'Cumulative Curves'!$B$14=4, BX15,IF('Cumulative Curves'!$B$14=3, BS15, 0))))</f>
        <v>4.4196764538982585</v>
      </c>
      <c r="BZ15" s="57">
        <f>IF('Cumulative Curves'!$B$14=6,#REF!,IF('Cumulative Curves'!$B$14=5,#REF!, IF( 'Cumulative Curves'!$B$14=4, BW15,IF('Cumulative Curves'!$B$14=3, BR15, 0))))</f>
        <v>-0.16397246006263769</v>
      </c>
      <c r="CA15" s="57">
        <f>IF('Cumulative Curves'!$B$14=6,#REF!,IF('Cumulative Curves'!$B$14=5,#REF!, IF( 'Cumulative Curves'!$B$14=4, BV15,IF('Cumulative Curves'!$B$14=3, BQ15, 0))))</f>
        <v>-9.9760714246011883E-5</v>
      </c>
      <c r="CB15" s="57">
        <f>IF('Cumulative Curves'!$B$14=6,#REF!,IF('Cumulative Curves'!$B$14=5,#REF!, IF( 'Cumulative Curves'!$B$14=4, BU15,IF('Cumulative Curves'!$B$14=3, BP15, 0))))</f>
        <v>1.7847286236149065E-6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284.91666666674428</v>
      </c>
      <c r="CH15" s="76">
        <f t="shared" si="0"/>
        <v>15.396336730227169</v>
      </c>
      <c r="CI15" s="76">
        <f t="shared" si="1"/>
        <v>28214.875453113811</v>
      </c>
      <c r="CJ15" s="76">
        <f t="shared" si="2"/>
        <v>0</v>
      </c>
      <c r="CK15" s="76">
        <f t="shared" si="3"/>
        <v>3834.6520953689201</v>
      </c>
      <c r="CL15" s="76">
        <f t="shared" si="4"/>
        <v>-8.7725678509976035</v>
      </c>
      <c r="CM15" s="76">
        <f t="shared" si="5"/>
        <v>0.14444656094358521</v>
      </c>
      <c r="CN15" s="76">
        <f t="shared" si="6"/>
        <v>14.844158745229649</v>
      </c>
      <c r="CO15" s="76">
        <f t="shared" si="7"/>
        <v>-0.88908198860381304</v>
      </c>
      <c r="CP15" s="76">
        <f t="shared" si="8"/>
        <v>1.8951983005599526</v>
      </c>
      <c r="CQ15" s="76">
        <f t="shared" si="9"/>
        <v>92.040018605164065</v>
      </c>
      <c r="CR15" s="76">
        <f t="shared" si="10"/>
        <v>-5.728492809158297</v>
      </c>
      <c r="CS15" s="76">
        <f t="shared" si="11"/>
        <v>-9.1184609164338468</v>
      </c>
      <c r="CT15" s="76">
        <f t="shared" si="12"/>
        <v>-0.42139936214463347</v>
      </c>
      <c r="CU15" s="76">
        <f t="shared" si="13"/>
        <v>1.3592256211819538</v>
      </c>
      <c r="CV15" s="76">
        <f t="shared" si="14"/>
        <v>0.56792284567201401</v>
      </c>
      <c r="CW15" s="76">
        <f t="shared" si="15"/>
        <v>2.2471740531590285</v>
      </c>
      <c r="CX15" s="76">
        <f t="shared" si="16"/>
        <v>5.477912195316585</v>
      </c>
      <c r="CY15" s="76">
        <f t="shared" si="17"/>
        <v>1.9702195397656972</v>
      </c>
      <c r="CZ15" s="76">
        <f t="shared" si="18"/>
        <v>1.5190064156059861</v>
      </c>
      <c r="DA15" s="76">
        <f t="shared" si="19"/>
        <v>-18.638261915370784</v>
      </c>
      <c r="DB15" s="76">
        <f t="shared" si="20"/>
        <v>1.149088552352505</v>
      </c>
      <c r="DC15" s="76">
        <f t="shared" si="21"/>
        <v>5.6430641428336461</v>
      </c>
      <c r="DD15" s="76">
        <f t="shared" si="22"/>
        <v>9.3481256830195214</v>
      </c>
      <c r="DE15" s="76">
        <f t="shared" si="23"/>
        <v>6.1343947871181683</v>
      </c>
      <c r="DF15" s="76">
        <f t="shared" si="24"/>
        <v>0.31979386373177654</v>
      </c>
      <c r="DG15" s="76">
        <f t="shared" si="25"/>
        <v>2.9194868883232576</v>
      </c>
      <c r="DH15" s="76">
        <f t="shared" si="26"/>
        <v>-1.3578090359956789</v>
      </c>
      <c r="DI15" s="76">
        <f t="shared" si="27"/>
        <v>0</v>
      </c>
      <c r="DJ15" s="76">
        <f t="shared" si="28"/>
        <v>55.63628186488981</v>
      </c>
      <c r="DK15" s="76">
        <f t="shared" si="29"/>
        <v>28.225452098521487</v>
      </c>
      <c r="DL15" s="76">
        <f t="shared" si="30"/>
        <v>181.81084874844885</v>
      </c>
    </row>
    <row r="16" spans="1:116" s="48" customFormat="1" ht="12">
      <c r="A16" s="111">
        <f>IF(ISBLANK('In Process Calc.'!C16),"",'In Process Calc.'!C16)</f>
        <v>308.75000000005821</v>
      </c>
      <c r="B16" s="111">
        <f>IF(ISBLANK('Measured Data'!H20),"",'Measured Data'!H20)</f>
        <v>13.934400422668457</v>
      </c>
      <c r="C16" s="111">
        <f>IF(ISBLANK('In Process Calc.'!L16),"",'In Process Calc.'!L16)</f>
        <v>24612.108495146269</v>
      </c>
      <c r="D16" s="111">
        <f>IF(ISBLANK('In Process Calc.'!M16),"",'In Process Calc.'!M16)</f>
        <v>0</v>
      </c>
      <c r="E16" s="111">
        <f>IF(ISBLANK('In Process Calc.'!N16),"",'In Process Calc.'!N16)</f>
        <v>4486.9930672222226</v>
      </c>
      <c r="F16" s="111">
        <f>IF(ISBLANK('In Process Calc.'!O16),"",'In Process Calc.'!O16)</f>
        <v>-4.6902081111111107</v>
      </c>
      <c r="G16" s="111">
        <f>IF(ISBLANK('In Process Calc.'!P16),"",'In Process Calc.'!P16)</f>
        <v>1.4493301111111112</v>
      </c>
      <c r="H16" s="111">
        <f>IF(ISBLANK('In Process Calc.'!Q16),"",'In Process Calc.'!Q16)</f>
        <v>12.864150833333332</v>
      </c>
      <c r="I16" s="111">
        <f>IF(ISBLANK('In Process Calc.'!R16),"",'In Process Calc.'!R16)</f>
        <v>-0.59187627777777807</v>
      </c>
      <c r="J16" s="111">
        <f>IF(ISBLANK('In Process Calc.'!S16),"",'In Process Calc.'!S16)</f>
        <v>1.7746770555555555</v>
      </c>
      <c r="K16" s="111">
        <f>IF(ISBLANK('In Process Calc.'!T16),"",'In Process Calc.'!T16)</f>
        <v>108.72893640756354</v>
      </c>
      <c r="L16" s="111">
        <f>IF(ISBLANK('In Process Calc.'!U16),"",'In Process Calc.'!U16)</f>
        <v>-4.1148538333333331</v>
      </c>
      <c r="M16" s="111">
        <f>IF(ISBLANK('In Process Calc.'!V16),"",'In Process Calc.'!V16)</f>
        <v>-1.63320872222222</v>
      </c>
      <c r="N16" s="111">
        <f>IF(ISBLANK('In Process Calc.'!W16),"",'In Process Calc.'!W16)</f>
        <v>-0.47295055555555549</v>
      </c>
      <c r="O16" s="111">
        <f>IF(ISBLANK('In Process Calc.'!X16),"",'In Process Calc.'!X16)</f>
        <v>1.5614273888888888</v>
      </c>
      <c r="P16" s="111">
        <f>IF(ISBLANK('In Process Calc.'!Y16),"",'In Process Calc.'!Y16)</f>
        <v>1.3593265555555549</v>
      </c>
      <c r="Q16" s="111">
        <f>IF(ISBLANK('In Process Calc.'!Z16),"",'In Process Calc.'!Z16)</f>
        <v>3.1130723307677135</v>
      </c>
      <c r="R16" s="111">
        <f>IF(ISBLANK('In Process Calc.'!AA16),"",'In Process Calc.'!AA16)</f>
        <v>7.3059642777777762</v>
      </c>
      <c r="S16" s="111">
        <f>IF(ISBLANK('In Process Calc.'!AB16),"",'In Process Calc.'!AB16)</f>
        <v>4.2123419999999996</v>
      </c>
      <c r="T16" s="111">
        <f>IF(ISBLANK('In Process Calc.'!AC16),"",'In Process Calc.'!AC16)</f>
        <v>1.2763454444444442</v>
      </c>
      <c r="U16" s="111">
        <f>IF(ISBLANK('In Process Calc.'!AD16),"",'In Process Calc.'!AD16)</f>
        <v>-20.210027777777785</v>
      </c>
      <c r="V16" s="111">
        <f>IF(ISBLANK('In Process Calc.'!AE16),"",'In Process Calc.'!AE16)</f>
        <v>2.1463595555555557</v>
      </c>
      <c r="W16" s="111">
        <f>IF(ISBLANK('In Process Calc.'!AF16),"",'In Process Calc.'!AF16)</f>
        <v>5.0974608333333329</v>
      </c>
      <c r="X16" s="111">
        <f>IF(ISBLANK('In Process Calc.'!AG16),"",'In Process Calc.'!AG16)</f>
        <v>8.2478684999999992</v>
      </c>
      <c r="Y16" s="111">
        <f>IF(ISBLANK('In Process Calc.'!AH16),"",'In Process Calc.'!AH16)</f>
        <v>5.8331976111111095</v>
      </c>
      <c r="Z16" s="111">
        <f>IF(ISBLANK('In Process Calc.'!AI16),"",'In Process Calc.'!AI16)</f>
        <v>0.93895322222222233</v>
      </c>
      <c r="AA16" s="111">
        <f>IF(ISBLANK('In Process Calc.'!AJ16),"",'In Process Calc.'!AJ16)</f>
        <v>2.5875638333333333</v>
      </c>
      <c r="AB16" s="111">
        <f>IF(ISBLANK('In Process Calc.'!AK16),"",'In Process Calc.'!AK16)</f>
        <v>1.9328280555555541</v>
      </c>
      <c r="AC16" s="111">
        <f>IF(ISBLANK('In Process Calc.'!AL16),"",'In Process Calc.'!AL16)</f>
        <v>0</v>
      </c>
      <c r="AD16" s="111">
        <f>IF(ISBLANK('In Process Calc.'!AM16),"",'In Process Calc.'!AM16)</f>
        <v>90.440839944444434</v>
      </c>
      <c r="AE16" s="111">
        <f>IF(ISBLANK('In Process Calc.'!AN16),"",'In Process Calc.'!AN16)</f>
        <v>65.540604055555548</v>
      </c>
      <c r="AF16" s="111">
        <f>IF(ISBLANK('In Process Calc.'!AO16),"",'In Process Calc.'!AO16)</f>
        <v>281.99527655555556</v>
      </c>
      <c r="AH16" s="111">
        <f>IF(ISBLANK('In Process Calc.'!C16),"",'In Process Calc.'!C16)</f>
        <v>308.75000000005821</v>
      </c>
      <c r="AI16" s="111">
        <f>IF(ISBLANK('Measured Data'!H20),"",'Measured Data'!H20)</f>
        <v>13.934400422668457</v>
      </c>
      <c r="AJ16" s="111">
        <f>IF(ISBLANK('In Process Calc.'!L16),"",'In Process Calc.'!L16)</f>
        <v>24612.108495146269</v>
      </c>
      <c r="AK16" s="111">
        <f>IF(ISBLANK('In Process Calc.'!M16),"",'In Process Calc.'!M16)</f>
        <v>0</v>
      </c>
      <c r="AL16" s="111">
        <f>IF(ISBLANK('In Process Calc.'!N16),"",'In Process Calc.'!N16)</f>
        <v>4486.9930672222226</v>
      </c>
      <c r="AM16" s="111">
        <f>IF(ISBLANK('In Process Calc.'!O16),"",'In Process Calc.'!O16)</f>
        <v>-4.6902081111111107</v>
      </c>
      <c r="AN16" s="111">
        <f>IF(ISBLANK('In Process Calc.'!P16),"",'In Process Calc.'!P16)</f>
        <v>1.4493301111111112</v>
      </c>
      <c r="AO16" s="111">
        <f>IF(ISBLANK('In Process Calc.'!Q16),"",'In Process Calc.'!Q16)</f>
        <v>12.864150833333332</v>
      </c>
      <c r="AP16" s="111">
        <f>IF(ISBLANK('In Process Calc.'!R16),"",'In Process Calc.'!R16)</f>
        <v>-0.59187627777777807</v>
      </c>
      <c r="AQ16" s="111">
        <f>IF(ISBLANK('In Process Calc.'!S16),"",'In Process Calc.'!S16)</f>
        <v>1.7746770555555555</v>
      </c>
      <c r="AR16" s="111">
        <f>IF(ISBLANK('In Process Calc.'!T16),"",'In Process Calc.'!T16)</f>
        <v>108.72893640756354</v>
      </c>
      <c r="AS16" s="111">
        <f>IF(ISBLANK('In Process Calc.'!U16),"",'In Process Calc.'!U16)</f>
        <v>-4.1148538333333331</v>
      </c>
      <c r="AT16" s="111">
        <f>IF(ISBLANK('In Process Calc.'!V16),"",'In Process Calc.'!V16)</f>
        <v>-1.63320872222222</v>
      </c>
      <c r="AU16" s="111">
        <f>IF(ISBLANK('In Process Calc.'!W16),"",'In Process Calc.'!W16)</f>
        <v>-0.47295055555555549</v>
      </c>
      <c r="AV16" s="111">
        <f>IF(ISBLANK('In Process Calc.'!X16),"",'In Process Calc.'!X16)</f>
        <v>1.5614273888888888</v>
      </c>
      <c r="AW16" s="111">
        <f>IF(ISBLANK('In Process Calc.'!Y16),"",'In Process Calc.'!Y16)</f>
        <v>1.3593265555555549</v>
      </c>
      <c r="AX16" s="111">
        <f>IF(ISBLANK('In Process Calc.'!Z16),"",'In Process Calc.'!Z16)</f>
        <v>3.1130723307677135</v>
      </c>
      <c r="AY16" s="111">
        <f>IF(ISBLANK('In Process Calc.'!AA16),"",'In Process Calc.'!AA16)</f>
        <v>7.3059642777777762</v>
      </c>
      <c r="AZ16" s="111">
        <f>IF(ISBLANK('In Process Calc.'!AB16),"",'In Process Calc.'!AB16)</f>
        <v>4.2123419999999996</v>
      </c>
      <c r="BA16" s="111">
        <f>IF(ISBLANK('In Process Calc.'!AC16),"",'In Process Calc.'!AC16)</f>
        <v>1.2763454444444442</v>
      </c>
      <c r="BB16" s="111">
        <f>IF(ISBLANK('In Process Calc.'!AD16),"",'In Process Calc.'!AD16)</f>
        <v>-20.210027777777785</v>
      </c>
      <c r="BC16" s="111">
        <f>IF(ISBLANK('In Process Calc.'!AE16),"",'In Process Calc.'!AE16)</f>
        <v>2.1463595555555557</v>
      </c>
      <c r="BD16" s="111">
        <f>IF(ISBLANK('In Process Calc.'!AF16),"",'In Process Calc.'!AF16)</f>
        <v>5.0974608333333329</v>
      </c>
      <c r="BE16" s="111">
        <f>IF(ISBLANK('In Process Calc.'!AG16),"",'In Process Calc.'!AG16)</f>
        <v>8.2478684999999992</v>
      </c>
      <c r="BF16" s="111">
        <f>IF(ISBLANK('In Process Calc.'!AH16),"",'In Process Calc.'!AH16)</f>
        <v>5.8331976111111095</v>
      </c>
      <c r="BG16" s="111">
        <f>IF(ISBLANK('In Process Calc.'!AI16),"",'In Process Calc.'!AI16)</f>
        <v>0.93895322222222233</v>
      </c>
      <c r="BH16" s="111">
        <f>IF(ISBLANK('In Process Calc.'!AJ16),"",'In Process Calc.'!AJ16)</f>
        <v>2.5875638333333333</v>
      </c>
      <c r="BI16" s="111">
        <f>IF(ISBLANK('In Process Calc.'!AK16),"",'In Process Calc.'!AK16)</f>
        <v>1.9328280555555541</v>
      </c>
      <c r="BJ16" s="111">
        <f>IF(ISBLANK('In Process Calc.'!AL16),"",'In Process Calc.'!AL16)</f>
        <v>0</v>
      </c>
      <c r="BK16" s="111">
        <f>IF(ISBLANK('In Process Calc.'!AM16),"",'In Process Calc.'!AM16)</f>
        <v>90.440839944444434</v>
      </c>
      <c r="BL16" s="111">
        <f>IF(ISBLANK('In Process Calc.'!AN16),"",'In Process Calc.'!AN16)</f>
        <v>65.540604055555548</v>
      </c>
      <c r="BM16" s="111">
        <f>IF(ISBLANK('In Process Calc.'!AO16),"",'In Process Calc.'!AO16)</f>
        <v>281.99527655555556</v>
      </c>
      <c r="BO16" s="54" t="s">
        <v>51</v>
      </c>
      <c r="BP16" s="56">
        <f t="array" ref="BP16:BS16">LINEST($AU3:INDEX($AU:$AU,COUNT($AU:$AU)+2),$AH$3:INDEX($AH:$AH,COUNT($AH:$AH)+2)^{1,2,3},TRUE,TRUE)</f>
        <v>-5.867142956543067E-7</v>
      </c>
      <c r="BQ16" s="56">
        <v>3.3559594013408213E-4</v>
      </c>
      <c r="BR16" s="56">
        <v>-5.2166384573369182E-2</v>
      </c>
      <c r="BS16" s="56">
        <v>0.76884336728858127</v>
      </c>
      <c r="BT16" s="56">
        <f t="array" ref="BT16:BX16">LINEST($AU3:INDEX($AU:$AU,COUNT($AU:$AU)+2),$AH$3:INDEX($AH:$AH,COUNT($AH:$AH)+2)^{1,2,3,4},TRUE,TRUE)</f>
        <v>-7.7546107184253015E-9</v>
      </c>
      <c r="BU16" s="56">
        <v>4.5903232498366109E-6</v>
      </c>
      <c r="BV16" s="56">
        <v>-7.5278678984725983E-4</v>
      </c>
      <c r="BW16" s="56">
        <v>2.2617914549630247E-2</v>
      </c>
      <c r="BX16" s="56">
        <v>-9.4067884617096809E-2</v>
      </c>
      <c r="BY16" s="57">
        <f>IF('Cumulative Curves'!$B$15=6,#REF!,IF('Cumulative Curves'!$B$15=5,#REF!, IF( 'Cumulative Curves'!$B$15=4, BX16,IF('Cumulative Curves'!$B$15=3, BS16, 0))))</f>
        <v>0.76884336728858127</v>
      </c>
      <c r="BZ16" s="57">
        <f>IF('Cumulative Curves'!$B$15=6,#REF!,IF('Cumulative Curves'!$B$15=5,#REF!, IF( 'Cumulative Curves'!$B$15=4, BW16,IF('Cumulative Curves'!$B$15=3, BR16, 0))))</f>
        <v>-5.2166384573369182E-2</v>
      </c>
      <c r="CA16" s="57">
        <f>IF('Cumulative Curves'!$B$15=6,#REF!,IF('Cumulative Curves'!$B$15=5,#REF!, IF( 'Cumulative Curves'!$B$15=4, BV16,IF('Cumulative Curves'!$B$15=3, BQ16, 0))))</f>
        <v>3.3559594013408213E-4</v>
      </c>
      <c r="CB16" s="57">
        <f>IF('Cumulative Curves'!$B$15=6,#REF!,IF('Cumulative Curves'!$B$15=5,#REF!, IF( 'Cumulative Curves'!$B$15=4, BU16,IF('Cumulative Curves'!$B$15=3, BP16, 0))))</f>
        <v>-5.867142956543067E-7</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308.75000000005821</v>
      </c>
      <c r="CH16" s="76">
        <f t="shared" si="0"/>
        <v>14.479115541513103</v>
      </c>
      <c r="CI16" s="76">
        <f t="shared" si="1"/>
        <v>25968.741945889982</v>
      </c>
      <c r="CJ16" s="76">
        <f t="shared" si="2"/>
        <v>0</v>
      </c>
      <c r="CK16" s="76">
        <f t="shared" si="3"/>
        <v>4434.4101230834467</v>
      </c>
      <c r="CL16" s="76">
        <f t="shared" si="4"/>
        <v>-6.2844762778778005</v>
      </c>
      <c r="CM16" s="76">
        <f t="shared" si="5"/>
        <v>1.1784874486173003</v>
      </c>
      <c r="CN16" s="76">
        <f t="shared" si="6"/>
        <v>14.293295356665624</v>
      </c>
      <c r="CO16" s="76">
        <f t="shared" si="7"/>
        <v>-0.55496975589534969</v>
      </c>
      <c r="CP16" s="76">
        <f t="shared" si="8"/>
        <v>1.7805499785070005</v>
      </c>
      <c r="CQ16" s="76">
        <f t="shared" si="9"/>
        <v>107.85374397862985</v>
      </c>
      <c r="CR16" s="76">
        <f t="shared" si="10"/>
        <v>-2.8688982747536329</v>
      </c>
      <c r="CS16" s="76">
        <f t="shared" si="11"/>
        <v>-3.1883977556820895</v>
      </c>
      <c r="CT16" s="76">
        <f t="shared" si="12"/>
        <v>-0.61454034862759954</v>
      </c>
      <c r="CU16" s="76">
        <f t="shared" si="13"/>
        <v>1.5733859996581776</v>
      </c>
      <c r="CV16" s="76">
        <f t="shared" si="14"/>
        <v>1.2601605792923616</v>
      </c>
      <c r="CW16" s="76">
        <f t="shared" si="15"/>
        <v>2.0740130932929048</v>
      </c>
      <c r="CX16" s="76">
        <f t="shared" si="16"/>
        <v>7.0202969199918712</v>
      </c>
      <c r="CY16" s="76">
        <f t="shared" si="17"/>
        <v>3.7353056052639459</v>
      </c>
      <c r="CZ16" s="76">
        <f t="shared" si="18"/>
        <v>1.3492356071057987</v>
      </c>
      <c r="DA16" s="76">
        <f t="shared" si="19"/>
        <v>-19.896672716742735</v>
      </c>
      <c r="DB16" s="76">
        <f t="shared" si="20"/>
        <v>1.9464869718630107</v>
      </c>
      <c r="DC16" s="76">
        <f t="shared" si="21"/>
        <v>5.254266062859962</v>
      </c>
      <c r="DD16" s="76">
        <f t="shared" si="22"/>
        <v>8.7145746405487756</v>
      </c>
      <c r="DE16" s="76">
        <f t="shared" si="23"/>
        <v>5.9922433332346152</v>
      </c>
      <c r="DF16" s="76">
        <f t="shared" si="24"/>
        <v>0.80717077078077715</v>
      </c>
      <c r="DG16" s="76">
        <f t="shared" si="25"/>
        <v>2.7223502957854304</v>
      </c>
      <c r="DH16" s="76">
        <f t="shared" si="26"/>
        <v>1.2677302260894976</v>
      </c>
      <c r="DI16" s="76">
        <f t="shared" si="27"/>
        <v>0</v>
      </c>
      <c r="DJ16" s="76">
        <f t="shared" si="28"/>
        <v>83.136447794507447</v>
      </c>
      <c r="DK16" s="76">
        <f t="shared" si="29"/>
        <v>56.955298799886918</v>
      </c>
      <c r="DL16" s="76">
        <f t="shared" si="30"/>
        <v>265.85973759858939</v>
      </c>
    </row>
    <row r="17" spans="1:116" s="48" customFormat="1" ht="12">
      <c r="A17" s="111">
        <f>IF(ISBLANK('In Process Calc.'!C17),"",'In Process Calc.'!C17)</f>
        <v>333.09999999997672</v>
      </c>
      <c r="B17" s="111">
        <f>IF(ISBLANK('Measured Data'!H21),"",'Measured Data'!H21)</f>
        <v>13.162699563598633</v>
      </c>
      <c r="C17" s="111">
        <f>IF(ISBLANK('In Process Calc.'!L17),"",'In Process Calc.'!L17)</f>
        <v>23192.684258825007</v>
      </c>
      <c r="D17" s="111">
        <f>IF(ISBLANK('In Process Calc.'!M17),"",'In Process Calc.'!M17)</f>
        <v>0</v>
      </c>
      <c r="E17" s="111">
        <f>IF(ISBLANK('In Process Calc.'!N17),"",'In Process Calc.'!N17)</f>
        <v>4903.661315555556</v>
      </c>
      <c r="F17" s="111">
        <f>IF(ISBLANK('In Process Calc.'!O17),"",'In Process Calc.'!O17)</f>
        <v>-3.9211245555555552</v>
      </c>
      <c r="G17" s="111">
        <f>IF(ISBLANK('In Process Calc.'!P17),"",'In Process Calc.'!P17)</f>
        <v>1.8019878888888896</v>
      </c>
      <c r="H17" s="111">
        <f>IF(ISBLANK('In Process Calc.'!Q17),"",'In Process Calc.'!Q17)</f>
        <v>12.869713999999998</v>
      </c>
      <c r="I17" s="111">
        <f>IF(ISBLANK('In Process Calc.'!R17),"",'In Process Calc.'!R17)</f>
        <v>-0.60838511111111138</v>
      </c>
      <c r="J17" s="111">
        <f>IF(ISBLANK('In Process Calc.'!S17),"",'In Process Calc.'!S17)</f>
        <v>1.4601169999999999</v>
      </c>
      <c r="K17" s="111">
        <f>IF(ISBLANK('In Process Calc.'!T17),"",'In Process Calc.'!T17)</f>
        <v>124.64949700428625</v>
      </c>
      <c r="L17" s="111">
        <f>IF(ISBLANK('In Process Calc.'!U17),"",'In Process Calc.'!U17)</f>
        <v>-3.6778540000000004</v>
      </c>
      <c r="M17" s="111">
        <f>IF(ISBLANK('In Process Calc.'!V17),"",'In Process Calc.'!V17)</f>
        <v>-1.1321716666666646</v>
      </c>
      <c r="N17" s="111">
        <f>IF(ISBLANK('In Process Calc.'!W17),"",'In Process Calc.'!W17)</f>
        <v>-1.7356448888888887</v>
      </c>
      <c r="O17" s="111">
        <f>IF(ISBLANK('In Process Calc.'!X17),"",'In Process Calc.'!X17)</f>
        <v>1.6436052222222222</v>
      </c>
      <c r="P17" s="111">
        <f>IF(ISBLANK('In Process Calc.'!Y17),"",'In Process Calc.'!Y17)</f>
        <v>1.3556207777777776</v>
      </c>
      <c r="Q17" s="111">
        <f>IF(ISBLANK('In Process Calc.'!Z17),"",'In Process Calc.'!Z17)</f>
        <v>7.1047217288336304</v>
      </c>
      <c r="R17" s="111">
        <f>IF(ISBLANK('In Process Calc.'!AA17),"",'In Process Calc.'!AA17)</f>
        <v>7.6210901111111093</v>
      </c>
      <c r="S17" s="111">
        <f>IF(ISBLANK('In Process Calc.'!AB17),"",'In Process Calc.'!AB17)</f>
        <v>4.8545798888888889</v>
      </c>
      <c r="T17" s="111">
        <f>IF(ISBLANK('In Process Calc.'!AC17),"",'In Process Calc.'!AC17)</f>
        <v>1.0859205555555553</v>
      </c>
      <c r="U17" s="111">
        <f>IF(ISBLANK('In Process Calc.'!AD17),"",'In Process Calc.'!AD17)</f>
        <v>-21.498406666666675</v>
      </c>
      <c r="V17" s="111">
        <f>IF(ISBLANK('In Process Calc.'!AE17),"",'In Process Calc.'!AE17)</f>
        <v>2.436771666666667</v>
      </c>
      <c r="W17" s="111">
        <f>IF(ISBLANK('In Process Calc.'!AF17),"",'In Process Calc.'!AF17)</f>
        <v>4.4519878888888886</v>
      </c>
      <c r="X17" s="111">
        <f>IF(ISBLANK('In Process Calc.'!AG17),"",'In Process Calc.'!AG17)</f>
        <v>7.8197798888888883</v>
      </c>
      <c r="Y17" s="111">
        <f>IF(ISBLANK('In Process Calc.'!AH17),"",'In Process Calc.'!AH17)</f>
        <v>5.4971432222222205</v>
      </c>
      <c r="Z17" s="111">
        <f>IF(ISBLANK('In Process Calc.'!AI17),"",'In Process Calc.'!AI17)</f>
        <v>1.129501888888889</v>
      </c>
      <c r="AA17" s="111">
        <f>IF(ISBLANK('In Process Calc.'!AJ17),"",'In Process Calc.'!AJ17)</f>
        <v>2.336046222222222</v>
      </c>
      <c r="AB17" s="111">
        <f>IF(ISBLANK('In Process Calc.'!AK17),"",'In Process Calc.'!AK17)</f>
        <v>2.8832205555555541</v>
      </c>
      <c r="AC17" s="111">
        <f>IF(ISBLANK('In Process Calc.'!AL17),"",'In Process Calc.'!AL17)</f>
        <v>0</v>
      </c>
      <c r="AD17" s="111">
        <f>IF(ISBLANK('In Process Calc.'!AM17),"",'In Process Calc.'!AM17)</f>
        <v>94.999546111111115</v>
      </c>
      <c r="AE17" s="111">
        <f>IF(ISBLANK('In Process Calc.'!AN17),"",'In Process Calc.'!AN17)</f>
        <v>69.580014888888897</v>
      </c>
      <c r="AF17" s="111">
        <f>IF(ISBLANK('In Process Calc.'!AO17),"",'In Process Calc.'!AO17)</f>
        <v>288.64271577777777</v>
      </c>
      <c r="AH17" s="111">
        <f>IF(ISBLANK('In Process Calc.'!C17),"",'In Process Calc.'!C17)</f>
        <v>333.09999999997672</v>
      </c>
      <c r="AI17" s="111">
        <f>IF(ISBLANK('Measured Data'!H21),"",'Measured Data'!H21)</f>
        <v>13.162699563598633</v>
      </c>
      <c r="AJ17" s="111">
        <f>IF(ISBLANK('In Process Calc.'!L17),"",'In Process Calc.'!L17)</f>
        <v>23192.684258825007</v>
      </c>
      <c r="AK17" s="111">
        <f>IF(ISBLANK('In Process Calc.'!M17),"",'In Process Calc.'!M17)</f>
        <v>0</v>
      </c>
      <c r="AL17" s="111">
        <f>IF(ISBLANK('In Process Calc.'!N17),"",'In Process Calc.'!N17)</f>
        <v>4903.661315555556</v>
      </c>
      <c r="AM17" s="111">
        <f>IF(ISBLANK('In Process Calc.'!O17),"",'In Process Calc.'!O17)</f>
        <v>-3.9211245555555552</v>
      </c>
      <c r="AN17" s="111">
        <f>IF(ISBLANK('In Process Calc.'!P17),"",'In Process Calc.'!P17)</f>
        <v>1.8019878888888896</v>
      </c>
      <c r="AO17" s="111">
        <f>IF(ISBLANK('In Process Calc.'!Q17),"",'In Process Calc.'!Q17)</f>
        <v>12.869713999999998</v>
      </c>
      <c r="AP17" s="111">
        <f>IF(ISBLANK('In Process Calc.'!R17),"",'In Process Calc.'!R17)</f>
        <v>-0.60838511111111138</v>
      </c>
      <c r="AQ17" s="111">
        <f>IF(ISBLANK('In Process Calc.'!S17),"",'In Process Calc.'!S17)</f>
        <v>1.4601169999999999</v>
      </c>
      <c r="AR17" s="111">
        <f>IF(ISBLANK('In Process Calc.'!T17),"",'In Process Calc.'!T17)</f>
        <v>124.64949700428625</v>
      </c>
      <c r="AS17" s="111">
        <f>IF(ISBLANK('In Process Calc.'!U17),"",'In Process Calc.'!U17)</f>
        <v>-3.6778540000000004</v>
      </c>
      <c r="AT17" s="111">
        <f>IF(ISBLANK('In Process Calc.'!V17),"",'In Process Calc.'!V17)</f>
        <v>-1.1321716666666646</v>
      </c>
      <c r="AU17" s="111">
        <f>IF(ISBLANK('In Process Calc.'!W17),"",'In Process Calc.'!W17)</f>
        <v>-1.7356448888888887</v>
      </c>
      <c r="AV17" s="111">
        <f>IF(ISBLANK('In Process Calc.'!X17),"",'In Process Calc.'!X17)</f>
        <v>1.6436052222222222</v>
      </c>
      <c r="AW17" s="111">
        <f>IF(ISBLANK('In Process Calc.'!Y17),"",'In Process Calc.'!Y17)</f>
        <v>1.3556207777777776</v>
      </c>
      <c r="AX17" s="111">
        <f>IF(ISBLANK('In Process Calc.'!Z17),"",'In Process Calc.'!Z17)</f>
        <v>7.1047217288336304</v>
      </c>
      <c r="AY17" s="111">
        <f>IF(ISBLANK('In Process Calc.'!AA17),"",'In Process Calc.'!AA17)</f>
        <v>7.6210901111111093</v>
      </c>
      <c r="AZ17" s="111">
        <f>IF(ISBLANK('In Process Calc.'!AB17),"",'In Process Calc.'!AB17)</f>
        <v>4.8545798888888889</v>
      </c>
      <c r="BA17" s="111">
        <f>IF(ISBLANK('In Process Calc.'!AC17),"",'In Process Calc.'!AC17)</f>
        <v>1.0859205555555553</v>
      </c>
      <c r="BB17" s="111">
        <f>IF(ISBLANK('In Process Calc.'!AD17),"",'In Process Calc.'!AD17)</f>
        <v>-21.498406666666675</v>
      </c>
      <c r="BC17" s="111">
        <f>IF(ISBLANK('In Process Calc.'!AE17),"",'In Process Calc.'!AE17)</f>
        <v>2.436771666666667</v>
      </c>
      <c r="BD17" s="111">
        <f>IF(ISBLANK('In Process Calc.'!AF17),"",'In Process Calc.'!AF17)</f>
        <v>4.4519878888888886</v>
      </c>
      <c r="BE17" s="111">
        <f>IF(ISBLANK('In Process Calc.'!AG17),"",'In Process Calc.'!AG17)</f>
        <v>7.8197798888888883</v>
      </c>
      <c r="BF17" s="111">
        <f>IF(ISBLANK('In Process Calc.'!AH17),"",'In Process Calc.'!AH17)</f>
        <v>5.4971432222222205</v>
      </c>
      <c r="BG17" s="111">
        <f>IF(ISBLANK('In Process Calc.'!AI17),"",'In Process Calc.'!AI17)</f>
        <v>1.129501888888889</v>
      </c>
      <c r="BH17" s="111">
        <f>IF(ISBLANK('In Process Calc.'!AJ17),"",'In Process Calc.'!AJ17)</f>
        <v>2.336046222222222</v>
      </c>
      <c r="BI17" s="111">
        <f>IF(ISBLANK('In Process Calc.'!AK17),"",'In Process Calc.'!AK17)</f>
        <v>2.8832205555555541</v>
      </c>
      <c r="BJ17" s="111">
        <f>IF(ISBLANK('In Process Calc.'!AL17),"",'In Process Calc.'!AL17)</f>
        <v>0</v>
      </c>
      <c r="BK17" s="111">
        <f>IF(ISBLANK('In Process Calc.'!AM17),"",'In Process Calc.'!AM17)</f>
        <v>94.999546111111115</v>
      </c>
      <c r="BL17" s="111">
        <f>IF(ISBLANK('In Process Calc.'!AN17),"",'In Process Calc.'!AN17)</f>
        <v>69.580014888888897</v>
      </c>
      <c r="BM17" s="111">
        <f>IF(ISBLANK('In Process Calc.'!AO17),"",'In Process Calc.'!AO17)</f>
        <v>288.64271577777777</v>
      </c>
      <c r="BO17" s="54" t="s">
        <v>329</v>
      </c>
      <c r="BP17" s="56">
        <f t="array" ref="BP17:BS17">LINEST($AV3:INDEX($AV:$AV,COUNT($AV:$AV)+2),$AH$3:INDEX($AH:$AH,COUNT($AH:$AH)+2)^{1,2,3},TRUE,TRUE)</f>
        <v>-1.4518292562235857E-7</v>
      </c>
      <c r="BQ17" s="56">
        <v>9.9985474489209993E-5</v>
      </c>
      <c r="BR17" s="56">
        <v>-1.197546139723922E-2</v>
      </c>
      <c r="BS17" s="56">
        <v>1.2573048840394119E-2</v>
      </c>
      <c r="BT17" s="56">
        <f t="array" ref="BT17:BX17">LINEST($AV3:INDEX($AV:$AV,COUNT($AV:$AV)+2),$AH$3:INDEX($AH:$AH,COUNT($AH:$AH)+2)^{1,2,3,4},TRUE,TRUE)</f>
        <v>-2.1166424262216256E-9</v>
      </c>
      <c r="BU17" s="56">
        <v>1.2679037796705056E-6</v>
      </c>
      <c r="BV17" s="56">
        <v>-1.9709159951164035E-4</v>
      </c>
      <c r="BW17" s="56">
        <v>8.4371197221302964E-3</v>
      </c>
      <c r="BX17" s="56">
        <v>-0.22296096210715532</v>
      </c>
      <c r="BY17" s="57">
        <f>IF('Cumulative Curves'!$B$16=6,#REF!,IF('Cumulative Curves'!$B$16=5,#REF!, IF( 'Cumulative Curves'!$B$16=4, BX17,IF('Cumulative Curves'!$B$16=3, BS17, 0))))</f>
        <v>1.2573048840394119E-2</v>
      </c>
      <c r="BZ17" s="57">
        <f>IF('Cumulative Curves'!$B$16=6,#REF!,IF('Cumulative Curves'!$B$16=5,#REF!, IF( 'Cumulative Curves'!$B$16=4, BW17,IF('Cumulative Curves'!$B$16=3, BR17, 0))))</f>
        <v>-1.197546139723922E-2</v>
      </c>
      <c r="CA17" s="57">
        <f>IF('Cumulative Curves'!$B$16=6,#REF!,IF('Cumulative Curves'!$B$16=5,#REF!, IF( 'Cumulative Curves'!$B$16=4, BV17,IF('Cumulative Curves'!$B$16=3, BQ17, 0))))</f>
        <v>9.9985474489209993E-5</v>
      </c>
      <c r="CB17" s="57">
        <f>IF('Cumulative Curves'!$B$16=6,#REF!,IF('Cumulative Curves'!$B$16=5,#REF!, IF( 'Cumulative Curves'!$B$16=4, BU17,IF('Cumulative Curves'!$B$16=3, BP17, 0))))</f>
        <v>-1.4518292562235857E-7</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333.09999999997672</v>
      </c>
      <c r="CH17" s="76">
        <f t="shared" si="0"/>
        <v>12.573005470010571</v>
      </c>
      <c r="CI17" s="76">
        <f t="shared" si="1"/>
        <v>21348.371064222825</v>
      </c>
      <c r="CJ17" s="76">
        <f t="shared" si="2"/>
        <v>0</v>
      </c>
      <c r="CK17" s="76">
        <f t="shared" si="3"/>
        <v>5025.0999007718065</v>
      </c>
      <c r="CL17" s="76">
        <f t="shared" si="4"/>
        <v>-2.1758004683216257</v>
      </c>
      <c r="CM17" s="76">
        <f t="shared" si="5"/>
        <v>2.6175443032103658</v>
      </c>
      <c r="CN17" s="76">
        <f t="shared" si="6"/>
        <v>11.276655054250938</v>
      </c>
      <c r="CO17" s="76">
        <f t="shared" si="7"/>
        <v>-0.48198495068997715</v>
      </c>
      <c r="CP17" s="76">
        <f t="shared" si="8"/>
        <v>1.5304750886109382</v>
      </c>
      <c r="CQ17" s="76">
        <f t="shared" si="9"/>
        <v>125.11779358956016</v>
      </c>
      <c r="CR17" s="76">
        <f t="shared" si="10"/>
        <v>-3.9892568873283381</v>
      </c>
      <c r="CS17" s="76">
        <f t="shared" si="11"/>
        <v>4.6937841573132459</v>
      </c>
      <c r="CT17" s="76">
        <f t="shared" si="12"/>
        <v>-1.0560847830812108</v>
      </c>
      <c r="CU17" s="76">
        <f t="shared" si="13"/>
        <v>1.7516348798557235</v>
      </c>
      <c r="CV17" s="76">
        <f t="shared" si="14"/>
        <v>2.1455640296728156</v>
      </c>
      <c r="CW17" s="76">
        <f t="shared" si="15"/>
        <v>8.0746946728034459</v>
      </c>
      <c r="CX17" s="76">
        <f t="shared" si="16"/>
        <v>8.8173211911588769</v>
      </c>
      <c r="CY17" s="76">
        <f t="shared" si="17"/>
        <v>6.0221678517123465</v>
      </c>
      <c r="CZ17" s="76">
        <f t="shared" si="18"/>
        <v>1.0507881437796405</v>
      </c>
      <c r="DA17" s="76">
        <f t="shared" si="19"/>
        <v>-20.990161680617412</v>
      </c>
      <c r="DB17" s="76">
        <f t="shared" si="20"/>
        <v>2.9619345294572827</v>
      </c>
      <c r="DC17" s="76">
        <f t="shared" si="21"/>
        <v>4.4961591207957632</v>
      </c>
      <c r="DD17" s="76">
        <f t="shared" si="22"/>
        <v>7.5243681364248935</v>
      </c>
      <c r="DE17" s="76">
        <f t="shared" si="23"/>
        <v>5.4943728150597337</v>
      </c>
      <c r="DF17" s="76">
        <f t="shared" si="24"/>
        <v>1.4677998374301362</v>
      </c>
      <c r="DG17" s="76">
        <f t="shared" si="25"/>
        <v>2.3016140126759481</v>
      </c>
      <c r="DH17" s="76">
        <f t="shared" si="26"/>
        <v>4.8307114822860555</v>
      </c>
      <c r="DI17" s="76">
        <f t="shared" si="27"/>
        <v>0</v>
      </c>
      <c r="DJ17" s="76">
        <f t="shared" si="28"/>
        <v>117.6217303817713</v>
      </c>
      <c r="DK17" s="76">
        <f t="shared" si="29"/>
        <v>94.455768232832327</v>
      </c>
      <c r="DL17" s="76">
        <f t="shared" si="30"/>
        <v>366.82786531044184</v>
      </c>
    </row>
    <row r="18" spans="1:116" s="48" customFormat="1" ht="12">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58</v>
      </c>
      <c r="BP18" s="56">
        <f t="array" ref="BP18:BS18">LINEST($AW3:INDEX($AW:$AW,COUNT($AW:$AW)+2),$AH$3:INDEX($AH:$AH,COUNT($AH:$AH)+2)^{1,2,3},TRUE,TRUE)</f>
        <v>1.7109299634222267E-7</v>
      </c>
      <c r="BQ18" s="56">
        <v>-6.7141375621038152E-6</v>
      </c>
      <c r="BR18" s="56">
        <v>-1.2218422836293819E-2</v>
      </c>
      <c r="BS18" s="56">
        <v>0.63701218312504215</v>
      </c>
      <c r="BT18" s="56">
        <f t="array" ref="BT18:BX18">LINEST($AW3:INDEX($AW:$AW,COUNT($AW:$AW)+2),$AH$3:INDEX($AH:$AH,COUNT($AH:$AH)+2)^{1,2,3,4},TRUE,TRUE)</f>
        <v>-9.327345404790053E-9</v>
      </c>
      <c r="BU18" s="56">
        <v>6.3981002715914903E-6</v>
      </c>
      <c r="BV18" s="56">
        <v>-1.3158348689256245E-3</v>
      </c>
      <c r="BW18" s="56">
        <v>7.7733092991311814E-2</v>
      </c>
      <c r="BX18" s="56">
        <v>-0.40090855750995402</v>
      </c>
      <c r="BY18" s="57">
        <f>IF('Cumulative Curves'!$B$17=6,#REF!,IF('Cumulative Curves'!$B$17=5,#REF!, IF( 'Cumulative Curves'!$B$17=4, BX18,IF('Cumulative Curves'!$B$17=3, BS18, 0))))</f>
        <v>0.63701218312504215</v>
      </c>
      <c r="BZ18" s="57">
        <f>IF('Cumulative Curves'!$B$17=6,#REF!,IF('Cumulative Curves'!$B$17=5,#REF!, IF( 'Cumulative Curves'!$B$17=4, BW18,IF('Cumulative Curves'!$B$17=3, BR18, 0))))</f>
        <v>-1.2218422836293819E-2</v>
      </c>
      <c r="CA18" s="57">
        <f>IF('Cumulative Curves'!$B$17=6,#REF!,IF('Cumulative Curves'!$B$17=5,#REF!, IF( 'Cumulative Curves'!$B$17=4, BV18,IF('Cumulative Curves'!$B$17=3, BQ18, 0))))</f>
        <v>-6.7141375621038152E-6</v>
      </c>
      <c r="CB18" s="57">
        <f>IF('Cumulative Curves'!$B$17=6,#REF!,IF('Cumulative Curves'!$B$17=5,#REF!, IF( 'Cumulative Curves'!$B$17=4, BU18,IF('Cumulative Curves'!$B$17=3, BP18, 0))))</f>
        <v>1.7109299634222267E-7</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107</v>
      </c>
      <c r="BP19" s="56">
        <f t="array" ref="BP19:BS19">LINEST($Q3:INDEX($Q:$Q,COUNT($Q:$Q)+2),$A$3:INDEX($A:$A,COUNT($A:$A)+2)^{1,2,3},TRUE,TRUE)</f>
        <v>1.0933312061538062E-6</v>
      </c>
      <c r="BQ19" s="56">
        <v>-1.0765583028541361E-3</v>
      </c>
      <c r="BR19" s="56">
        <v>0.25600367241942196</v>
      </c>
      <c r="BS19" s="56">
        <v>-3.7277539550915026</v>
      </c>
      <c r="BT19" s="56">
        <f t="array" ref="BT19:BX19">LINEST($Q3:INDEX($Q:$Q,COUNT($Q:$Q)+2),$A$3:INDEX($A:$A,COUNT($A:$A)+2)^{1,2,3,4},TRUE,TRUE)</f>
        <v>4.7580875480886933E-8</v>
      </c>
      <c r="BU19" s="56">
        <v>-3.0672025915718675E-5</v>
      </c>
      <c r="BV19" s="56">
        <v>5.60155940429829E-3</v>
      </c>
      <c r="BW19" s="56">
        <v>-0.20285913239451295</v>
      </c>
      <c r="BX19" s="56">
        <v>1.566911930640714</v>
      </c>
      <c r="BY19" s="57">
        <f>IF('Cumulative Curves'!$B$18=6,CB36,IF('Cumulative Curves'!$B$18=5,BU36,IF('Cumulative Curves'!$B$18=4,BX19,IF('Cumulative Curves'!$B$18=3,BS19,0))))</f>
        <v>1.1041125600337978</v>
      </c>
      <c r="BZ19" s="57">
        <f>IF('Cumulative Curves'!$B$18=6,CA36,IF('Cumulative Curves'!$B$18=5,BT36,IF('Cumulative Curves'!$B$18=4,BW19,IF('Cumulative Curves'!$B$18=3,BR19,0))))</f>
        <v>-0.13054502297468157</v>
      </c>
      <c r="CA19" s="57">
        <f>IF('Cumulative Curves'!$B$18=6,BZ36,IF('Cumulative Curves'!$B$18=5,BS36,IF('Cumulative Curves'!$B$18=4,BV19,IF('Cumulative Curves'!$B$18=3,BQ19,0))))</f>
        <v>3.9126937944783816E-3</v>
      </c>
      <c r="CB19" s="57">
        <f>IF('Cumulative Curves'!$B$18=6,BY36,IF('Cumulative Curves'!$B$18=5,BR36, IF( 'Cumulative Curves'!$B$18=4, BU19,IF('Cumulative Curves'!$B$18=3, BP19, 0))))</f>
        <v>-1.6690978232642037E-5</v>
      </c>
      <c r="CC19" s="57">
        <f>IF('Cumulative Curves'!$B$18=6,BX36,IF('Cumulative Curves'!$B$18=5,BQ36, IF( 'Cumulative Curves'!$B$18=4,BT19, 0)))</f>
        <v>-1.5250270866931038E-11</v>
      </c>
      <c r="CD19" s="57">
        <f>IF('Cumulative Curves'!$B$18=6,BW36,IF('Cumulative Curves'!$B$18=5,BP36, 0))</f>
        <v>5.6913819928374297E-11</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59</v>
      </c>
      <c r="BP20" s="56">
        <f t="array" ref="BP20:BS20">LINEST($AY3:INDEX($AY:$AY,COUNT($AY:$AY)+2),$AH$3:INDEX($AH:$AH,COUNT($AH:$AH)+2)^{1,2,3},TRUE,TRUE)</f>
        <v>9.3622110551502866E-8</v>
      </c>
      <c r="BQ20" s="56">
        <v>1.017707464605614E-4</v>
      </c>
      <c r="BR20" s="56">
        <v>-2.0462892095796839E-2</v>
      </c>
      <c r="BS20" s="56">
        <v>0.88126634229722656</v>
      </c>
      <c r="BT20" s="56">
        <f t="array" ref="BT20:BX20">LINEST($AY3:INDEX($AY:$AY,COUNT($AY:$AY)+2),$AH$3:INDEX($AH:$AH,COUNT($AH:$AH)+2)^{1,2,3,4},TRUE,TRUE)</f>
        <v>-1.2902899043786775E-8</v>
      </c>
      <c r="BU20" s="56">
        <v>8.7076963975619496E-6</v>
      </c>
      <c r="BV20" s="56">
        <v>-1.7091895964722963E-3</v>
      </c>
      <c r="BW20" s="56">
        <v>0.10397072510070364</v>
      </c>
      <c r="BX20" s="56">
        <v>-0.55453194228095981</v>
      </c>
      <c r="BY20" s="57">
        <f>IF('Cumulative Curves'!$B$19=6,#REF!,IF('Cumulative Curves'!$B$19=5,#REF!, IF( 'Cumulative Curves'!$B$19=4, BX20,IF('Cumulative Curves'!$B$19=3, BS20, 0))))</f>
        <v>0.88126634229722656</v>
      </c>
      <c r="BZ20" s="57">
        <f>IF('Cumulative Curves'!$B$19=6,#REF!,IF('Cumulative Curves'!$B$19=5,#REF!, IF( 'Cumulative Curves'!$B$19=4, BW20,IF('Cumulative Curves'!$B$19=3, BR20, 0))))</f>
        <v>-2.0462892095796839E-2</v>
      </c>
      <c r="CA20" s="57">
        <f>IF('Cumulative Curves'!$B$19=6,#REF!,IF('Cumulative Curves'!$B$19=5,#REF!, IF( 'Cumulative Curves'!$B$19=4, BV20,IF('Cumulative Curves'!$B$19=3, BQ20, 0))))</f>
        <v>1.017707464605614E-4</v>
      </c>
      <c r="CB20" s="57">
        <f>IF('Cumulative Curves'!$B$19=6,#REF!,IF('Cumulative Curves'!$B$19=5,#REF!, IF( 'Cumulative Curves'!$B$19=4, BU20,IF('Cumulative Curves'!$B$19=3, BP20, 0))))</f>
        <v>9.3622110551502866E-8</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60</v>
      </c>
      <c r="BP21" s="56">
        <f t="array" ref="BP21:BS21">LINEST($AZ3:INDEX($AZ:$AZ,COUNT($AZ:$AZ)+2),$AH$3:INDEX($AH:$AH,COUNT($AH:$AH)+2)^{1,2,3},TRUE,TRUE)</f>
        <v>5.6407317233384079E-7</v>
      </c>
      <c r="BQ21" s="56">
        <v>-1.1065576344644189E-4</v>
      </c>
      <c r="BR21" s="56">
        <v>-9.4294175283057089E-3</v>
      </c>
      <c r="BS21" s="56">
        <v>0.59322724264515347</v>
      </c>
      <c r="BT21" s="56">
        <f t="array" ref="BT21:BX21">LINEST($AZ3:INDEX($AZ:$AZ,COUNT($AZ:$AZ)+2),$AH$3:INDEX($AH:$AH,COUNT($AH:$AH)+2)^{1,2,3,4},TRUE,TRUE)</f>
        <v>-1.0492796552047804E-8</v>
      </c>
      <c r="BU21" s="56">
        <v>7.5691445652895928E-6</v>
      </c>
      <c r="BV21" s="56">
        <v>-1.5833510374105818E-3</v>
      </c>
      <c r="BW21" s="56">
        <v>9.1761533826692249E-2</v>
      </c>
      <c r="BX21" s="56">
        <v>-0.57438162097009027</v>
      </c>
      <c r="BY21" s="57">
        <f>IF('Cumulative Curves'!$B$20=6,#REF!,IF('Cumulative Curves'!$B$20=5,#REF!, IF( 'Cumulative Curves'!$B$20=4, BX21,IF('Cumulative Curves'!$B$20=3, BS21, 0))))</f>
        <v>0.59322724264515347</v>
      </c>
      <c r="BZ21" s="57">
        <f>IF('Cumulative Curves'!$B$20=6,#REF!,IF('Cumulative Curves'!$B$20=5,#REF!, IF( 'Cumulative Curves'!$B$20=4, BW21,IF('Cumulative Curves'!$B$20=3, BR21, 0))))</f>
        <v>-9.4294175283057089E-3</v>
      </c>
      <c r="CA21" s="57">
        <f>IF('Cumulative Curves'!$B$20=6,#REF!,IF('Cumulative Curves'!$B$20=5,#REF!, IF( 'Cumulative Curves'!$B$20=4, BV21,IF('Cumulative Curves'!$B$20=3, BQ21, 0))))</f>
        <v>-1.1065576344644189E-4</v>
      </c>
      <c r="CB21" s="57">
        <f>IF('Cumulative Curves'!$B$20=6,#REF!,IF('Cumulative Curves'!$B$20=5,#REF!, IF( 'Cumulative Curves'!$B$20=4, BU21,IF('Cumulative Curves'!$B$20=3, BP21, 0))))</f>
        <v>5.6407317233384079E-7</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56</v>
      </c>
      <c r="BP22" s="56">
        <f t="array" ref="BP22:BS22">LINEST($BA3:INDEX($BA:$BA,COUNT($BA:$BA)+2),$AH$3:INDEX($AH:$AH,COUNT($AH:$AH)+2)^{1,2,3},TRUE,TRUE)</f>
        <v>-2.0007425230088832E-7</v>
      </c>
      <c r="BQ22" s="56">
        <v>7.8884922788267076E-5</v>
      </c>
      <c r="BR22" s="56">
        <v>-1.0405441514823547E-3</v>
      </c>
      <c r="BS22" s="56">
        <v>3.9275725143797624E-2</v>
      </c>
      <c r="BT22" s="56">
        <f t="array" ref="BT22:BX22">LINEST($BA3:INDEX($BA:$BA,COUNT($BA:$BA)+2),$AH$3:INDEX($AH:$AH,COUNT($AH:$AH)+2)^{1,2,3,4},TRUE,TRUE)</f>
        <v>-3.0205091475369244E-10</v>
      </c>
      <c r="BU22" s="56">
        <v>1.5772532497707611E-9</v>
      </c>
      <c r="BV22" s="56">
        <v>3.6491176521692181E-5</v>
      </c>
      <c r="BW22" s="56">
        <v>1.8723894282322128E-3</v>
      </c>
      <c r="BX22" s="56">
        <v>5.6643496082012801E-3</v>
      </c>
      <c r="BY22" s="57">
        <f>IF('Cumulative Curves'!$B$21=6,#REF!,IF('Cumulative Curves'!$B$21=5,#REF!, IF( 'Cumulative Curves'!$B$21=4, BX22,IF('Cumulative Curves'!$B$21=3, BS22, 0))))</f>
        <v>3.9275725143797624E-2</v>
      </c>
      <c r="BZ22" s="57">
        <f>IF('Cumulative Curves'!$B$21=6,#REF!,IF('Cumulative Curves'!$B$21=5,#REF!, IF( 'Cumulative Curves'!$B$21=4, BW22,IF('Cumulative Curves'!$B$21=3, BR22, 0))))</f>
        <v>-1.0405441514823547E-3</v>
      </c>
      <c r="CA22" s="57">
        <f>IF('Cumulative Curves'!$B$21=6,#REF!,IF('Cumulative Curves'!$B$21=5,#REF!, IF( 'Cumulative Curves'!$B$21=4, BV22,IF('Cumulative Curves'!$B$21=3, BQ22, 0))))</f>
        <v>7.8884922788267076E-5</v>
      </c>
      <c r="CB22" s="57">
        <f>IF('Cumulative Curves'!$B$21=6,#REF!,IF('Cumulative Curves'!$B$21=5,#REF!, IF( 'Cumulative Curves'!$B$21=4, BU22,IF('Cumulative Curves'!$B$21=3, BP22, 0))))</f>
        <v>-2.0007425230088832E-7</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106</v>
      </c>
      <c r="BP23" s="56">
        <f t="array" ref="BP23:BS23">LINEST($U3:INDEX($U:$U,COUNT($U:$U)+2),$A$3:INDEX($A:$A,COUNT($A:$A)+2)^{1,2,3},TRUE,TRUE)</f>
        <v>3.3452260825264239E-7</v>
      </c>
      <c r="BQ23" s="56">
        <v>-1.4620616188265836E-4</v>
      </c>
      <c r="BR23" s="56">
        <v>-5.4474621883226673E-2</v>
      </c>
      <c r="BS23" s="56">
        <v>1.0140027309926398</v>
      </c>
      <c r="BT23" s="56">
        <f t="array" ref="BT23:BX23">LINEST($U3:INDEX($U:$U,COUNT($U:$U)+2),$A$3:INDEX($A:$A,COUNT($A:$A)+2)^{1,2,3,4},TRUE,TRUE)</f>
        <v>-1.1940462358229384E-8</v>
      </c>
      <c r="BU23" s="56">
        <v>8.3060667880522105E-6</v>
      </c>
      <c r="BV23" s="56">
        <v>-1.8220856470785522E-3</v>
      </c>
      <c r="BW23" s="56">
        <v>6.0677400711928425E-2</v>
      </c>
      <c r="BX23" s="56">
        <v>-0.31469830842779345</v>
      </c>
      <c r="BY23" s="57">
        <f>IF('Cumulative Curves'!$B$22=6,#REF!,IF('Cumulative Curves'!$B$22=5,#REF!, IF( 'Cumulative Curves'!$B$22=4, BX23,IF('Cumulative Curves'!$B$22=3, BS23, 0))))</f>
        <v>1.0140027309926398</v>
      </c>
      <c r="BZ23" s="57">
        <f>IF('Cumulative Curves'!$B$22=6,#REF!,IF('Cumulative Curves'!$B$22=5,#REF!, IF( 'Cumulative Curves'!$B$22=4, BW23,IF('Cumulative Curves'!$B$22=3, BR23, 0))))</f>
        <v>-5.4474621883226673E-2</v>
      </c>
      <c r="CA23" s="57">
        <f>IF('Cumulative Curves'!$B$22=6,#REF!,IF('Cumulative Curves'!$B$22=5,#REF!, IF( 'Cumulative Curves'!$B$22=4, BV23,IF('Cumulative Curves'!$B$22=3, BQ23, 0))))</f>
        <v>-1.4620616188265836E-4</v>
      </c>
      <c r="CB23" s="57">
        <f>IF('Cumulative Curves'!$B$22=6,#REF!,IF('Cumulative Curves'!$B$22=5,#REF!, IF( 'Cumulative Curves'!$B$22=4, BU23,IF('Cumulative Curves'!$B$22=3, BP23, 0))))</f>
        <v>3.3452260825264239E-7</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63</v>
      </c>
      <c r="BP24" s="56">
        <f t="array" ref="BP24:BS24">LINEST($BC3:INDEX($BC:$BC,COUNT($BC:$BC)+2),$AH$3:INDEX($AH:$AH,COUNT($AH:$AH)+2)^{1,2,3},TRUE,TRUE)</f>
        <v>2.171434320029008E-7</v>
      </c>
      <c r="BQ24" s="56">
        <v>-3.0126481525944758E-5</v>
      </c>
      <c r="BR24" s="56">
        <v>-6.0860131428918671E-3</v>
      </c>
      <c r="BS24" s="56">
        <v>0.30641542288502954</v>
      </c>
      <c r="BT24" s="56">
        <f t="array" ref="BT24:BX24">LINEST($BC3:INDEX($BC:$BC,COUNT($BC:$BC)+2),$AH$3:INDEX($AH:$AH,COUNT($AH:$AH)+2)^{1,2,3,4},TRUE,TRUE)</f>
        <v>-4.9440885100546893E-9</v>
      </c>
      <c r="BU24" s="56">
        <v>3.517854811874849E-6</v>
      </c>
      <c r="BV24" s="56">
        <v>-7.2404404170173383E-4</v>
      </c>
      <c r="BW24" s="56">
        <v>4.1594032632713003E-2</v>
      </c>
      <c r="BX24" s="56">
        <v>-0.24374882915238771</v>
      </c>
      <c r="BY24" s="57">
        <f>IF('Cumulative Curves'!$B$26=6,#REF!,IF('Cumulative Curves'!$B$26=5,#REF!, IF( 'Cumulative Curves'!$B$26=4, BX24,IF('Cumulative Curves'!$B$26=3, BS24, 0))))</f>
        <v>0.30641542288502954</v>
      </c>
      <c r="BZ24" s="57">
        <f>IF('Cumulative Curves'!$B$26=6,#REF!,IF('Cumulative Curves'!$B$26=5,#REF!, IF( 'Cumulative Curves'!$B$26=4, BW24,IF('Cumulative Curves'!$B$26=3, BR24, 0))))</f>
        <v>-6.0860131428918671E-3</v>
      </c>
      <c r="CA24" s="57">
        <f>IF('Cumulative Curves'!$B$26=6,#REF!,IF('Cumulative Curves'!$B$26=5,#REF!, IF( 'Cumulative Curves'!$B$26=4, BV24,IF('Cumulative Curves'!$B$26=3, BQ24, 0))))</f>
        <v>-3.0126481525944758E-5</v>
      </c>
      <c r="CB24" s="57">
        <f>IF('Cumulative Curves'!$B$26=6,#REF!,IF('Cumulative Curves'!$B$26=5,#REF!, IF( 'Cumulative Curves'!$B$26=4, BU24,IF('Cumulative Curves'!$B$26=3, BP24, 0))))</f>
        <v>2.171434320029008E-7</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358</v>
      </c>
      <c r="BP25" s="56">
        <f t="array" ref="BP25:BS25">LINEST($BD3:INDEX($BD:$BD,COUNT($BD:$BD)+2),$AH$3:INDEX($AH:$AH,COUNT($AH:$AH)+2)^{1,2,3},TRUE,TRUE)</f>
        <v>-5.7666825814305505E-7</v>
      </c>
      <c r="BQ25" s="56">
        <v>2.2685028841449247E-4</v>
      </c>
      <c r="BR25" s="56">
        <v>1.5259989198189124E-3</v>
      </c>
      <c r="BS25" s="56">
        <v>0.13079979924895913</v>
      </c>
      <c r="BT25" s="56">
        <f t="array" ref="BT25:BX25">LINEST($BD3:INDEX($BD:$BD,COUNT($BD:$BD)+2),$AH$3:INDEX($AH:$AH,COUNT($AH:$AH)+2)^{1,2,3,4},TRUE,TRUE)</f>
        <v>-2.2221418236218407E-9</v>
      </c>
      <c r="BU25" s="56">
        <v>9.0685065338162528E-7</v>
      </c>
      <c r="BV25" s="56">
        <v>-8.5033940493696767E-5</v>
      </c>
      <c r="BW25" s="56">
        <v>2.2956000355817307E-2</v>
      </c>
      <c r="BX25" s="56">
        <v>-0.11647388766576583</v>
      </c>
      <c r="BY25" s="57">
        <f>IF('Cumulative Curves'!$B$27=6,#REF!,IF('Cumulative Curves'!$B$27=5,#REF!, IF( 'Cumulative Curves'!$B$27=4, BX25,IF('Cumulative Curves'!$B$27=3, BS25, 0))))</f>
        <v>0.13079979924895913</v>
      </c>
      <c r="BZ25" s="57">
        <f>IF('Cumulative Curves'!$B$27=6,#REF!,IF('Cumulative Curves'!$B$27=5,#REF!, IF( 'Cumulative Curves'!$B$27=4, BW25,IF('Cumulative Curves'!$B$27=3, BR25, 0))))</f>
        <v>1.5259989198189124E-3</v>
      </c>
      <c r="CA25" s="57">
        <f>IF('Cumulative Curves'!$B$27=6,#REF!,IF('Cumulative Curves'!$B$27=5,#REF!, IF( 'Cumulative Curves'!$B$27=4, BV25,IF('Cumulative Curves'!$B$27=3, BQ25, 0))))</f>
        <v>2.2685028841449247E-4</v>
      </c>
      <c r="CB25" s="57">
        <f>IF('Cumulative Curves'!$B$27=6,#REF!,IF('Cumulative Curves'!$B$27=5,#REF!, IF( 'Cumulative Curves'!$B$27=4, BU25,IF('Cumulative Curves'!$B$27=3, BP25, 0))))</f>
        <v>-5.7666825814305505E-7</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49</v>
      </c>
      <c r="BP26" s="56">
        <f t="array" ref="BP26:BS26">LINEST($BE3:INDEX($BE:$BE,COUNT($BE:$BE)+2),$AH$3:INDEX($AH:$AH,COUNT($AH:$AH)+2)^{1,2,3},TRUE,TRUE)</f>
        <v>-8.1232630689993382E-7</v>
      </c>
      <c r="BQ26" s="56">
        <v>2.9009278616555284E-4</v>
      </c>
      <c r="BR26" s="56">
        <v>1.6036657763991578E-2</v>
      </c>
      <c r="BS26" s="56">
        <v>1.8158185805589255E-2</v>
      </c>
      <c r="BT26" s="56">
        <f t="array" ref="BT26:BX26">LINEST($BE3:INDEX($BE:$BE,COUNT($BE:$BE)+2),$AH$3:INDEX($AH:$AH,COUNT($AH:$AH)+2)^{1,2,3,4},TRUE,TRUE)</f>
        <v>-4.4979772645443083E-10</v>
      </c>
      <c r="BU26" s="56">
        <v>-5.1203789755423586E-7</v>
      </c>
      <c r="BV26" s="56">
        <v>2.2696233445961835E-4</v>
      </c>
      <c r="BW26" s="56">
        <v>2.0374439367920164E-2</v>
      </c>
      <c r="BX26" s="56">
        <v>-3.1894039036191701E-2</v>
      </c>
      <c r="BY26" s="57">
        <f>IF('Cumulative Curves'!$B$28=6,#REF!,IF('Cumulative Curves'!$B$28=5,#REF!, IF( 'Cumulative Curves'!$B$28=4, BX26,IF('Cumulative Curves'!$B$28=3, BS26, 0))))</f>
        <v>1.8158185805589255E-2</v>
      </c>
      <c r="BZ26" s="57">
        <f>IF('Cumulative Curves'!$B$28=6,#REF!,IF('Cumulative Curves'!$B$28=5,#REF!, IF( 'Cumulative Curves'!$B$28=4, BW26,IF('Cumulative Curves'!$B$28=3, BR26, 0))))</f>
        <v>1.6036657763991578E-2</v>
      </c>
      <c r="CA26" s="57">
        <f>IF('Cumulative Curves'!$B$28=6,#REF!,IF('Cumulative Curves'!$B$28=5,#REF!, IF( 'Cumulative Curves'!$B$28=4, BV26,IF('Cumulative Curves'!$B$28=3, BQ26, 0))))</f>
        <v>2.9009278616555284E-4</v>
      </c>
      <c r="CB26" s="57">
        <f>IF('Cumulative Curves'!$B$28=6,#REF!,IF('Cumulative Curves'!$B$28=5,#REF!, IF( 'Cumulative Curves'!$B$28=4, BU26,IF('Cumulative Curves'!$B$28=3, BP26, 0))))</f>
        <v>-8.1232630689993382E-7</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52</v>
      </c>
      <c r="BP27" s="56">
        <f t="array" ref="BP27:BS27">LINEST($BF3:INDEX($BF:$BF,COUNT($BF:$BF)+2),$AH$3:INDEX($AH:$AH,COUNT($AH:$AH)+2)^{1,2,3},TRUE,TRUE)</f>
        <v>-6.4071678811652079E-7</v>
      </c>
      <c r="BQ27" s="56">
        <v>2.9323395505225061E-4</v>
      </c>
      <c r="BR27" s="56">
        <v>-1.0595913086522793E-2</v>
      </c>
      <c r="BS27" s="56">
        <v>0.16837186773324131</v>
      </c>
      <c r="BT27" s="56">
        <f t="array" ref="BT27:BX27">LINEST($BF3:INDEX($BF:$BF,COUNT($BF:$BF)+2),$AH$3:INDEX($AH:$AH,COUNT($AH:$AH)+2)^{1,2,3,4},TRUE,TRUE)</f>
        <v>-1.7971848780481555E-9</v>
      </c>
      <c r="BU27" s="56">
        <v>5.5909760975349285E-7</v>
      </c>
      <c r="BV27" s="56">
        <v>4.0993700205720532E-5</v>
      </c>
      <c r="BW27" s="56">
        <v>6.7358674991796763E-3</v>
      </c>
      <c r="BX27" s="56">
        <v>-3.1613806510558007E-2</v>
      </c>
      <c r="BY27" s="57">
        <f>IF('Cumulative Curves'!$B$29=6,#REF!,IF('Cumulative Curves'!$B$29=5,#REF!, IF( 'Cumulative Curves'!$B$29=4, BX27,IF('Cumulative Curves'!$B$29=3, BS27, 0))))</f>
        <v>0.16837186773324131</v>
      </c>
      <c r="BZ27" s="57">
        <f>IF('Cumulative Curves'!$B$29=6,#REF!,IF('Cumulative Curves'!$B$29=5,#REF!, IF( 'Cumulative Curves'!$B$29=4, BW27,IF('Cumulative Curves'!$B$29=3, BR27, 0))))</f>
        <v>-1.0595913086522793E-2</v>
      </c>
      <c r="CA27" s="57">
        <f>IF('Cumulative Curves'!$B$29=6,#REF!,IF('Cumulative Curves'!$B$29=5,#REF!, IF( 'Cumulative Curves'!$B$29=4, BV27,IF('Cumulative Curves'!$B$29=3, BQ27, 0))))</f>
        <v>2.9323395505225061E-4</v>
      </c>
      <c r="CB27" s="57">
        <f>IF('Cumulative Curves'!$B$29=6,#REF!,IF('Cumulative Curves'!$B$29=5,#REF!, IF( 'Cumulative Curves'!$B$29=4, BU27,IF('Cumulative Curves'!$B$29=3, BP27, 0))))</f>
        <v>-6.4071678811652079E-7</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347</v>
      </c>
      <c r="BP28" s="56">
        <f t="array" ref="BP28:BS28">LINEST($BG3:INDEX($BG:$BG,COUNT($BG:$BG)+2),$AH$3:INDEX($AH:$AH,COUNT($AH:$AH)+2)^{1,2,3},TRUE,TRUE)</f>
        <v>2.2323739036498905E-7</v>
      </c>
      <c r="BQ28" s="56">
        <v>-6.822740652645098E-5</v>
      </c>
      <c r="BR28" s="56">
        <v>1.913658465226443E-3</v>
      </c>
      <c r="BS28" s="56">
        <v>0.14987297446442271</v>
      </c>
      <c r="BT28" s="56">
        <f t="array" ref="BT28:BX28">LINEST($BG3:INDEX($BG:$BG,COUNT($BG:$BG)+2),$AH$3:INDEX($AH:$AH,COUNT($AH:$AH)+2)^{1,2,3,4},TRUE,TRUE)</f>
        <v>-3.0696867668386363E-9</v>
      </c>
      <c r="BU28" s="56">
        <v>2.2725838014053803E-6</v>
      </c>
      <c r="BV28" s="56">
        <v>-4.9906709465432589E-4</v>
      </c>
      <c r="BW28" s="56">
        <v>3.1517255824371537E-2</v>
      </c>
      <c r="BX28" s="56">
        <v>-0.19171312793491246</v>
      </c>
      <c r="BY28" s="57">
        <f>IF('Cumulative Curves'!$B$30=6,#REF!,IF('Cumulative Curves'!$B$30=5,#REF!, IF( 'Cumulative Curves'!$B$30=4, BX28,IF('Cumulative Curves'!$B$30=3, BS28, 0))))</f>
        <v>0.14987297446442271</v>
      </c>
      <c r="BZ28" s="57">
        <f>IF('Cumulative Curves'!$B$30=6,#REF!,IF('Cumulative Curves'!$B$30=5,#REF!, IF( 'Cumulative Curves'!$B$30=4, BW28,IF('Cumulative Curves'!$B$30=3, BR28, 0))))</f>
        <v>1.913658465226443E-3</v>
      </c>
      <c r="CA28" s="57">
        <f>IF('Cumulative Curves'!$B$30=6,#REF!,IF('Cumulative Curves'!$B$30=5,#REF!, IF( 'Cumulative Curves'!$B$30=4, BV28,IF('Cumulative Curves'!$B$30=3, BQ28, 0))))</f>
        <v>-6.822740652645098E-5</v>
      </c>
      <c r="CB28" s="57">
        <f>IF('Cumulative Curves'!$B$30=6,#REF!,IF('Cumulative Curves'!$B$30=5,#REF!, IF( 'Cumulative Curves'!$B$30=4, BU28,IF('Cumulative Curves'!$B$30=3, BP28, 0))))</f>
        <v>2.2323739036498905E-7</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54</v>
      </c>
      <c r="BP29" s="56">
        <f t="array" ref="BP29:BS29">LINEST($BH3:INDEX($BH:$BH,COUNT($BH:$BH)+2),$AH$3:INDEX($AH:$AH,COUNT($AH:$AH)+2)^{1,2,3},TRUE,TRUE)</f>
        <v>-3.8463862011905986E-7</v>
      </c>
      <c r="BQ29" s="56">
        <v>1.6953357863537017E-4</v>
      </c>
      <c r="BR29" s="56">
        <v>-7.1917200732343652E-3</v>
      </c>
      <c r="BS29" s="56">
        <v>0.10245375475305085</v>
      </c>
      <c r="BT29" s="56">
        <f t="array" ref="BT29:BX29">LINEST($BH3:INDEX($BH:$BH,COUNT($BH:$BH)+2),$AH$3:INDEX($AH:$AH,COUNT($AH:$AH)+2)^{1,2,3,4},TRUE,TRUE)</f>
        <v>-8.4354274063532752E-10</v>
      </c>
      <c r="BU29" s="56">
        <v>1.7851697828113871E-7</v>
      </c>
      <c r="BV29" s="56">
        <v>5.1139840478124034E-5</v>
      </c>
      <c r="BW29" s="56">
        <v>9.4327921032954089E-4</v>
      </c>
      <c r="BX29" s="56">
        <v>8.5866931057103635E-3</v>
      </c>
      <c r="BY29" s="57">
        <f>IF('Cumulative Curves'!$B$31=6,#REF!,IF('Cumulative Curves'!$B$31=5,#REF!, IF( 'Cumulative Curves'!$B$31=4, BX29,IF('Cumulative Curves'!$B$31=3, BS29, 0))))</f>
        <v>0.10245375475305085</v>
      </c>
      <c r="BZ29" s="57">
        <f>IF('Cumulative Curves'!$B$31=6,#REF!,IF('Cumulative Curves'!$B$31=5,#REF!, IF( 'Cumulative Curves'!$B$31=4, BW29,IF('Cumulative Curves'!$B$31=3, BR29, 0))))</f>
        <v>-7.1917200732343652E-3</v>
      </c>
      <c r="CA29" s="57">
        <f>IF('Cumulative Curves'!$B$31=6,#REF!,IF('Cumulative Curves'!$B$31=5,#REF!, IF( 'Cumulative Curves'!$B$31=4, BV29,IF('Cumulative Curves'!$B$31=3, BQ29, 0))))</f>
        <v>1.6953357863537017E-4</v>
      </c>
      <c r="CB29" s="57">
        <f>IF('Cumulative Curves'!$B$31=6,#REF!,IF('Cumulative Curves'!$B$31=5,#REF!, IF( 'Cumulative Curves'!$B$31=4, BU29,IF('Cumulative Curves'!$B$31=3, BP29, 0))))</f>
        <v>-3.8463862011905986E-7</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57</v>
      </c>
      <c r="BP30" s="56">
        <f t="array" ref="BP30:BS30">LINEST($BI3:INDEX($BI:$BI,COUNT($BI:$BI)+2),$AH$3:INDEX($AH:$AH,COUNT($AH:$AH)+2)^{1,2,3},TRUE,TRUE)</f>
        <v>1.0960734494977438E-6</v>
      </c>
      <c r="BQ30" s="56">
        <v>-2.6531290106689208E-4</v>
      </c>
      <c r="BR30" s="56">
        <v>-2.221092416554777E-2</v>
      </c>
      <c r="BS30" s="56">
        <v>1.1570026522169847</v>
      </c>
      <c r="BT30" s="56">
        <f t="array" ref="BT30:BX30">LINEST($BI3:INDEX($BI:$BI,COUNT($BI:$BI)+2),$AH$3:INDEX($AH:$AH,COUNT($AH:$AH)+2)^{1,2,3,4},TRUE,TRUE)</f>
        <v>-1.8484975537856947E-8</v>
      </c>
      <c r="BU30" s="56">
        <v>1.3436784783928145E-5</v>
      </c>
      <c r="BV30" s="56">
        <v>-2.859734319504838E-3</v>
      </c>
      <c r="BW30" s="56">
        <v>0.1560553989420469</v>
      </c>
      <c r="BX30" s="56">
        <v>-0.89995339135565189</v>
      </c>
      <c r="BY30" s="57">
        <f>IF('Cumulative Curves'!$B$32=6,#REF!,IF('Cumulative Curves'!$B$32=5,#REF!, IF( 'Cumulative Curves'!$B$32=4, BX30,IF('Cumulative Curves'!$B$32=3, BS30, 0))))</f>
        <v>1.1570026522169847</v>
      </c>
      <c r="BZ30" s="57">
        <f>IF('Cumulative Curves'!$B$32=6,#REF!,IF('Cumulative Curves'!$B$32=5,#REF!, IF( 'Cumulative Curves'!$B$32=4, BW30,IF('Cumulative Curves'!$B$32=3, BR30, 0))))</f>
        <v>-2.221092416554777E-2</v>
      </c>
      <c r="CA30" s="57">
        <f>IF('Cumulative Curves'!$B$32=6,#REF!,IF('Cumulative Curves'!$B$32=5,#REF!, IF( 'Cumulative Curves'!$B$32=4, BV30,IF('Cumulative Curves'!$B$32=3, BQ30, 0))))</f>
        <v>-2.6531290106689208E-4</v>
      </c>
      <c r="CB30" s="57">
        <f>IF('Cumulative Curves'!$B$32=6,#REF!,IF('Cumulative Curves'!$B$32=5,#REF!, IF( 'Cumulative Curves'!$B$32=4, BU30,IF('Cumulative Curves'!$B$32=3, BP30, 0))))</f>
        <v>1.0960734494977438E-6</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55</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111</v>
      </c>
      <c r="BP32" s="56">
        <f t="array" ref="BP32:BS32">LINEST($BK3:INDEX($BK:$BK,COUNT($BK:$BK)+2),$AH$3:INDEX($AH:$AH,COUNT($AH:$AH)+2)^{1,2,3},TRUE,TRUE)</f>
        <v>6.5625102146404232E-6</v>
      </c>
      <c r="BQ32" s="56">
        <v>-6.3645901890926014E-4</v>
      </c>
      <c r="BR32" s="56">
        <v>-0.20390317378117725</v>
      </c>
      <c r="BS32" s="56">
        <v>13.614702628109015</v>
      </c>
      <c r="BT32" s="56">
        <f t="array" ref="BT32:BX32">LINEST($BK3:INDEX($BK:$BK,COUNT($BK:$BK)+2),$AH$3:INDEX($AH:$AH,COUNT($AH:$AH)+2)^{1,2,3,4},TRUE,TRUE)</f>
        <v>-2.1651718280365041E-7</v>
      </c>
      <c r="BU32" s="56">
        <v>1.5111104080110408E-4</v>
      </c>
      <c r="BV32" s="56">
        <v>-3.1025291039552521E-2</v>
      </c>
      <c r="BW32" s="56">
        <v>1.8841559631635332</v>
      </c>
      <c r="BX32" s="56">
        <v>-10.478719989258707</v>
      </c>
      <c r="BY32" s="57">
        <f>IF('Cumulative Curves'!$B$23=6,#REF!,IF('Cumulative Curves'!$B$23=5,#REF!, IF( 'Cumulative Curves'!$B$23=4, BX32,IF('Cumulative Curves'!$B$23=3, BS32, 0))))</f>
        <v>13.614702628109015</v>
      </c>
      <c r="BZ32" s="57">
        <f>IF('Cumulative Curves'!$B$23=6,#REF!,IF('Cumulative Curves'!$B$23=5,#REF!, IF( 'Cumulative Curves'!$B$23=4, BW32,IF('Cumulative Curves'!$B$23=3, BR32, 0))))</f>
        <v>-0.20390317378117725</v>
      </c>
      <c r="CA32" s="57">
        <f>IF('Cumulative Curves'!$B$23=6,#REF!,IF('Cumulative Curves'!$B$23=5,#REF!, IF( 'Cumulative Curves'!$B$23=4, BV32,IF('Cumulative Curves'!$B$23=3, BQ32, 0))))</f>
        <v>-6.3645901890926014E-4</v>
      </c>
      <c r="CB32" s="57">
        <f>IF('Cumulative Curves'!$B$23=6,#REF!,IF('Cumulative Curves'!$B$23=5,#REF!, IF( 'Cumulative Curves'!$B$23=4, BU32,IF('Cumulative Curves'!$B$23=3, BP32, 0))))</f>
        <v>6.5625102146404232E-6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110</v>
      </c>
      <c r="BP33" s="56">
        <f t="array" ref="BP33:BS33">LINEST($BL3:INDEX($BL:$BL,COUNT($BL:$BL)+2),$AH$3:INDEX($AH:$AH,COUNT($AH:$AH)+2)^{1,2,3},TRUE,TRUE)</f>
        <v>9.6191874705510955E-6</v>
      </c>
      <c r="BQ33" s="56">
        <v>-1.9701784966472909E-3</v>
      </c>
      <c r="BR33" s="56">
        <v>-0.16892920292342264</v>
      </c>
      <c r="BS33" s="56">
        <v>13.80987545441279</v>
      </c>
      <c r="BT33" s="56">
        <f t="array" ref="BT33:BX33">LINEST($BL3:INDEX($BL:$BL,COUNT($BL:$BL)+2),$AH$3:INDEX($AH:$AH,COUNT($AH:$AH)+2)^{1,2,3,4},TRUE,TRUE)</f>
        <v>-2.3092371017008426E-7</v>
      </c>
      <c r="BU33" s="56">
        <v>1.6378562613574753E-4</v>
      </c>
      <c r="BV33" s="56">
        <v>-3.4381009577459272E-2</v>
      </c>
      <c r="BW33" s="56">
        <v>2.0580643165474366</v>
      </c>
      <c r="BX33" s="56">
        <v>-11.886664974638848</v>
      </c>
      <c r="BY33" s="57">
        <f>IF('Cumulative Curves'!$B$24=6,#REF!,IF('Cumulative Curves'!$B$24=5,#REF!, IF( 'Cumulative Curves'!$B$24=4, BX33,IF('Cumulative Curves'!$B$24=3, BS33, 0))))</f>
        <v>13.80987545441279</v>
      </c>
      <c r="BZ33" s="57">
        <f>IF('Cumulative Curves'!$B$24=6,#REF!,IF('Cumulative Curves'!$B$24=5,#REF!, IF( 'Cumulative Curves'!$B$24=4, BW33,IF('Cumulative Curves'!$B$24=3, BR33, 0))))</f>
        <v>-0.16892920292342264</v>
      </c>
      <c r="CA33" s="57">
        <f>IF('Cumulative Curves'!$B$24=6,#REF!,IF('Cumulative Curves'!$B$24=5,#REF!, IF( 'Cumulative Curves'!$B$24=4, BV33,IF('Cumulative Curves'!$B$24=3, BQ33, 0))))</f>
        <v>-1.9701784966472909E-3</v>
      </c>
      <c r="CB33" s="57">
        <f>IF('Cumulative Curves'!$B$24=6,#REF!,IF('Cumulative Curves'!$B$24=5,#REF!, IF( 'Cumulative Curves'!$B$24=4, BU33,IF('Cumulative Curves'!$B$24=3, BP33, 0))))</f>
        <v>9.6191874705510955E-6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242</v>
      </c>
      <c r="BP34" s="56">
        <f t="array" ref="BP34:BS34">LINEST($BM3:INDEX($BM:$BM,COUNT($BM:$BM)+2),$AH$3:INDEX($AH:$AH,COUNT($AH:$AH)+2)^{1,2,3},TRUE,TRUE)</f>
        <v>8.4716065696502671E-6</v>
      </c>
      <c r="BQ34" s="56">
        <v>5.0164877829591246E-3</v>
      </c>
      <c r="BR34" s="56">
        <v>-1.6920982730675895</v>
      </c>
      <c r="BS34" s="56">
        <v>60.753573379142111</v>
      </c>
      <c r="BT34" s="56">
        <f t="array" ref="BT34:BX34">LINEST($BM3:INDEX($BM:$BM,COUNT($BM:$BM)+2),$AH$3:INDEX($AH:$AH,COUNT($AH:$AH)+2)^{1,2,3,4},TRUE,TRUE)</f>
        <v>-8.6278744541531784E-7</v>
      </c>
      <c r="BU34" s="56">
        <v>5.8447511736874915E-4</v>
      </c>
      <c r="BV34" s="56">
        <v>-0.11607830205652872</v>
      </c>
      <c r="BW34" s="56">
        <v>6.6284940481173109</v>
      </c>
      <c r="BX34" s="56">
        <v>-35.254984843239072</v>
      </c>
      <c r="BY34" s="57">
        <f>IF('Cumulative Curves'!$B$3=6,#REF!,IF('Cumulative Curves'!$B$3=5,#REF!, IF( 'Cumulative Curves'!$B$3=4, BX34,IF('Cumulative Curves'!$B$3=3, BS34, 0))))</f>
        <v>60.753573379142111</v>
      </c>
      <c r="BZ34" s="57">
        <f>IF('Cumulative Curves'!$B$3=6,#REF!,IF('Cumulative Curves'!$B$3=5,#REF!, IF( 'Cumulative Curves'!$B$3=4, BW34,IF('Cumulative Curves'!$B$3=3, BR34, 0))))</f>
        <v>-1.6920982730675895</v>
      </c>
      <c r="CA34" s="57">
        <f>IF('Cumulative Curves'!$B$3=6,#REF!,IF('Cumulative Curves'!$B$3=5,#REF!, IF( 'Cumulative Curves'!$B$3=4, BV34,IF('Cumulative Curves'!$B$3=3, BQ34, 0))))</f>
        <v>5.0164877829591246E-3</v>
      </c>
      <c r="CB34" s="57">
        <f>IF('Cumulative Curves'!$B$3=6,#REF!,IF('Cumulative Curves'!$B$3=5,#REF!, IF( 'Cumulative Curves'!$B$3=4, BU34,IF('Cumulative Curves'!$B$3=3, BP34, 0))))</f>
        <v>8.4716065696502671E-6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6" t="s">
        <v>598</v>
      </c>
      <c r="BQ35" s="537"/>
      <c r="BR35" s="537"/>
      <c r="BS35" s="537"/>
      <c r="BT35" s="537"/>
      <c r="BU35" s="537"/>
      <c r="BV35" s="536" t="s">
        <v>599</v>
      </c>
      <c r="BW35" s="537"/>
      <c r="BX35" s="537"/>
      <c r="BY35" s="537"/>
      <c r="BZ35" s="537"/>
      <c r="CA35" s="537"/>
      <c r="CB35" s="537"/>
      <c r="CC35" s="49"/>
      <c r="CD35" s="49"/>
      <c r="CE35" s="49"/>
      <c r="CF35" s="49"/>
      <c r="CG35" s="534" t="s">
        <v>475</v>
      </c>
      <c r="CH35" s="534"/>
      <c r="CI35" s="534"/>
      <c r="CJ35" s="534"/>
      <c r="CK35" s="534"/>
      <c r="CL35" s="534"/>
      <c r="CM35" s="534"/>
      <c r="CN35" s="534"/>
      <c r="CO35" s="534"/>
      <c r="CP35" s="534"/>
      <c r="CQ35" s="534"/>
      <c r="CR35" s="534"/>
      <c r="CS35" s="534"/>
      <c r="CT35" s="534"/>
      <c r="CU35" s="534"/>
      <c r="CV35" s="534"/>
      <c r="CW35" s="534"/>
      <c r="CX35" s="534"/>
      <c r="CY35" s="534"/>
      <c r="CZ35" s="534"/>
      <c r="DA35" s="534"/>
      <c r="DB35" s="534"/>
      <c r="DC35" s="534"/>
      <c r="DD35" s="534"/>
      <c r="DE35" s="534"/>
      <c r="DF35" s="534"/>
      <c r="DG35" s="534"/>
      <c r="DH35" s="534"/>
      <c r="DI35" s="534"/>
      <c r="DJ35" s="534"/>
      <c r="DK35" s="534"/>
      <c r="DL35" s="534"/>
    </row>
    <row r="36" spans="1:116" s="48" customFormat="1" ht="105">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107</v>
      </c>
      <c r="BP36" s="48">
        <f t="array" ref="BP36:BU36">LINEST($Q3:INDEX($Q:$Q,COUNT($Q:$Q)+2),$A$3:INDEX($A:$A,COUNT($A:$A)+2)^{1,2,3,4,5},TRUE,TRUE)</f>
        <v>5.6913819928374297E-11</v>
      </c>
      <c r="BQ36" s="48">
        <v>-1.5250270866931038E-11</v>
      </c>
      <c r="BR36" s="48">
        <v>-1.6690978232642037E-5</v>
      </c>
      <c r="BS36" s="48">
        <v>3.9126937944783816E-3</v>
      </c>
      <c r="BT36" s="48">
        <v>-0.13054502297468157</v>
      </c>
      <c r="BU36" s="48">
        <v>1.1041125600337978</v>
      </c>
      <c r="BV36" s="48">
        <f t="array" ref="BV36:CB36">LINEST($Q3:INDEX($Q:$Q,COUNT($Q:$Q)+2),$A$3:INDEX($A:$A,COUNT($A:$A)+2)^{1,2,3,4,5,6},TRUE,TRUE)</f>
        <v>-3.1697513833069325E-12</v>
      </c>
      <c r="BW36" s="48">
        <v>3.2311971524167125E-9</v>
      </c>
      <c r="BX36" s="48">
        <v>-1.1941818804975455E-6</v>
      </c>
      <c r="BY36" s="48">
        <v>1.9109814291399133E-4</v>
      </c>
      <c r="BZ36" s="48">
        <v>-1.2523700155773721E-2</v>
      </c>
      <c r="CA36" s="48">
        <v>0.34565282965551752</v>
      </c>
      <c r="CB36" s="48">
        <v>-0.6752543203950836</v>
      </c>
      <c r="CG36" s="74" t="s">
        <v>366</v>
      </c>
      <c r="CH36" s="75" t="s">
        <v>367</v>
      </c>
      <c r="CI36" s="59" t="s">
        <v>109</v>
      </c>
      <c r="CJ36" s="59" t="s">
        <v>108</v>
      </c>
      <c r="CK36" s="59" t="s">
        <v>104</v>
      </c>
      <c r="CL36" s="59" t="s">
        <v>289</v>
      </c>
      <c r="CM36" s="59" t="s">
        <v>53</v>
      </c>
      <c r="CN36" s="59" t="s">
        <v>48</v>
      </c>
      <c r="CO36" s="59" t="s">
        <v>46</v>
      </c>
      <c r="CP36" s="59" t="s">
        <v>346</v>
      </c>
      <c r="CQ36" s="59" t="s">
        <v>105</v>
      </c>
      <c r="CR36" s="59" t="s">
        <v>50</v>
      </c>
      <c r="CS36" s="59" t="s">
        <v>47</v>
      </c>
      <c r="CT36" s="59" t="s">
        <v>51</v>
      </c>
      <c r="CU36" s="59" t="s">
        <v>329</v>
      </c>
      <c r="CV36" s="59" t="s">
        <v>58</v>
      </c>
      <c r="CW36" s="59" t="s">
        <v>107</v>
      </c>
      <c r="CX36" s="59" t="s">
        <v>59</v>
      </c>
      <c r="CY36" s="59" t="s">
        <v>60</v>
      </c>
      <c r="CZ36" s="59" t="s">
        <v>56</v>
      </c>
      <c r="DA36" s="59" t="s">
        <v>106</v>
      </c>
      <c r="DB36" s="59" t="s">
        <v>63</v>
      </c>
      <c r="DC36" s="59" t="s">
        <v>358</v>
      </c>
      <c r="DD36" s="59" t="s">
        <v>49</v>
      </c>
      <c r="DE36" s="59" t="s">
        <v>52</v>
      </c>
      <c r="DF36" s="59" t="s">
        <v>347</v>
      </c>
      <c r="DG36" s="59" t="s">
        <v>54</v>
      </c>
      <c r="DH36" s="59" t="s">
        <v>57</v>
      </c>
      <c r="DI36" s="59" t="s">
        <v>55</v>
      </c>
      <c r="DJ36" s="59" t="s">
        <v>111</v>
      </c>
      <c r="DK36" s="59" t="s">
        <v>110</v>
      </c>
      <c r="DL36" s="59" t="s">
        <v>242</v>
      </c>
    </row>
    <row r="37" spans="1:116" s="48" customFormat="1" ht="12">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50</v>
      </c>
      <c r="BP37" s="48">
        <f t="array" ref="BP37:BU37">LINEST($L3:INDEX($L:$L,COUNT($L:$L)+2),$A$3:INDEX($A:$A,COUNT($A:$A)+2)^{1,2,3,4,5},TRUE,TRUE)</f>
        <v>-1.7295551460511446E-10</v>
      </c>
      <c r="BQ37" s="48">
        <v>1.4189355964522454E-7</v>
      </c>
      <c r="BR37" s="48">
        <v>-3.867753941609533E-5</v>
      </c>
      <c r="BS37" s="48">
        <v>3.9233219553390913E-3</v>
      </c>
      <c r="BT37" s="48">
        <v>-0.14297873205333103</v>
      </c>
      <c r="BU37" s="48">
        <v>0.62542096319455709</v>
      </c>
      <c r="BV37" s="48">
        <f t="array" ref="BV37:CB37">LINEST($L3:INDEX($L:$L,COUNT($L:$L)+2),$A$3:INDEX($A:$A,COUNT($A:$A)+2)^{1,2,3,4,5,6},TRUE,TRUE)</f>
        <v>-1.016846699706742E-12</v>
      </c>
      <c r="BW37" s="48">
        <v>8.4534502075343087E-10</v>
      </c>
      <c r="BX37" s="48">
        <v>-2.4119149971962965E-7</v>
      </c>
      <c r="BY37" s="48">
        <v>2.7980584998854334E-5</v>
      </c>
      <c r="BZ37" s="48">
        <v>-1.34942373424835E-3</v>
      </c>
      <c r="CA37" s="48">
        <v>9.7841052482361916E-3</v>
      </c>
      <c r="CB37" s="48">
        <v>5.4605425590892764E-2</v>
      </c>
      <c r="CG37" s="76">
        <f>'In Process Calc.'!C3</f>
        <v>0.61666666675591841</v>
      </c>
      <c r="CH37" s="76">
        <f>$BY$4+$BZ$4*$CG37+$CA$4*$CG37^2+$CB$4*$CG37^3+$CC$4*$CG37^4+$CD$4*$CG37^5+$CE$4*$CG37^6</f>
        <v>0.80182756382087605</v>
      </c>
      <c r="CI37" s="76">
        <f>$BY$5+$BZ$5*$CG37+$CA$5*$CG37^2+$CB$5*$CG37^3+$CC$5*$CG37^4+$CD$5*$CG37^5+$CE$5*$CG37^6</f>
        <v>590.29587022942917</v>
      </c>
      <c r="CJ37" s="76">
        <f>$BY$6+$BZ$6*$CG37+$CA$6*$CG37^2+$CB$6*$CG37^3+$CC$6*$CG37^4+$CD$6*$CG37^5+$CE$6*$CG37^6</f>
        <v>0</v>
      </c>
      <c r="CK37" s="76">
        <f>$BY$7+$BZ$7*$CG37+$CA$7*$CG37^2+$CB$7*$CG37^3+$CC$7*$CG37^4+$CD$7*$CG37^5+$CE$7*$CG37^6</f>
        <v>174.64573315002318</v>
      </c>
      <c r="CL37" s="76">
        <f>$BY$8+$BZ$8*$CG37+$CA$8*$CG37^2+$CB$8*$CG37^3+$CC$8*$CG37^4+$CD$8*$CG37^5+$CE$8*$CG37^6</f>
        <v>-0.76412088572438897</v>
      </c>
      <c r="CM37" s="76">
        <f>$BY$9+$BZ$9*$CG37+$CA$9*$CG37^2+$CB$9*$CG37^3+$CC$9*$CG37^4+$CD$9*$CG37^5+$CE$9*$CG37^6</f>
        <v>0.48620727920196999</v>
      </c>
      <c r="CN37" s="76">
        <f>$BY$10+$BZ$10*$CG37+$CA$10*$CG37^2+$CB$10*$CG37^3+$CC$10*$CG37^4+$CD$10*$CG37^5+$CE$10*$CG37^6</f>
        <v>0.50230788058482367</v>
      </c>
      <c r="CO37" s="76">
        <f>$BY$11+$BZ$11*$CG37+$CA$11*$CG37^2+$CB$11*$CG37^3+$CC$11*$CG37^4+$CD$11*$CG37^5+$CE$11*$CG37^6</f>
        <v>-0.5183672843761723</v>
      </c>
      <c r="CP37" s="76">
        <f>$BY$12+$BZ$12*$CG37+$CA$12*$CG37^2+$CB$12*$CG37^3+$CC$12*$CG37^4+$CD$12*$CG37^5+$CE$12*$CG37^6</f>
        <v>8.3475721691329222E-3</v>
      </c>
      <c r="CQ37" s="76">
        <f>$BY$13+$BZ$13*$CG37+$CA$13*$CG37^2+$CB$13*$CG37^3+$CC$13*$CG37^4+$CD$13*$CG37^5+$CE$13*$CG37^6</f>
        <v>0.86632410725377806</v>
      </c>
      <c r="CR37" s="76">
        <f>$BY$14+$BZ$14*$CG37+$CA$14*$CG37^2+$CB$14*$CG37^3+$CC$14*$CG37^4+$CD$14*$CG37^5+$CE$14*$CG37^6</f>
        <v>6.0132328075487324E-2</v>
      </c>
      <c r="CS37" s="76">
        <f>$BY$15+$BZ$15*$CG37+$CA$15*$CG37^2+$CB$15*$CG37^3+$CC$15*$CG37^4+$CD$15*$CG37^5+$CE$15*$CG37^6</f>
        <v>4.3185225852560549</v>
      </c>
      <c r="CT37" s="76">
        <f>$BY$16+$BZ$16*$CG37+$CA$16*$CG37^2+$CB$16*$CG37^3+$CC$16*$CG37^4+$CD$16*$CG37^5+$CE$16*$CG37^6</f>
        <v>0.7368015788881781</v>
      </c>
      <c r="CU37" s="76">
        <f>$BY$17+$BZ$17*$CG37+$CA$17*$CG37^2+$CB$17*$CG37^3+$CC$17*$CG37^4+$CD$17*$CG37^5+$CE$17*$CG37^6</f>
        <v>5.2261691856860387E-3</v>
      </c>
      <c r="CV37" s="76">
        <f>$BY$18+$BZ$18*$CG37+$CA$18*$CG37^2+$CB$18*$CG37^3+$CC$18*$CG37^4+$CD$18*$CG37^5+$CE$18*$CG37^6</f>
        <v>0.62947497592635759</v>
      </c>
      <c r="CW37" s="76">
        <f>$BY$19+$BZ$19*$CG37+$CA$19*$CG37^2+$CB$19*$CG37^3+$CC$19*$CG37^4+$CD$19*$CG37^5+$CE$19*$CG37^6</f>
        <v>1.0250937922473458</v>
      </c>
      <c r="CX37" s="76">
        <f>$BY$20+$BZ$20*$CG37+$CA$20*$CG37^2+$CB$20*$CG37^3+$CC$20*$CG37^4+$CD$20*$CG37^5+$CE$20*$CG37^6</f>
        <v>0.86868628194446196</v>
      </c>
      <c r="CY37" s="76">
        <f>$BY$21+$BZ$21*$CG37+$CA$21*$CG37^2+$CB$21*$CG37^3+$CC$21*$CG37^4+$CD$21*$CG37^5+$CE$21*$CG37^6</f>
        <v>0.58737048751845988</v>
      </c>
      <c r="CZ37" s="76">
        <f>$BY$22+$BZ$22*$CG37+$CA$22*$CG37^2+$CB$22*$CG37^3+$CC$22*$CG37^4+$CD$22*$CG37^5+$CE$22*$CG37^6</f>
        <v>3.8664007515098957E-2</v>
      </c>
      <c r="DA37" s="76">
        <f>$BY$23+$BZ$23*$CG37+$CA$23*$CG37^2+$CB$23*$CG37^3+$CC$23*$CG37^4+$CD$23*$CG37^5+$CE$23*$CG37^6</f>
        <v>0.98035452698586756</v>
      </c>
      <c r="DB37" s="76">
        <f>$BY$24+$BZ$24*$CG37+$CA$24*$CG37^2+$CB$24*$CG37^3+$CC$24*$CG37^4+$CD$24*$CG37^5+$CE$24*$CG37^6</f>
        <v>0.30265097593605955</v>
      </c>
      <c r="DC37" s="76">
        <f>$BY$25+$BZ$25*$CG37+$CA$25*$CG37^2+$CB$25*$CG37^3+$CC$25*$CG37^4+$CD$25*$CG37^5+$CE$25*$CG37^6</f>
        <v>0.13182696280853212</v>
      </c>
      <c r="DD37" s="76">
        <f>$BY$26+$BZ$26*$CG37+$CA$26*$CG37^2+$CB$26*$CG37^3+$CC$26*$CG37^4+$CD$26*$CG37^5+$CE$26*$CG37^6</f>
        <v>2.8157583440639875E-2</v>
      </c>
      <c r="DE37" s="76">
        <f>$BY$27+$BZ$27*$CG37+$CA$27*$CG37^2+$CB$27*$CG37^3+$CC$27*$CG37^4+$CD$27*$CG37^5+$CE$27*$CG37^6</f>
        <v>0.16194908143471529</v>
      </c>
      <c r="DF37" s="76">
        <f>$BY$28+$BZ$28*$CG37+$CA$28*$CG37^2+$CB$28*$CG37^3+$CC$28*$CG37^4+$CD$28*$CG37^5+$CE$28*$CG37^6</f>
        <v>0.15102717083513978</v>
      </c>
      <c r="DG37" s="76">
        <f>$BY$29+$BZ$29*$CG37+$CA$29*$CG37^2+$CB$29*$CG37^3+$CC$29*$CG37^4+$CD$29*$CG37^5+$CE$29*$CG37^6</f>
        <v>9.808324036027144E-2</v>
      </c>
      <c r="DH37" s="76">
        <f>$BY$30+$BZ$30*$CG37+$CA$30*$CG37^2+$CB$30*$CG37^3+$CC$30*$CG37^4+$CD$30*$CG37^5+$CE$30*$CG37^6</f>
        <v>1.1432052800800838</v>
      </c>
      <c r="DI37" s="76">
        <f>$BY$31+$BZ$31*$CG37+$CA$31*$CG37^2+$CB$31*$CG37^3+$CC$31*$CG37^4+$CD$31*$CG37^5+$CE$31*$CG37^6</f>
        <v>0</v>
      </c>
      <c r="DJ37" s="76">
        <f>$BY$32+$BZ$32*$CG37+$CA$32*$CG37^2+$CB$32*$CG37^3+$CC$32*$CG37^4+$CD$32*$CG37^5+$CE$32*$CG37^6</f>
        <v>13.488721845310025</v>
      </c>
      <c r="DK37" s="76">
        <f>$BY$33+$BZ$33*$CG37+$CA$33*$CG37^2+$CB$33*$CG37^3+$CC$33*$CG37^4+$CD$33*$CG37^5+$CE$33*$CG37^6</f>
        <v>13.704955486571519</v>
      </c>
      <c r="DL37" s="76">
        <f>$BY$34+$BZ$34*$CG37+$CA$34*$CG37^2+$CB$34*$CG37^3+$CC$34*$CG37^4+$CD$34*$CG37^5+$CE$34*$CG37^6</f>
        <v>59.712022422723948</v>
      </c>
    </row>
    <row r="38" spans="1:116" s="48" customFormat="1" ht="11">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21.28333333338378</v>
      </c>
      <c r="CH38" s="76">
        <f t="shared" ref="CH38:CH60" si="31">IF(CG38&gt;0,$BY$4+$BZ$4*$CG38+$CA$4*$CG38^2+$CB$4*$CG38^3+$CC$4*$CG38^4+$CD$4*$CG38^5+$CE$4*$CG38^6,"")</f>
        <v>-1.7120145291243019E-2</v>
      </c>
      <c r="CI38" s="76">
        <f t="shared" ref="CI38:CI60" si="32">IF(CG38&gt;0,$BY$5+$BZ$5*$CG38+$CA$5*$CG38^2+$CB$5*$CG38^3+$CC$5*$CG38^4+$CD$5*$CG38^5+$CE$5*$CG38^6,"")</f>
        <v>-428.00126311365358</v>
      </c>
      <c r="CJ38" s="76">
        <f t="shared" ref="CJ38:CJ60" si="33">IF(CG38&gt;0,$BY$6+$BZ$6*$CG38+$CA$6*$CG38^2+$CB$6*$CG38^3+$CC$6*$CG38^4+$CD$6*$CG38^5+$CE$6*$CG38^6,"")</f>
        <v>0</v>
      </c>
      <c r="CK38" s="76">
        <f t="shared" ref="CK38:CK60" si="34">IF(CG38&gt;0,$BY$7+$BZ$7*$CG38+$CA$7*$CG38^2+$CB$7*$CG38^3+$CC$7*$CG38^4+$CD$7*$CG38^5+$CE$7*$CG38^6,"")</f>
        <v>-53.141012680143213</v>
      </c>
      <c r="CL38" s="76">
        <f t="shared" ref="CL38:CL60" si="35">IF(CG38&gt;0,$BY$8+$BZ$8*$CG38+$CA$8*$CG38^2+$CB$8*$CG38^3+$CC$8*$CG38^4+$CD$8*$CG38^5+$CE$8*$CG38^6,"")</f>
        <v>0.5732583022113571</v>
      </c>
      <c r="CM38" s="76">
        <f t="shared" ref="CM38:CM60" si="36">IF(CG38&gt;0,$BY$9+$BZ$9*$CG38+$CA$9*$CG38^2+$CB$9*$CG38^3+$CC$9*$CG38^4+$CD$9*$CG38^5+$CE$9*$CG38^6,"")</f>
        <v>0.52744549955186892</v>
      </c>
      <c r="CN38" s="76">
        <f t="shared" ref="CN38:CN60" si="37">IF(CG38&gt;0,$BY$10+$BZ$10*$CG38+$CA$10*$CG38^2+$CB$10*$CG38^3+$CC$10*$CG38^4+$CD$10*$CG38^5+$CE$10*$CG38^6,"")</f>
        <v>1.4592255271759063</v>
      </c>
      <c r="CO38" s="76">
        <f t="shared" ref="CO38:CO60" si="38">IF(CG38&gt;0,$BY$11+$BZ$11*$CG38+$CA$11*$CG38^2+$CB$11*$CG38^3+$CC$11*$CG38^4+$CD$11*$CG38^5+$CE$11*$CG38^6,"")</f>
        <v>0.44856027873147558</v>
      </c>
      <c r="CP38" s="76">
        <f t="shared" ref="CP38:CP60" si="39">IF(CG38&gt;0,$BY$12+$BZ$12*$CG38+$CA$12*$CG38^2+$CB$12*$CG38^3+$CC$12*$CG38^4+$CD$12*$CG38^5+$CE$12*$CG38^6,"")</f>
        <v>-1.0843031366625202E-2</v>
      </c>
      <c r="CQ38" s="76">
        <f t="shared" ref="CQ38:CQ60" si="40">IF(CG38&gt;0,$BY$13+$BZ$13*$CG38+$CA$13*$CG38^2+$CB$13*$CG38^3+$CC$13*$CG38^4+$CD$13*$CG38^5+$CE$13*$CG38^6,"")</f>
        <v>0.63805647679625932</v>
      </c>
      <c r="CR38" s="76">
        <f t="shared" ref="CR38:CR60" si="41">IF(CG38&gt;0,$BY$14+$BZ$14*$CG38+$CA$14*$CG38^2+$CB$14*$CG38^3+$CC$14*$CG38^4+$CD$14*$CG38^5+$CE$14*$CG38^6,"")</f>
        <v>-0.124552791516404</v>
      </c>
      <c r="CS38" s="76">
        <f t="shared" ref="CS38:CS60" si="42">IF(CG38&gt;0,$BY$15+$BZ$15*$CG38+$CA$15*$CG38^2+$CB$15*$CG38^3+$CC$15*$CG38^4+$CD$15*$CG38^5+$CE$15*$CG38^6,"")</f>
        <v>0.90181273700680853</v>
      </c>
      <c r="CT38" s="76">
        <f t="shared" ref="CT38:CT60" si="43">IF(CG38&gt;0,$BY$16+$BZ$16*$CG38+$CA$16*$CG38^2+$CB$16*$CG38^3+$CC$16*$CG38^4+$CD$16*$CG38^5+$CE$16*$CG38^6,"")</f>
        <v>-0.19506931379857773</v>
      </c>
      <c r="CU38" s="76">
        <f t="shared" ref="CU38:CU60" si="44">IF(CG38&gt;0,$BY$17+$BZ$17*$CG38+$CA$17*$CG38^2+$CB$17*$CG38^3+$CC$17*$CG38^4+$CD$17*$CG38^5+$CE$17*$CG38^6,"")</f>
        <v>-0.19841293834879203</v>
      </c>
      <c r="CV38" s="76">
        <f t="shared" ref="CV38:CV60" si="45">IF(CG38&gt;0,$BY$18+$BZ$18*$CG38+$CA$18*$CG38^2+$CB$18*$CG38^3+$CC$18*$CG38^4+$CD$18*$CG38^5+$CE$18*$CG38^6,"")</f>
        <v>0.37557154083725641</v>
      </c>
      <c r="CW38" s="76">
        <f t="shared" ref="CW38:CW60" si="46">IF(CG38&gt;0,$BY$19+$BZ$19*$CG38+$CA$19*$CG38^2+$CB$19*$CG38^3+$CC$19*$CG38^4+$CD$19*$CG38^5+$CE$19*$CG38^6,"")</f>
        <v>-6.2618691888924008E-2</v>
      </c>
      <c r="CX38" s="76">
        <f t="shared" ref="CX38:CX60" si="47">IF(CG38&gt;0,$BY$20+$BZ$20*$CG38+$CA$20*$CG38^2+$CB$20*$CG38^3+$CC$20*$CG38^4+$CD$20*$CG38^5+$CE$20*$CG38^6,"")</f>
        <v>0.49275053409615144</v>
      </c>
      <c r="CY38" s="76">
        <f t="shared" ref="CY38:CY60" si="48">IF(CG38&gt;0,$BY$21+$BZ$21*$CG38+$CA$21*$CG38^2+$CB$21*$CG38^3+$CC$21*$CG38^4+$CD$21*$CG38^5+$CE$21*$CG38^6,"")</f>
        <v>0.34785111789444634</v>
      </c>
      <c r="CZ38" s="76">
        <f t="shared" ref="CZ38:CZ60" si="49">IF(CG38&gt;0,$BY$22+$BZ$22*$CG38+$CA$22*$CG38^2+$CB$22*$CG38^3+$CC$22*$CG38^4+$CD$22*$CG38^5+$CE$22*$CG38^6,"")</f>
        <v>5.0933889446631631E-2</v>
      </c>
      <c r="DA38" s="76">
        <f t="shared" ref="DA38:DA60" si="50">IF(CG38&gt;0,$BY$23+$BZ$23*$CG38+$CA$23*$CG38^2+$CB$23*$CG38^3+$CC$23*$CG38^4+$CD$23*$CG38^5+$CE$23*$CG38^6,"")</f>
        <v>-0.2084022034491731</v>
      </c>
      <c r="DB38" s="76">
        <f t="shared" ref="DB38:DB60" si="51">IF(CG38&gt;0,$BY$24+$BZ$24*$CG38+$CA$24*$CG38^2+$CB$24*$CG38^3+$CC$24*$CG38^4+$CD$24*$CG38^5+$CE$24*$CG38^6,"")</f>
        <v>0.16533153920454821</v>
      </c>
      <c r="DC38" s="76">
        <f t="shared" ref="DC38:DC60" si="52">IF(CG38&gt;0,$BY$25+$BZ$25*$CG38+$CA$25*$CG38^2+$CB$25*$CG38^3+$CC$25*$CG38^4+$CD$25*$CG38^5+$CE$25*$CG38^6,"")</f>
        <v>0.2604772311347856</v>
      </c>
      <c r="DD38" s="76">
        <f t="shared" ref="DD38:DD60" si="53">IF(CG38&gt;0,$BY$26+$BZ$26*$CG38+$CA$26*$CG38^2+$CB$26*$CG38^3+$CC$26*$CG38^4+$CD$26*$CG38^5+$CE$26*$CG38^6,"")</f>
        <v>0.48304644814788622</v>
      </c>
      <c r="DE38" s="76">
        <f t="shared" ref="DE38:DE60" si="54">IF(CG38&gt;0,$BY$27+$BZ$27*$CG38+$CA$27*$CG38^2+$CB$27*$CG38^3+$CC$27*$CG38^4+$CD$27*$CG38^5+$CE$27*$CG38^6,"")</f>
        <v>6.9507610093974867E-2</v>
      </c>
      <c r="DF38" s="76">
        <f t="shared" ref="DF38:DF60" si="55">IF(CG38&gt;0,$BY$28+$BZ$28*$CG38+$CA$28*$CG38^2+$CB$28*$CG38^3+$CC$28*$CG38^4+$CD$28*$CG38^5+$CE$28*$CG38^6,"")</f>
        <v>0.16184855201421575</v>
      </c>
      <c r="DG38" s="76">
        <f t="shared" ref="DG38:DG60" si="56">IF(CG38&gt;0,$BY$29+$BZ$29*$CG38+$CA$29*$CG38^2+$CB$29*$CG38^3+$CC$29*$CG38^4+$CD$29*$CG38^5+$CE$29*$CG38^6,"")</f>
        <v>2.2477072631021684E-2</v>
      </c>
      <c r="DH38" s="76">
        <f t="shared" ref="DH38:DH60" si="57">IF(CG38&gt;0,$BY$30+$BZ$30*$CG38+$CA$30*$CG38^2+$CB$30*$CG38^3+$CC$30*$CG38^4+$CD$30*$CG38^5+$CE$30*$CG38^6,"")</f>
        <v>0.57466580560572944</v>
      </c>
      <c r="DI38" s="76">
        <f t="shared" ref="DI38:DI60" si="58">IF(CG38&gt;0,$BY$31+$BZ$31*$CG38+$CA$31*$CG38^2+$CB$31*$CG38^3+$CC$31*$CG38^4+$CD$31*$CG38^5+$CE$31*$CG38^6,"")</f>
        <v>0</v>
      </c>
      <c r="DJ38" s="76">
        <f t="shared" ref="DJ38:DJ60" si="59">IF(CG38&gt;0,$BY$32+$BZ$32*$CG38+$CA$32*$CG38^2+$CB$32*$CG38^3+$CC$32*$CG38^4+$CD$32*$CG38^5+$CE$32*$CG38^6,"")</f>
        <v>9.0499287328226128</v>
      </c>
      <c r="DK38" s="76">
        <f t="shared" ref="DK38:DK60" si="60">IF(CG38&gt;0,$BY$33+$BZ$33*$CG38+$CA$33*$CG38^2+$CB$33*$CG38^3+$CC$33*$CG38^4+$CD$33*$CG38^5+$CE$33*$CG38^6,"")</f>
        <v>9.4147848315848144</v>
      </c>
      <c r="DL38" s="76">
        <f t="shared" ref="DL38:DL60" si="61">IF(CG38&gt;0,$BY$34+$BZ$34*$CG38+$CA$34*$CG38^2+$CB$34*$CG38^3+$CC$34*$CG38^4+$CD$34*$CG38^5+$CE$34*$CG38^6,"")</f>
        <v>27.094125998010774</v>
      </c>
    </row>
    <row r="39" spans="1:116" s="48" customFormat="1" ht="11">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48.550000000046566</v>
      </c>
      <c r="CH39" s="76">
        <f t="shared" si="31"/>
        <v>0.19385111548164494</v>
      </c>
      <c r="CI39" s="76">
        <f t="shared" si="32"/>
        <v>218.98946710984126</v>
      </c>
      <c r="CJ39" s="76">
        <f t="shared" si="33"/>
        <v>0</v>
      </c>
      <c r="CK39" s="76">
        <f t="shared" si="34"/>
        <v>-180.66758798010687</v>
      </c>
      <c r="CL39" s="76">
        <f t="shared" si="35"/>
        <v>1.0363247671567266</v>
      </c>
      <c r="CM39" s="76">
        <f t="shared" si="36"/>
        <v>0.39745961652708484</v>
      </c>
      <c r="CN39" s="76">
        <f t="shared" si="37"/>
        <v>1.8073904343645155</v>
      </c>
      <c r="CO39" s="76">
        <f t="shared" si="38"/>
        <v>0.81231141877257784</v>
      </c>
      <c r="CP39" s="76">
        <f t="shared" si="39"/>
        <v>7.2106550383714385E-2</v>
      </c>
      <c r="CQ39" s="76">
        <f t="shared" si="40"/>
        <v>2.1381807269478887</v>
      </c>
      <c r="CR39" s="76">
        <f t="shared" si="41"/>
        <v>-0.57441933204104068</v>
      </c>
      <c r="CS39" s="76">
        <f t="shared" si="42"/>
        <v>-3.5720931391099366</v>
      </c>
      <c r="CT39" s="76">
        <f t="shared" si="43"/>
        <v>-1.0399425896103724</v>
      </c>
      <c r="CU39" s="76">
        <f t="shared" si="44"/>
        <v>-0.34977393595704354</v>
      </c>
      <c r="CV39" s="76">
        <f t="shared" si="45"/>
        <v>4.756126905234704E-2</v>
      </c>
      <c r="CW39" s="76">
        <f t="shared" si="46"/>
        <v>2.0939683290258264</v>
      </c>
      <c r="CX39" s="76">
        <f t="shared" si="47"/>
        <v>0.13839087597598226</v>
      </c>
      <c r="CY39" s="76">
        <f t="shared" si="48"/>
        <v>-6.0846929292109844E-2</v>
      </c>
      <c r="CZ39" s="76">
        <f t="shared" si="49"/>
        <v>0.1518011927963121</v>
      </c>
      <c r="DA39" s="76">
        <f t="shared" si="50"/>
        <v>-1.9370811982296976</v>
      </c>
      <c r="DB39" s="76">
        <f t="shared" si="51"/>
        <v>-3.5222406325423367E-2</v>
      </c>
      <c r="DC39" s="76">
        <f t="shared" si="52"/>
        <v>0.67360405508737586</v>
      </c>
      <c r="DD39" s="76">
        <f t="shared" si="53"/>
        <v>1.3875559010462553</v>
      </c>
      <c r="DE39" s="76">
        <f t="shared" si="54"/>
        <v>0.27180085972609674</v>
      </c>
      <c r="DF39" s="76">
        <f t="shared" si="55"/>
        <v>0.10750879255930827</v>
      </c>
      <c r="DG39" s="76">
        <f t="shared" si="56"/>
        <v>0.10888675192621056</v>
      </c>
      <c r="DH39" s="76">
        <f t="shared" si="57"/>
        <v>-0.42127570333811115</v>
      </c>
      <c r="DI39" s="76">
        <f t="shared" si="58"/>
        <v>0</v>
      </c>
      <c r="DJ39" s="76">
        <f t="shared" si="59"/>
        <v>2.9660005196761601</v>
      </c>
      <c r="DK39" s="76">
        <f t="shared" si="60"/>
        <v>2.0652440886032091</v>
      </c>
      <c r="DL39" s="76">
        <f t="shared" si="61"/>
        <v>-8.6039538779786131</v>
      </c>
    </row>
    <row r="40" spans="1:116" s="48" customFormat="1" ht="11">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71.050000000046566</v>
      </c>
      <c r="CH40" s="76">
        <f t="shared" si="31"/>
        <v>1.2269787055750159</v>
      </c>
      <c r="CI40" s="76">
        <f t="shared" si="32"/>
        <v>2135.3919559784808</v>
      </c>
      <c r="CJ40" s="76">
        <f t="shared" si="33"/>
        <v>0</v>
      </c>
      <c r="CK40" s="76">
        <f t="shared" si="34"/>
        <v>-151.60321792786684</v>
      </c>
      <c r="CL40" s="76">
        <f t="shared" si="35"/>
        <v>0.51815257022564731</v>
      </c>
      <c r="CM40" s="76">
        <f t="shared" si="36"/>
        <v>0.17524708429823363</v>
      </c>
      <c r="CN40" s="76">
        <f t="shared" si="37"/>
        <v>1.8035512603187385</v>
      </c>
      <c r="CO40" s="76">
        <f t="shared" si="38"/>
        <v>0.59209143988470037</v>
      </c>
      <c r="CP40" s="76">
        <f t="shared" si="39"/>
        <v>0.21524846358053637</v>
      </c>
      <c r="CQ40" s="76">
        <f t="shared" si="40"/>
        <v>4.8793091482668016</v>
      </c>
      <c r="CR40" s="76">
        <f t="shared" si="41"/>
        <v>-0.77313178941273886</v>
      </c>
      <c r="CS40" s="76">
        <f t="shared" si="42"/>
        <v>-7.0940446649997995</v>
      </c>
      <c r="CT40" s="76">
        <f t="shared" si="43"/>
        <v>-1.4538910090544999</v>
      </c>
      <c r="CU40" s="76">
        <f t="shared" si="44"/>
        <v>-0.38561898319047283</v>
      </c>
      <c r="CV40" s="76">
        <f t="shared" si="45"/>
        <v>-0.20363488549529399</v>
      </c>
      <c r="CW40" s="76">
        <f t="shared" si="46"/>
        <v>5.6967125550279913</v>
      </c>
      <c r="CX40" s="76">
        <f t="shared" si="47"/>
        <v>-2.5293756040956968E-2</v>
      </c>
      <c r="CY40" s="76">
        <f t="shared" si="48"/>
        <v>-0.43301969128322171</v>
      </c>
      <c r="CZ40" s="76">
        <f t="shared" si="49"/>
        <v>0.29180407069537762</v>
      </c>
      <c r="DA40" s="76">
        <f t="shared" si="50"/>
        <v>-3.4745003964414898</v>
      </c>
      <c r="DB40" s="76">
        <f t="shared" si="51"/>
        <v>-0.20019504607137303</v>
      </c>
      <c r="DC40" s="76">
        <f t="shared" si="52"/>
        <v>1.177553262782614</v>
      </c>
      <c r="DD40" s="76">
        <f t="shared" si="53"/>
        <v>2.3306256449824536</v>
      </c>
      <c r="DE40" s="76">
        <f t="shared" si="54"/>
        <v>0.66600289890826037</v>
      </c>
      <c r="DF40" s="76">
        <f t="shared" si="55"/>
        <v>2.1487504441326161E-2</v>
      </c>
      <c r="DG40" s="76">
        <f t="shared" si="56"/>
        <v>0.30934748316724281</v>
      </c>
      <c r="DH40" s="76">
        <f t="shared" si="57"/>
        <v>-1.3672841047870861</v>
      </c>
      <c r="DI40" s="76">
        <f t="shared" si="58"/>
        <v>0</v>
      </c>
      <c r="DJ40" s="76">
        <f t="shared" si="59"/>
        <v>-1.731767902668119</v>
      </c>
      <c r="DK40" s="76">
        <f t="shared" si="60"/>
        <v>-4.6881157288839423</v>
      </c>
      <c r="DL40" s="76">
        <f t="shared" si="61"/>
        <v>-31.107772907527142</v>
      </c>
    </row>
    <row r="41" spans="1:116" s="48" customFormat="1" ht="11">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95.53333333338378</v>
      </c>
      <c r="CH41" s="76">
        <f t="shared" si="31"/>
        <v>2.9815023901139699</v>
      </c>
      <c r="CI41" s="76">
        <f t="shared" si="32"/>
        <v>5291.3656872239044</v>
      </c>
      <c r="CJ41" s="76">
        <f t="shared" si="33"/>
        <v>0</v>
      </c>
      <c r="CK41" s="76">
        <f t="shared" si="34"/>
        <v>2.9063536582307279</v>
      </c>
      <c r="CL41" s="76">
        <f t="shared" si="35"/>
        <v>-0.73805147489142664</v>
      </c>
      <c r="CM41" s="76">
        <f t="shared" si="36"/>
        <v>-0.13804297393900805</v>
      </c>
      <c r="CN41" s="76">
        <f t="shared" si="37"/>
        <v>1.9114835468354854</v>
      </c>
      <c r="CO41" s="76">
        <f t="shared" si="38"/>
        <v>5.769727370551625E-2</v>
      </c>
      <c r="CP41" s="76">
        <f t="shared" si="39"/>
        <v>0.4281757117566718</v>
      </c>
      <c r="CQ41" s="76">
        <f t="shared" si="40"/>
        <v>9.3630255521782537</v>
      </c>
      <c r="CR41" s="76">
        <f t="shared" si="41"/>
        <v>-1.0664851831293864</v>
      </c>
      <c r="CS41" s="76">
        <f t="shared" si="42"/>
        <v>-10.599539001173429</v>
      </c>
      <c r="CT41" s="76">
        <f t="shared" si="43"/>
        <v>-1.6634833412212267</v>
      </c>
      <c r="CU41" s="76">
        <f t="shared" si="44"/>
        <v>-0.34553793147167777</v>
      </c>
      <c r="CV41" s="76">
        <f t="shared" si="45"/>
        <v>-0.4423565092389749</v>
      </c>
      <c r="CW41" s="76">
        <f t="shared" si="46"/>
        <v>10.241190679568533</v>
      </c>
      <c r="CX41" s="76">
        <f t="shared" si="47"/>
        <v>-6.3170481204104068E-2</v>
      </c>
      <c r="CY41" s="76">
        <f t="shared" si="48"/>
        <v>-0.82569603726823004</v>
      </c>
      <c r="CZ41" s="76">
        <f t="shared" si="49"/>
        <v>0.48537762861621647</v>
      </c>
      <c r="DA41" s="76">
        <f t="shared" si="50"/>
        <v>-5.2328382387526968</v>
      </c>
      <c r="DB41" s="76">
        <f t="shared" si="51"/>
        <v>-0.3606280440354927</v>
      </c>
      <c r="DC41" s="76">
        <f t="shared" si="52"/>
        <v>1.8441645643323579</v>
      </c>
      <c r="DD41" s="76">
        <f t="shared" si="53"/>
        <v>3.4894953018828683</v>
      </c>
      <c r="DE41" s="76">
        <f t="shared" si="54"/>
        <v>1.2737046534915932</v>
      </c>
      <c r="DF41" s="76">
        <f t="shared" si="55"/>
        <v>-9.5354478369072154E-2</v>
      </c>
      <c r="DG41" s="76">
        <f t="shared" si="56"/>
        <v>0.62730797814031847</v>
      </c>
      <c r="DH41" s="76">
        <f t="shared" si="57"/>
        <v>-2.4306281136114865</v>
      </c>
      <c r="DI41" s="76">
        <f t="shared" si="58"/>
        <v>0</v>
      </c>
      <c r="DJ41" s="76">
        <f t="shared" si="59"/>
        <v>-5.9517375981024845</v>
      </c>
      <c r="DK41" s="76">
        <f t="shared" si="60"/>
        <v>-11.922627311746592</v>
      </c>
      <c r="DL41" s="76">
        <f t="shared" si="61"/>
        <v>-47.728286661047491</v>
      </c>
    </row>
    <row r="42" spans="1:116" s="48" customFormat="1" ht="11">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115.96666666679084</v>
      </c>
      <c r="CH42" s="76">
        <f t="shared" si="31"/>
        <v>4.7774479936004646</v>
      </c>
      <c r="CI42" s="76">
        <f t="shared" si="32"/>
        <v>8526.2513197080007</v>
      </c>
      <c r="CJ42" s="76">
        <f t="shared" si="33"/>
        <v>0</v>
      </c>
      <c r="CK42" s="76">
        <f t="shared" si="34"/>
        <v>218.97821013136053</v>
      </c>
      <c r="CL42" s="76">
        <f t="shared" si="35"/>
        <v>-2.170433405719808</v>
      </c>
      <c r="CM42" s="76">
        <f t="shared" si="36"/>
        <v>-0.42279154014147946</v>
      </c>
      <c r="CN42" s="76">
        <f t="shared" si="37"/>
        <v>2.3008307391009968</v>
      </c>
      <c r="CO42" s="76">
        <f t="shared" si="38"/>
        <v>-0.48065247604373085</v>
      </c>
      <c r="CP42" s="76">
        <f t="shared" si="39"/>
        <v>0.63732016457437912</v>
      </c>
      <c r="CQ42" s="76">
        <f t="shared" si="40"/>
        <v>14.271247706541011</v>
      </c>
      <c r="CR42" s="76">
        <f t="shared" si="41"/>
        <v>-1.6854752837713223</v>
      </c>
      <c r="CS42" s="76">
        <f t="shared" si="42"/>
        <v>-13.153897034716945</v>
      </c>
      <c r="CT42" s="76">
        <f t="shared" si="43"/>
        <v>-1.6825450369925226</v>
      </c>
      <c r="CU42" s="76">
        <f t="shared" si="44"/>
        <v>-0.25797000223259103</v>
      </c>
      <c r="CV42" s="76">
        <f t="shared" si="45"/>
        <v>-0.60338288792435879</v>
      </c>
      <c r="CW42" s="76">
        <f t="shared" si="46"/>
        <v>13.744677091425928</v>
      </c>
      <c r="CX42" s="76">
        <f t="shared" si="47"/>
        <v>2.290164209132789E-2</v>
      </c>
      <c r="CY42" s="76">
        <f t="shared" si="48"/>
        <v>-1.1086984550745029</v>
      </c>
      <c r="CZ42" s="76">
        <f t="shared" si="49"/>
        <v>0.66744689610378893</v>
      </c>
      <c r="DA42" s="76">
        <f t="shared" si="50"/>
        <v>-6.7477522056548258</v>
      </c>
      <c r="DB42" s="76">
        <f t="shared" si="51"/>
        <v>-0.46586201515779851</v>
      </c>
      <c r="DC42" s="76">
        <f t="shared" si="52"/>
        <v>2.4591647957740008</v>
      </c>
      <c r="DD42" s="76">
        <f t="shared" si="53"/>
        <v>4.5122572690063389</v>
      </c>
      <c r="DE42" s="76">
        <f t="shared" si="54"/>
        <v>1.8838575249689906</v>
      </c>
      <c r="DF42" s="76">
        <f t="shared" si="55"/>
        <v>-0.19759681718757804</v>
      </c>
      <c r="DG42" s="76">
        <f t="shared" si="56"/>
        <v>0.94852345050095688</v>
      </c>
      <c r="DH42" s="76">
        <f t="shared" si="57"/>
        <v>-3.2773409149311838</v>
      </c>
      <c r="DI42" s="76">
        <f t="shared" si="58"/>
        <v>0</v>
      </c>
      <c r="DJ42" s="76">
        <f t="shared" si="59"/>
        <v>-8.3559721064249572</v>
      </c>
      <c r="DK42" s="76">
        <f t="shared" si="60"/>
        <v>-17.274157717799568</v>
      </c>
      <c r="DL42" s="76">
        <f t="shared" si="61"/>
        <v>-54.798451322052657</v>
      </c>
    </row>
    <row r="43" spans="1:116" s="48" customFormat="1" ht="11">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141.16666666668607</v>
      </c>
      <c r="CH43" s="76">
        <f t="shared" si="31"/>
        <v>7.1992478283758583</v>
      </c>
      <c r="CI43" s="76">
        <f t="shared" si="32"/>
        <v>12938.714885237951</v>
      </c>
      <c r="CJ43" s="76">
        <f t="shared" si="33"/>
        <v>0</v>
      </c>
      <c r="CK43" s="76">
        <f t="shared" si="34"/>
        <v>580.37870506346553</v>
      </c>
      <c r="CL43" s="76">
        <f t="shared" si="35"/>
        <v>-4.1985759245115135</v>
      </c>
      <c r="CM43" s="76">
        <f t="shared" si="36"/>
        <v>-0.75914776404405249</v>
      </c>
      <c r="CN43" s="76">
        <f t="shared" si="37"/>
        <v>3.3171416535694371</v>
      </c>
      <c r="CO43" s="76">
        <f t="shared" si="38"/>
        <v>-1.1135784365079151</v>
      </c>
      <c r="CP43" s="76">
        <f t="shared" si="39"/>
        <v>0.91617635502359718</v>
      </c>
      <c r="CQ43" s="76">
        <f t="shared" si="40"/>
        <v>21.744758474007615</v>
      </c>
      <c r="CR43" s="76">
        <f t="shared" si="41"/>
        <v>-3.1811958880821738</v>
      </c>
      <c r="CS43" s="76">
        <f t="shared" si="42"/>
        <v>-15.695052612179154</v>
      </c>
      <c r="CT43" s="76">
        <f t="shared" si="43"/>
        <v>-1.558075002527342</v>
      </c>
      <c r="CU43" s="76">
        <f t="shared" si="44"/>
        <v>-9.387432879749591E-2</v>
      </c>
      <c r="CV43" s="76">
        <f t="shared" si="45"/>
        <v>-0.7403071190755508</v>
      </c>
      <c r="CW43" s="76">
        <f t="shared" si="46"/>
        <v>16.877752958786264</v>
      </c>
      <c r="CX43" s="76">
        <f t="shared" si="47"/>
        <v>0.28405355465088855</v>
      </c>
      <c r="CY43" s="76">
        <f t="shared" si="48"/>
        <v>-1.3562077641023871</v>
      </c>
      <c r="CZ43" s="76">
        <f t="shared" si="49"/>
        <v>0.90156297281928033</v>
      </c>
      <c r="DA43" s="76">
        <f t="shared" si="50"/>
        <v>-8.6485284588656075</v>
      </c>
      <c r="DB43" s="76">
        <f t="shared" si="51"/>
        <v>-0.54222603115325829</v>
      </c>
      <c r="DC43" s="76">
        <f t="shared" si="52"/>
        <v>3.2446311084163413</v>
      </c>
      <c r="DD43" s="76">
        <f t="shared" si="53"/>
        <v>5.7777621670604908</v>
      </c>
      <c r="DE43" s="76">
        <f t="shared" si="54"/>
        <v>2.7137092065670596</v>
      </c>
      <c r="DF43" s="76">
        <f t="shared" si="55"/>
        <v>-0.31161443531793953</v>
      </c>
      <c r="DG43" s="76">
        <f t="shared" si="56"/>
        <v>1.3836373899102874</v>
      </c>
      <c r="DH43" s="76">
        <f t="shared" si="57"/>
        <v>-4.1821578248472617</v>
      </c>
      <c r="DI43" s="76">
        <f t="shared" si="58"/>
        <v>0</v>
      </c>
      <c r="DJ43" s="76">
        <f t="shared" si="59"/>
        <v>-9.3915235265144119</v>
      </c>
      <c r="DK43" s="76">
        <f t="shared" si="60"/>
        <v>-22.238627909891513</v>
      </c>
      <c r="DL43" s="76">
        <f t="shared" si="61"/>
        <v>-54.313494591051054</v>
      </c>
    </row>
    <row r="44" spans="1:116" s="48" customFormat="1" ht="11">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164.81666666676756</v>
      </c>
      <c r="CH44" s="76">
        <f t="shared" si="31"/>
        <v>9.4874289774674594</v>
      </c>
      <c r="CI44" s="76">
        <f t="shared" si="32"/>
        <v>17177.055874451111</v>
      </c>
      <c r="CJ44" s="76">
        <f t="shared" si="33"/>
        <v>0</v>
      </c>
      <c r="CK44" s="76">
        <f t="shared" si="34"/>
        <v>1000.7833923067064</v>
      </c>
      <c r="CL44" s="76">
        <f t="shared" si="35"/>
        <v>-6.1469130367701119</v>
      </c>
      <c r="CM44" s="76">
        <f t="shared" si="36"/>
        <v>-1.0162590732772241</v>
      </c>
      <c r="CN44" s="76">
        <f t="shared" si="37"/>
        <v>4.8567376387338381</v>
      </c>
      <c r="CO44" s="76">
        <f t="shared" si="38"/>
        <v>-1.5703625685173086</v>
      </c>
      <c r="CP44" s="76">
        <f t="shared" si="39"/>
        <v>1.1805659487571378</v>
      </c>
      <c r="CQ44" s="76">
        <f t="shared" si="40"/>
        <v>30.144900131954234</v>
      </c>
      <c r="CR44" s="76">
        <f t="shared" si="41"/>
        <v>-5.2652888998747613</v>
      </c>
      <c r="CS44" s="76">
        <f t="shared" si="42"/>
        <v>-17.325141443415063</v>
      </c>
      <c r="CT44" s="76">
        <f t="shared" si="43"/>
        <v>-1.3395574546450568</v>
      </c>
      <c r="CU44" s="76">
        <f t="shared" si="44"/>
        <v>0.10486787042294199</v>
      </c>
      <c r="CV44" s="76">
        <f t="shared" si="45"/>
        <v>-0.79316188820695321</v>
      </c>
      <c r="CW44" s="76">
        <f t="shared" si="46"/>
        <v>18.056922982006874</v>
      </c>
      <c r="CX44" s="76">
        <f t="shared" si="47"/>
        <v>0.69235744591044834</v>
      </c>
      <c r="CY44" s="76">
        <f t="shared" si="48"/>
        <v>-1.441359838484972</v>
      </c>
      <c r="CZ44" s="76">
        <f t="shared" si="49"/>
        <v>1.114882826785395</v>
      </c>
      <c r="DA44" s="76">
        <f t="shared" si="50"/>
        <v>-10.438231187098337</v>
      </c>
      <c r="DB44" s="76">
        <f t="shared" si="51"/>
        <v>-0.54284519720492519</v>
      </c>
      <c r="DC44" s="76">
        <f t="shared" si="52"/>
        <v>3.9627515353339384</v>
      </c>
      <c r="DD44" s="76">
        <f t="shared" si="53"/>
        <v>6.9045806526621476</v>
      </c>
      <c r="DE44" s="76">
        <f t="shared" si="54"/>
        <v>3.518955795672857</v>
      </c>
      <c r="DF44" s="76">
        <f t="shared" si="55"/>
        <v>-0.38861861988963153</v>
      </c>
      <c r="DG44" s="76">
        <f t="shared" si="56"/>
        <v>1.8003473438178101</v>
      </c>
      <c r="DH44" s="76">
        <f t="shared" si="57"/>
        <v>-4.8035242071511464</v>
      </c>
      <c r="DI44" s="76">
        <f t="shared" si="58"/>
        <v>0</v>
      </c>
      <c r="DJ44" s="76">
        <f t="shared" si="59"/>
        <v>-7.8995912545614644</v>
      </c>
      <c r="DK44" s="76">
        <f t="shared" si="60"/>
        <v>-24.484735478429897</v>
      </c>
      <c r="DL44" s="76">
        <f t="shared" si="61"/>
        <v>-43.933067833324088</v>
      </c>
    </row>
    <row r="45" spans="1:116" s="48" customFormat="1" ht="11">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189.19999999995343</v>
      </c>
      <c r="CH45" s="76">
        <f t="shared" si="31"/>
        <v>11.671455455189898</v>
      </c>
      <c r="CI45" s="76">
        <f t="shared" si="32"/>
        <v>21294.355391472141</v>
      </c>
      <c r="CJ45" s="76">
        <f t="shared" si="33"/>
        <v>0</v>
      </c>
      <c r="CK45" s="76">
        <f t="shared" si="34"/>
        <v>1501.4329806195317</v>
      </c>
      <c r="CL45" s="76">
        <f t="shared" si="35"/>
        <v>-7.9677399230875103</v>
      </c>
      <c r="CM45" s="76">
        <f t="shared" si="36"/>
        <v>-1.1751854085707851</v>
      </c>
      <c r="CN45" s="76">
        <f t="shared" si="37"/>
        <v>6.967712558797551</v>
      </c>
      <c r="CO45" s="76">
        <f t="shared" si="38"/>
        <v>-1.8309457362872195</v>
      </c>
      <c r="CP45" s="76">
        <f t="shared" si="39"/>
        <v>1.4362290599917118</v>
      </c>
      <c r="CQ45" s="76">
        <f t="shared" si="40"/>
        <v>40.167417953517109</v>
      </c>
      <c r="CR45" s="76">
        <f t="shared" si="41"/>
        <v>-7.6533899224034911</v>
      </c>
      <c r="CS45" s="76">
        <f t="shared" si="42"/>
        <v>-18.087536467314198</v>
      </c>
      <c r="CT45" s="76">
        <f t="shared" si="43"/>
        <v>-1.0614836998468662</v>
      </c>
      <c r="CU45" s="76">
        <f t="shared" si="44"/>
        <v>0.34267586143624396</v>
      </c>
      <c r="CV45" s="76">
        <f t="shared" si="45"/>
        <v>-0.7562912908893582</v>
      </c>
      <c r="CW45" s="76">
        <f t="shared" si="46"/>
        <v>17.2015805559749</v>
      </c>
      <c r="CX45" s="76">
        <f t="shared" si="47"/>
        <v>1.2868146733771311</v>
      </c>
      <c r="CY45" s="76">
        <f t="shared" si="48"/>
        <v>-1.3316110072535459</v>
      </c>
      <c r="CZ45" s="76">
        <f t="shared" si="49"/>
        <v>1.3111722062007216</v>
      </c>
      <c r="DA45" s="76">
        <f t="shared" si="50"/>
        <v>-12.26065567820787</v>
      </c>
      <c r="DB45" s="76">
        <f t="shared" si="51"/>
        <v>-0.45283248149555577</v>
      </c>
      <c r="DC45" s="76">
        <f t="shared" si="52"/>
        <v>4.6343817851031481</v>
      </c>
      <c r="DD45" s="76">
        <f t="shared" si="53"/>
        <v>7.9349787591937506</v>
      </c>
      <c r="DE45" s="76">
        <f t="shared" si="54"/>
        <v>4.3210172839371452</v>
      </c>
      <c r="DF45" s="76">
        <f t="shared" si="55"/>
        <v>-0.41844945776105513</v>
      </c>
      <c r="DG45" s="76">
        <f t="shared" si="56"/>
        <v>2.2054614746352548</v>
      </c>
      <c r="DH45" s="76">
        <f t="shared" si="57"/>
        <v>-5.119211333906267</v>
      </c>
      <c r="DI45" s="76">
        <f t="shared" si="58"/>
        <v>0</v>
      </c>
      <c r="DJ45" s="76">
        <f t="shared" si="59"/>
        <v>-3.3007999050065209</v>
      </c>
      <c r="DK45" s="76">
        <f t="shared" si="60"/>
        <v>-23.529195506301889</v>
      </c>
      <c r="DL45" s="76">
        <f t="shared" si="61"/>
        <v>-22.442157081661193</v>
      </c>
    </row>
    <row r="46" spans="1:116" s="48" customFormat="1" ht="11">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213.14999999996508</v>
      </c>
      <c r="CH46" s="76">
        <f t="shared" si="31"/>
        <v>13.474138629329271</v>
      </c>
      <c r="CI46" s="76">
        <f t="shared" si="32"/>
        <v>24747.885308710269</v>
      </c>
      <c r="CJ46" s="76">
        <f t="shared" si="33"/>
        <v>0</v>
      </c>
      <c r="CK46" s="76">
        <f t="shared" si="34"/>
        <v>2044.9010345317504</v>
      </c>
      <c r="CL46" s="76">
        <f t="shared" si="35"/>
        <v>-9.3436425299180392</v>
      </c>
      <c r="CM46" s="76">
        <f t="shared" si="36"/>
        <v>-1.1809046042675373</v>
      </c>
      <c r="CN46" s="76">
        <f t="shared" si="37"/>
        <v>9.3687653812012535</v>
      </c>
      <c r="CO46" s="76">
        <f t="shared" si="38"/>
        <v>-1.8524724529877368</v>
      </c>
      <c r="CP46" s="76">
        <f t="shared" si="39"/>
        <v>1.6515341593466513</v>
      </c>
      <c r="CQ46" s="76">
        <f t="shared" si="40"/>
        <v>51.315620543005316</v>
      </c>
      <c r="CR46" s="76">
        <f t="shared" si="41"/>
        <v>-9.4896937559628043</v>
      </c>
      <c r="CS46" s="76">
        <f t="shared" si="42"/>
        <v>-17.780113259583413</v>
      </c>
      <c r="CT46" s="76">
        <f t="shared" si="43"/>
        <v>-0.78507449830185738</v>
      </c>
      <c r="CU46" s="76">
        <f t="shared" si="44"/>
        <v>0.59668033139087484</v>
      </c>
      <c r="CV46" s="76">
        <f t="shared" si="45"/>
        <v>-0.61551826613599414</v>
      </c>
      <c r="CW46" s="76">
        <f t="shared" si="46"/>
        <v>14.416767037108812</v>
      </c>
      <c r="CX46" s="76">
        <f t="shared" si="47"/>
        <v>2.0499824155038846</v>
      </c>
      <c r="CY46" s="76">
        <f t="shared" si="48"/>
        <v>-0.98156775445284872</v>
      </c>
      <c r="CZ46" s="76">
        <f t="shared" si="49"/>
        <v>1.4639317752193617</v>
      </c>
      <c r="DA46" s="76">
        <f t="shared" si="50"/>
        <v>-14.000310030685467</v>
      </c>
      <c r="DB46" s="76">
        <f t="shared" si="51"/>
        <v>-0.25672942693824252</v>
      </c>
      <c r="DC46" s="76">
        <f t="shared" si="52"/>
        <v>5.178066811273708</v>
      </c>
      <c r="DD46" s="76">
        <f t="shared" si="53"/>
        <v>8.7495446210276739</v>
      </c>
      <c r="DE46" s="76">
        <f t="shared" si="54"/>
        <v>5.0276095960548366</v>
      </c>
      <c r="DF46" s="76">
        <f t="shared" si="55"/>
        <v>-0.3801641848734123</v>
      </c>
      <c r="DG46" s="76">
        <f t="shared" si="56"/>
        <v>2.547093612224248</v>
      </c>
      <c r="DH46" s="76">
        <f t="shared" si="57"/>
        <v>-5.0167909549023548</v>
      </c>
      <c r="DI46" s="76">
        <f t="shared" si="58"/>
        <v>0</v>
      </c>
      <c r="DJ46" s="76">
        <f t="shared" si="59"/>
        <v>4.7880767900812415</v>
      </c>
      <c r="DK46" s="76">
        <f t="shared" si="60"/>
        <v>-18.555875770522277</v>
      </c>
      <c r="DL46" s="76">
        <f t="shared" si="61"/>
        <v>10.035797544182245</v>
      </c>
    </row>
    <row r="47" spans="1:116" s="48" customFormat="1" ht="11">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238.2666666667792</v>
      </c>
      <c r="CH47" s="76">
        <f t="shared" si="31"/>
        <v>14.832989890925617</v>
      </c>
      <c r="CI47" s="76">
        <f t="shared" si="32"/>
        <v>27370.367335001923</v>
      </c>
      <c r="CJ47" s="76">
        <f t="shared" si="33"/>
        <v>0</v>
      </c>
      <c r="CK47" s="76">
        <f t="shared" si="34"/>
        <v>2653.9198546534953</v>
      </c>
      <c r="CL47" s="76">
        <f t="shared" si="35"/>
        <v>-10.100935128617778</v>
      </c>
      <c r="CM47" s="76">
        <f t="shared" si="36"/>
        <v>-0.97741663080331875</v>
      </c>
      <c r="CN47" s="76">
        <f t="shared" si="37"/>
        <v>11.897071265432373</v>
      </c>
      <c r="CO47" s="76">
        <f t="shared" si="38"/>
        <v>-1.6430471046072412</v>
      </c>
      <c r="CP47" s="76">
        <f t="shared" si="39"/>
        <v>1.8184641303044518</v>
      </c>
      <c r="CQ47" s="76">
        <f t="shared" si="40"/>
        <v>64.349036502981718</v>
      </c>
      <c r="CR47" s="76">
        <f t="shared" si="41"/>
        <v>-9.9808011815821658</v>
      </c>
      <c r="CS47" s="76">
        <f t="shared" si="42"/>
        <v>-16.171632976062366</v>
      </c>
      <c r="CT47" s="76">
        <f t="shared" si="43"/>
        <v>-0.54482047039005455</v>
      </c>
      <c r="CU47" s="76">
        <f t="shared" si="44"/>
        <v>0.87165871897679814</v>
      </c>
      <c r="CV47" s="76">
        <f t="shared" si="45"/>
        <v>-0.3410860068413073</v>
      </c>
      <c r="CW47" s="76">
        <f t="shared" si="46"/>
        <v>10.010478364091092</v>
      </c>
      <c r="CX47" s="76">
        <f t="shared" si="47"/>
        <v>3.0496611494088657</v>
      </c>
      <c r="CY47" s="76">
        <f t="shared" si="48"/>
        <v>-0.30551387552398968</v>
      </c>
      <c r="CZ47" s="76">
        <f t="shared" si="49"/>
        <v>1.563393058409777</v>
      </c>
      <c r="DA47" s="76">
        <f t="shared" si="50"/>
        <v>-15.740788287031711</v>
      </c>
      <c r="DB47" s="76">
        <f t="shared" si="51"/>
        <v>8.3231338543684252E-2</v>
      </c>
      <c r="DC47" s="76">
        <f t="shared" si="52"/>
        <v>5.5725304374659093</v>
      </c>
      <c r="DD47" s="76">
        <f t="shared" si="53"/>
        <v>9.3199741433592607</v>
      </c>
      <c r="DE47" s="76">
        <f t="shared" si="54"/>
        <v>5.6241610934143527</v>
      </c>
      <c r="DF47" s="76">
        <f t="shared" si="55"/>
        <v>-0.24785303522071489</v>
      </c>
      <c r="DG47" s="76">
        <f t="shared" si="56"/>
        <v>2.8106307592889275</v>
      </c>
      <c r="DH47" s="76">
        <f t="shared" si="57"/>
        <v>-4.3710113336034606</v>
      </c>
      <c r="DI47" s="76">
        <f t="shared" si="58"/>
        <v>0</v>
      </c>
      <c r="DJ47" s="76">
        <f t="shared" si="59"/>
        <v>17.667655291565865</v>
      </c>
      <c r="DK47" s="76">
        <f t="shared" si="60"/>
        <v>-8.1740681240836182</v>
      </c>
      <c r="DL47" s="76">
        <f t="shared" si="61"/>
        <v>56.966363685837379</v>
      </c>
    </row>
    <row r="48" spans="1:116" s="48" customFormat="1" ht="11">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261.91666666668607</v>
      </c>
      <c r="CH48" s="76">
        <f t="shared" si="31"/>
        <v>15.476095352836225</v>
      </c>
      <c r="CI48" s="76">
        <f t="shared" si="32"/>
        <v>28561.25597490574</v>
      </c>
      <c r="CJ48" s="76">
        <f t="shared" si="33"/>
        <v>0</v>
      </c>
      <c r="CK48" s="76">
        <f t="shared" si="34"/>
        <v>3249.1393092308517</v>
      </c>
      <c r="CL48" s="76">
        <f t="shared" si="35"/>
        <v>-9.9440593350079141</v>
      </c>
      <c r="CM48" s="76">
        <f t="shared" si="36"/>
        <v>-0.54400902878845336</v>
      </c>
      <c r="CN48" s="76">
        <f t="shared" si="37"/>
        <v>13.851360105887295</v>
      </c>
      <c r="CO48" s="76">
        <f t="shared" si="38"/>
        <v>-1.287979119540708</v>
      </c>
      <c r="CP48" s="76">
        <f t="shared" si="39"/>
        <v>1.9013488996525982</v>
      </c>
      <c r="CQ48" s="76">
        <f t="shared" si="40"/>
        <v>77.834901761175843</v>
      </c>
      <c r="CR48" s="76">
        <f t="shared" si="41"/>
        <v>-8.5749602179486715</v>
      </c>
      <c r="CS48" s="76">
        <f t="shared" si="42"/>
        <v>-13.303821792239049</v>
      </c>
      <c r="CT48" s="76">
        <f t="shared" si="43"/>
        <v>-0.41423812235009372</v>
      </c>
      <c r="CU48" s="76">
        <f t="shared" si="44"/>
        <v>1.1264529549267048</v>
      </c>
      <c r="CV48" s="76">
        <f t="shared" si="45"/>
        <v>5.0337289280566022E-2</v>
      </c>
      <c r="CW48" s="76">
        <f t="shared" si="46"/>
        <v>5.5071186851875638</v>
      </c>
      <c r="CX48" s="76">
        <f t="shared" si="47"/>
        <v>4.1853637467074503</v>
      </c>
      <c r="CY48" s="76">
        <f t="shared" si="48"/>
        <v>0.66750820428462809</v>
      </c>
      <c r="CZ48" s="76">
        <f t="shared" si="49"/>
        <v>1.5834237903820831</v>
      </c>
      <c r="DA48" s="76">
        <f t="shared" si="50"/>
        <v>-17.273041903912159</v>
      </c>
      <c r="DB48" s="76">
        <f t="shared" si="51"/>
        <v>0.54724061139534985</v>
      </c>
      <c r="DC48" s="76">
        <f t="shared" si="52"/>
        <v>5.7311626147386185</v>
      </c>
      <c r="DD48" s="76">
        <f t="shared" si="53"/>
        <v>9.5233581963451677</v>
      </c>
      <c r="DE48" s="76">
        <f t="shared" si="54"/>
        <v>5.9969494140212731</v>
      </c>
      <c r="DF48" s="76">
        <f t="shared" si="55"/>
        <v>-1.8297296506601057E-2</v>
      </c>
      <c r="DG48" s="76">
        <f t="shared" si="56"/>
        <v>2.937861311427624</v>
      </c>
      <c r="DH48" s="76">
        <f t="shared" si="57"/>
        <v>-3.1671847392095742</v>
      </c>
      <c r="DI48" s="76">
        <f t="shared" si="58"/>
        <v>0</v>
      </c>
      <c r="DJ48" s="76">
        <f t="shared" si="59"/>
        <v>34.460135544875612</v>
      </c>
      <c r="DK48" s="76">
        <f t="shared" si="60"/>
        <v>7.2430343059555469</v>
      </c>
      <c r="DL48" s="76">
        <f t="shared" si="61"/>
        <v>113.91180780900018</v>
      </c>
    </row>
    <row r="49" spans="1:116" s="48" customFormat="1" ht="11">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284.91666666674428</v>
      </c>
      <c r="CH49" s="76">
        <f t="shared" si="31"/>
        <v>15.396336730227169</v>
      </c>
      <c r="CI49" s="76">
        <f t="shared" si="32"/>
        <v>28214.875453113811</v>
      </c>
      <c r="CJ49" s="76">
        <f t="shared" si="33"/>
        <v>0</v>
      </c>
      <c r="CK49" s="76">
        <f t="shared" si="34"/>
        <v>3834.6520953689201</v>
      </c>
      <c r="CL49" s="76">
        <f t="shared" si="35"/>
        <v>-8.7725678509976035</v>
      </c>
      <c r="CM49" s="76">
        <f t="shared" si="36"/>
        <v>0.14444656094358521</v>
      </c>
      <c r="CN49" s="76">
        <f t="shared" si="37"/>
        <v>14.844158745229649</v>
      </c>
      <c r="CO49" s="76">
        <f t="shared" si="38"/>
        <v>-0.88908198860381304</v>
      </c>
      <c r="CP49" s="76">
        <f t="shared" si="39"/>
        <v>1.8951983005599526</v>
      </c>
      <c r="CQ49" s="76">
        <f t="shared" si="40"/>
        <v>92.040018605164065</v>
      </c>
      <c r="CR49" s="76">
        <f t="shared" si="41"/>
        <v>-5.728492809158297</v>
      </c>
      <c r="CS49" s="76">
        <f t="shared" si="42"/>
        <v>-9.1184609164338468</v>
      </c>
      <c r="CT49" s="76">
        <f t="shared" si="43"/>
        <v>-0.42139936214463347</v>
      </c>
      <c r="CU49" s="76">
        <f t="shared" si="44"/>
        <v>1.3592256211819538</v>
      </c>
      <c r="CV49" s="76">
        <f t="shared" si="45"/>
        <v>0.56792284567201401</v>
      </c>
      <c r="CW49" s="76">
        <f t="shared" si="46"/>
        <v>2.2471740531590285</v>
      </c>
      <c r="CX49" s="76">
        <f t="shared" si="47"/>
        <v>5.477912195316585</v>
      </c>
      <c r="CY49" s="76">
        <f t="shared" si="48"/>
        <v>1.9702195397656972</v>
      </c>
      <c r="CZ49" s="76">
        <f t="shared" si="49"/>
        <v>1.5190064156059861</v>
      </c>
      <c r="DA49" s="76">
        <f t="shared" si="50"/>
        <v>-18.638261915370784</v>
      </c>
      <c r="DB49" s="76">
        <f t="shared" si="51"/>
        <v>1.149088552352505</v>
      </c>
      <c r="DC49" s="76">
        <f t="shared" si="52"/>
        <v>5.6430641428336461</v>
      </c>
      <c r="DD49" s="76">
        <f t="shared" si="53"/>
        <v>9.3481256830195214</v>
      </c>
      <c r="DE49" s="76">
        <f t="shared" si="54"/>
        <v>6.1343947871181683</v>
      </c>
      <c r="DF49" s="76">
        <f t="shared" si="55"/>
        <v>0.31979386373177654</v>
      </c>
      <c r="DG49" s="76">
        <f t="shared" si="56"/>
        <v>2.9194868883232576</v>
      </c>
      <c r="DH49" s="76">
        <f t="shared" si="57"/>
        <v>-1.3578090359956789</v>
      </c>
      <c r="DI49" s="76">
        <f t="shared" si="58"/>
        <v>0</v>
      </c>
      <c r="DJ49" s="76">
        <f t="shared" si="59"/>
        <v>55.63628186488981</v>
      </c>
      <c r="DK49" s="76">
        <f t="shared" si="60"/>
        <v>28.225452098521487</v>
      </c>
      <c r="DL49" s="76">
        <f t="shared" si="61"/>
        <v>181.81084874844885</v>
      </c>
    </row>
    <row r="50" spans="1:116" s="48" customFormat="1" ht="11">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4" t="s">
        <v>476</v>
      </c>
      <c r="CH63" s="534"/>
      <c r="CI63" s="534"/>
      <c r="CJ63" s="534"/>
      <c r="CK63" s="534"/>
      <c r="CL63" s="534"/>
      <c r="CM63" s="534"/>
      <c r="CN63" s="534"/>
      <c r="CO63" s="534"/>
      <c r="CP63" s="534"/>
      <c r="CQ63" s="534"/>
      <c r="CR63" s="534"/>
      <c r="CS63" s="534"/>
      <c r="CT63" s="534"/>
      <c r="CU63" s="534"/>
      <c r="CV63" s="534"/>
      <c r="CW63" s="534"/>
      <c r="CX63" s="534"/>
      <c r="CY63" s="534"/>
      <c r="CZ63" s="534"/>
      <c r="DA63" s="534"/>
      <c r="DB63" s="534"/>
      <c r="DC63" s="534"/>
      <c r="DD63" s="534"/>
      <c r="DE63" s="534"/>
      <c r="DF63" s="534"/>
      <c r="DG63" s="534"/>
      <c r="DH63" s="534"/>
      <c r="DI63" s="534"/>
      <c r="DJ63" s="534"/>
      <c r="DK63" s="534"/>
      <c r="DL63" s="534"/>
    </row>
    <row r="64" spans="1:116" ht="94">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366</v>
      </c>
      <c r="CH64" s="75" t="s">
        <v>367</v>
      </c>
      <c r="CI64" s="59" t="s">
        <v>109</v>
      </c>
      <c r="CJ64" s="59" t="s">
        <v>108</v>
      </c>
      <c r="CK64" s="59" t="s">
        <v>104</v>
      </c>
      <c r="CL64" s="59" t="s">
        <v>289</v>
      </c>
      <c r="CM64" s="59" t="s">
        <v>53</v>
      </c>
      <c r="CN64" s="59" t="s">
        <v>48</v>
      </c>
      <c r="CO64" s="59" t="s">
        <v>46</v>
      </c>
      <c r="CP64" s="59" t="s">
        <v>346</v>
      </c>
      <c r="CQ64" s="59" t="s">
        <v>105</v>
      </c>
      <c r="CR64" s="59" t="s">
        <v>50</v>
      </c>
      <c r="CS64" s="59" t="s">
        <v>47</v>
      </c>
      <c r="CT64" s="59" t="s">
        <v>51</v>
      </c>
      <c r="CU64" s="59" t="s">
        <v>329</v>
      </c>
      <c r="CV64" s="59" t="s">
        <v>58</v>
      </c>
      <c r="CW64" s="59" t="s">
        <v>107</v>
      </c>
      <c r="CX64" s="59" t="s">
        <v>59</v>
      </c>
      <c r="CY64" s="59" t="s">
        <v>60</v>
      </c>
      <c r="CZ64" s="59" t="s">
        <v>56</v>
      </c>
      <c r="DA64" s="59" t="s">
        <v>106</v>
      </c>
      <c r="DB64" s="59" t="s">
        <v>63</v>
      </c>
      <c r="DC64" s="59" t="s">
        <v>358</v>
      </c>
      <c r="DD64" s="59" t="s">
        <v>49</v>
      </c>
      <c r="DE64" s="59" t="s">
        <v>52</v>
      </c>
      <c r="DF64" s="59" t="s">
        <v>347</v>
      </c>
      <c r="DG64" s="59" t="s">
        <v>54</v>
      </c>
      <c r="DH64" s="59" t="s">
        <v>57</v>
      </c>
      <c r="DI64" s="59" t="s">
        <v>55</v>
      </c>
      <c r="DJ64" s="59" t="s">
        <v>111</v>
      </c>
      <c r="DK64" s="59" t="s">
        <v>110</v>
      </c>
      <c r="DL64" s="59" t="s">
        <v>242</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0.58388072800022472</v>
      </c>
      <c r="CM65" s="292">
        <f>(CM37-'In Process Calc.'!P3)^2</f>
        <v>0.2363975183489824</v>
      </c>
      <c r="CN65" s="292">
        <f>(CN37-'In Process Calc.'!Q3)^2</f>
        <v>0.25231320689761749</v>
      </c>
      <c r="CO65" s="292">
        <f>(CO37-'In Process Calc.'!R3)^2</f>
        <v>0.26870464151152751</v>
      </c>
      <c r="CP65" s="292">
        <f>(CP37-'In Process Calc.'!S3)^2</f>
        <v>6.9681961118882519E-5</v>
      </c>
      <c r="CQ65" s="292">
        <f>(CQ37-'In Process Calc.'!T3)^2</f>
        <v>0.75051745880905552</v>
      </c>
      <c r="CR65" s="292">
        <f>(CR37-'In Process Calc.'!U3)^2</f>
        <v>3.6158968797780412E-3</v>
      </c>
      <c r="CS65" s="292">
        <f>(CS37-'In Process Calc.'!V3)^2</f>
        <v>18.64963731936664</v>
      </c>
      <c r="CT65" s="292">
        <f>(CT37-'In Process Calc.'!W3)^2</f>
        <v>0.54287656665211215</v>
      </c>
      <c r="CU65" s="292">
        <f>(CU37-'In Process Calc.'!X3)^2</f>
        <v>2.7312844357414274E-5</v>
      </c>
      <c r="CV65" s="292">
        <f>(CV37-'In Process Calc.'!Y3)^2</f>
        <v>0.39623874531748848</v>
      </c>
      <c r="CW65" s="292">
        <f>(CW37-'In Process Calc.'!Z3)^2</f>
        <v>1.0508172829040445</v>
      </c>
      <c r="CX65" s="292">
        <f>(CX37-'In Process Calc.'!AA3)^2</f>
        <v>0.75461585643849327</v>
      </c>
      <c r="CY65" s="292">
        <f>(CY37-'In Process Calc.'!AB3)^2</f>
        <v>0.34500408960767326</v>
      </c>
      <c r="CZ65" s="292">
        <f>(CZ37-'In Process Calc.'!AC3)^2</f>
        <v>1.4949054771276286E-3</v>
      </c>
      <c r="DA65" s="292">
        <f>(DA37-'In Process Calc.'!AD3)^2</f>
        <v>0.96109499858168412</v>
      </c>
      <c r="DB65" s="292">
        <f>(DB37-'In Process Calc.'!AE3)^2</f>
        <v>9.1597613235049294E-2</v>
      </c>
      <c r="DC65" s="292">
        <f>(DC37-'In Process Calc.'!AF3)^2</f>
        <v>1.7378348123322111E-2</v>
      </c>
      <c r="DD65" s="292">
        <f>(DD37-'In Process Calc.'!AG3)^2</f>
        <v>7.9284950521659695E-4</v>
      </c>
      <c r="DE65" s="292">
        <f>(DE37-'In Process Calc.'!AH3)^2</f>
        <v>2.6227504977548045E-2</v>
      </c>
      <c r="DF65" s="292">
        <f>(DF37-'In Process Calc.'!AI3)^2</f>
        <v>2.2809206330466496E-2</v>
      </c>
      <c r="DG65" s="292">
        <f>(DG37-'In Process Calc.'!AJ3)^2</f>
        <v>9.6203220395707795E-3</v>
      </c>
      <c r="DH65" s="292">
        <f>(DH37-'In Process Calc.'!AK3)^2</f>
        <v>1.3069183124029828</v>
      </c>
      <c r="DI65" s="292">
        <f>(DI37-'In Process Calc.'!AL3)^2</f>
        <v>0</v>
      </c>
      <c r="DJ65" s="292">
        <f>(DJ37-'In Process Calc.'!AM3)^2</f>
        <v>181.94561702014389</v>
      </c>
      <c r="DK65" s="292">
        <f>(DK37-'In Process Calc.'!AN3)^2</f>
        <v>187.82580488890679</v>
      </c>
      <c r="DL65" s="292">
        <f>(DL37-'In Process Calc.'!AO3)^2</f>
        <v>3565.5256218118875</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0.34532465063386836</v>
      </c>
      <c r="CM66" s="292">
        <f>(CM38-'In Process Calc.'!P4)^2</f>
        <v>0.11082940071187469</v>
      </c>
      <c r="CN66" s="292">
        <f>(CN38-'In Process Calc.'!Q4)^2</f>
        <v>0.45813340466857533</v>
      </c>
      <c r="CO66" s="292">
        <f>(CO38-'In Process Calc.'!R4)^2</f>
        <v>0.26261553727754178</v>
      </c>
      <c r="CP66" s="292">
        <f>(CP38-'In Process Calc.'!S4)^2</f>
        <v>1.0191299970953811E-2</v>
      </c>
      <c r="CQ66" s="292">
        <f>(CQ38-'In Process Calc.'!T4)^2</f>
        <v>0.88589235644378816</v>
      </c>
      <c r="CR66" s="292">
        <f>(CR38-'In Process Calc.'!U4)^2</f>
        <v>1.55133978745288E-2</v>
      </c>
      <c r="CS66" s="292">
        <f>(CS38-'In Process Calc.'!V4)^2</f>
        <v>0.92961942508482953</v>
      </c>
      <c r="CT66" s="292">
        <f>(CT38-'In Process Calc.'!W4)^2</f>
        <v>6.5819655574280763E-3</v>
      </c>
      <c r="CU66" s="292">
        <f>(CU38-'In Process Calc.'!X4)^2</f>
        <v>0.2220596559280478</v>
      </c>
      <c r="CV66" s="292">
        <f>(CV38-'In Process Calc.'!Y4)^2</f>
        <v>0.11333089345769104</v>
      </c>
      <c r="CW66" s="292">
        <f>(CW38-'In Process Calc.'!Z4)^2</f>
        <v>1.7728677653058795</v>
      </c>
      <c r="CX66" s="292">
        <f>(CX38-'In Process Calc.'!AA4)^2</f>
        <v>0.20151617854215156</v>
      </c>
      <c r="CY66" s="292">
        <f>(CY38-'In Process Calc.'!AB4)^2</f>
        <v>0.21332031085888606</v>
      </c>
      <c r="CZ66" s="292">
        <f>(CZ38-'In Process Calc.'!AC4)^2</f>
        <v>4.4896903598158199E-4</v>
      </c>
      <c r="DA66" s="292">
        <f>(DA38-'In Process Calc.'!AD4)^2</f>
        <v>7.9562469095226934E-3</v>
      </c>
      <c r="DB66" s="292">
        <f>(DB38-'In Process Calc.'!AE4)^2</f>
        <v>3.4334807441182565E-2</v>
      </c>
      <c r="DC66" s="292">
        <f>(DC38-'In Process Calc.'!AF4)^2</f>
        <v>7.2496763971059822E-2</v>
      </c>
      <c r="DD66" s="292">
        <f>(DD38-'In Process Calc.'!AG4)^2</f>
        <v>5.3098652295532088E-2</v>
      </c>
      <c r="DE66" s="292">
        <f>(DE38-'In Process Calc.'!AH4)^2</f>
        <v>2.0011670054600198E-2</v>
      </c>
      <c r="DF66" s="292">
        <f>(DF38-'In Process Calc.'!AI4)^2</f>
        <v>2.8147964755466819E-2</v>
      </c>
      <c r="DG66" s="292">
        <f>(DG38-'In Process Calc.'!AJ4)^2</f>
        <v>6.753279439300076E-4</v>
      </c>
      <c r="DH66" s="292">
        <f>(DH38-'In Process Calc.'!AK4)^2</f>
        <v>0.35148393482347523</v>
      </c>
      <c r="DI66" s="292">
        <f>(DI38-'In Process Calc.'!AL4)^2</f>
        <v>0</v>
      </c>
      <c r="DJ66" s="292">
        <f>(DJ38-'In Process Calc.'!AM4)^2</f>
        <v>79.097966087222886</v>
      </c>
      <c r="DK66" s="292">
        <f>(DK38-'In Process Calc.'!AN4)^2</f>
        <v>91.595328373374812</v>
      </c>
      <c r="DL66" s="292">
        <f>(DL38-'In Process Calc.'!AO4)^2</f>
        <v>796.2665853821519</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1.0817867237441339</v>
      </c>
      <c r="CM67" s="292">
        <f>(CM39-'In Process Calc.'!P5)^2</f>
        <v>0.54147578685723696</v>
      </c>
      <c r="CN67" s="292">
        <f>(CN39-'In Process Calc.'!Q5)^2</f>
        <v>1.7229438717977754</v>
      </c>
      <c r="CO67" s="292">
        <f>(CO39-'In Process Calc.'!R5)^2</f>
        <v>0.3969773914257137</v>
      </c>
      <c r="CP67" s="292">
        <f>(CP39-'In Process Calc.'!S5)^2</f>
        <v>1.4275890649064179E-3</v>
      </c>
      <c r="CQ67" s="292">
        <f>(CQ39-'In Process Calc.'!T5)^2</f>
        <v>0.32127225775608054</v>
      </c>
      <c r="CR67" s="292">
        <f>(CR39-'In Process Calc.'!U5)^2</f>
        <v>3.36871913712217E-3</v>
      </c>
      <c r="CS67" s="292">
        <f>(CS39-'In Process Calc.'!V5)^2</f>
        <v>15.377245723695706</v>
      </c>
      <c r="CT67" s="292">
        <f>(CT39-'In Process Calc.'!W5)^2</f>
        <v>0.51098563116907114</v>
      </c>
      <c r="CU67" s="292">
        <f>(CU39-'In Process Calc.'!X5)^2</f>
        <v>2.1084183017417161E-2</v>
      </c>
      <c r="CV67" s="292">
        <f>(CV39-'In Process Calc.'!Y5)^2</f>
        <v>0.47542229005304382</v>
      </c>
      <c r="CW67" s="292">
        <f>(CW39-'In Process Calc.'!Z5)^2</f>
        <v>2.1939151907863597</v>
      </c>
      <c r="CX67" s="292">
        <f>(CX39-'In Process Calc.'!AA5)^2</f>
        <v>0.94609495154589118</v>
      </c>
      <c r="CY67" s="292">
        <f>(CY39-'In Process Calc.'!AB5)^2</f>
        <v>0.39666306627865094</v>
      </c>
      <c r="CZ67" s="292">
        <f>(CZ39-'In Process Calc.'!AC5)^2</f>
        <v>3.8098283757180161E-3</v>
      </c>
      <c r="DA67" s="292">
        <f>(DA39-'In Process Calc.'!AD5)^2</f>
        <v>0.60090589008882944</v>
      </c>
      <c r="DB67" s="292">
        <f>(DB39-'In Process Calc.'!AE5)^2</f>
        <v>0.10347635374025148</v>
      </c>
      <c r="DC67" s="292">
        <f>(DC39-'In Process Calc.'!AF5)^2</f>
        <v>0.12274928813561724</v>
      </c>
      <c r="DD67" s="292">
        <f>(DD39-'In Process Calc.'!AG5)^2</f>
        <v>4.8331427844783788E-2</v>
      </c>
      <c r="DE67" s="292">
        <f>(DE39-'In Process Calc.'!AH5)^2</f>
        <v>9.6149073233003007E-2</v>
      </c>
      <c r="DF67" s="292">
        <f>(DF39-'In Process Calc.'!AI5)^2</f>
        <v>2.8444916308277616E-2</v>
      </c>
      <c r="DG67" s="292">
        <f>(DG39-'In Process Calc.'!AJ5)^2</f>
        <v>1.8488724191736319E-2</v>
      </c>
      <c r="DH67" s="292">
        <f>(DH39-'In Process Calc.'!AK5)^2</f>
        <v>1.1981397537662535</v>
      </c>
      <c r="DI67" s="292">
        <f>(DI39-'In Process Calc.'!AL5)^2</f>
        <v>0</v>
      </c>
      <c r="DJ67" s="292">
        <f>(DJ39-'In Process Calc.'!AM5)^2</f>
        <v>245.94863126259787</v>
      </c>
      <c r="DK67" s="292">
        <f>(DK39-'In Process Calc.'!AN5)^2</f>
        <v>237.70981836914083</v>
      </c>
      <c r="DL67" s="292">
        <f>(DL39-'In Process Calc.'!AO5)^2</f>
        <v>4227.0742586634424</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0.34074021115581893</v>
      </c>
      <c r="CM68" s="292">
        <f>(CM40-'In Process Calc.'!P6)^2</f>
        <v>0.89507477554958748</v>
      </c>
      <c r="CN68" s="292">
        <f>(CN40-'In Process Calc.'!Q6)^2</f>
        <v>7.4495738098578288</v>
      </c>
      <c r="CO68" s="292">
        <f>(CO40-'In Process Calc.'!R6)^2</f>
        <v>1.5969740818532488E-2</v>
      </c>
      <c r="CP68" s="292">
        <f>(CP40-'In Process Calc.'!S6)^2</f>
        <v>2.010398905997364E-2</v>
      </c>
      <c r="CQ68" s="292">
        <f>(CQ40-'In Process Calc.'!T6)^2</f>
        <v>0.19951777019196265</v>
      </c>
      <c r="CR68" s="292">
        <f>(CR40-'In Process Calc.'!U6)^2</f>
        <v>1.1082991836475337E-2</v>
      </c>
      <c r="CS68" s="292">
        <f>(CS40-'In Process Calc.'!V6)^2</f>
        <v>60.089746896883163</v>
      </c>
      <c r="CT68" s="292">
        <f>(CT40-'In Process Calc.'!W6)^2</f>
        <v>0.7500928499248245</v>
      </c>
      <c r="CU68" s="292">
        <f>(CU40-'In Process Calc.'!X6)^2</f>
        <v>1.1787053686243985</v>
      </c>
      <c r="CV68" s="292">
        <f>(CV40-'In Process Calc.'!Y6)^2</f>
        <v>2.0987777168864148</v>
      </c>
      <c r="CW68" s="292">
        <f>(CW40-'In Process Calc.'!Z6)^2</f>
        <v>0.28039972310334355</v>
      </c>
      <c r="CX68" s="292">
        <f>(CX40-'In Process Calc.'!AA6)^2</f>
        <v>3.6956938735780569</v>
      </c>
      <c r="CY68" s="292">
        <f>(CY40-'In Process Calc.'!AB6)^2</f>
        <v>2.4773396660352298</v>
      </c>
      <c r="CZ68" s="292">
        <f>(CZ40-'In Process Calc.'!AC6)^2</f>
        <v>9.7331896998172161E-3</v>
      </c>
      <c r="DA68" s="292">
        <f>(DA40-'In Process Calc.'!AD6)^2</f>
        <v>1.7851642693711054</v>
      </c>
      <c r="DB68" s="292">
        <f>(DB40-'In Process Calc.'!AE6)^2</f>
        <v>0.51730912083693514</v>
      </c>
      <c r="DC68" s="292">
        <f>(DC40-'In Process Calc.'!AF6)^2</f>
        <v>0.28203294151319408</v>
      </c>
      <c r="DD68" s="292">
        <f>(DD40-'In Process Calc.'!AG6)^2</f>
        <v>0.14787513006557129</v>
      </c>
      <c r="DE68" s="292">
        <f>(DE40-'In Process Calc.'!AH6)^2</f>
        <v>0.17303445277907986</v>
      </c>
      <c r="DF68" s="292">
        <f>(DF40-'In Process Calc.'!AI6)^2</f>
        <v>0.2386981977164748</v>
      </c>
      <c r="DG68" s="292">
        <f>(DG40-'In Process Calc.'!AJ6)^2</f>
        <v>2.9853798123061909E-2</v>
      </c>
      <c r="DH68" s="292">
        <f>(DH40-'In Process Calc.'!AK6)^2</f>
        <v>6.6981845096207779</v>
      </c>
      <c r="DI68" s="292">
        <f>(DI40-'In Process Calc.'!AL6)^2</f>
        <v>0</v>
      </c>
      <c r="DJ68" s="292">
        <f>(DJ40-'In Process Calc.'!AM6)^2</f>
        <v>1151.4056593467583</v>
      </c>
      <c r="DK68" s="292">
        <f>(DK40-'In Process Calc.'!AN6)^2</f>
        <v>1203.03117006042</v>
      </c>
      <c r="DL68" s="292">
        <f>(DL40-'In Process Calc.'!AO6)^2</f>
        <v>17565.86840752466</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0.14016298627177948</v>
      </c>
      <c r="CM69" s="292">
        <f>(CM41-'In Process Calc.'!P7)^2</f>
        <v>0.26064391747900884</v>
      </c>
      <c r="CN69" s="292">
        <f>(CN41-'In Process Calc.'!Q7)^2</f>
        <v>0.1263514228440154</v>
      </c>
      <c r="CO69" s="292">
        <f>(CO41-'In Process Calc.'!R7)^2</f>
        <v>0.30944045856555025</v>
      </c>
      <c r="CP69" s="292">
        <f>(CP41-'In Process Calc.'!S7)^2</f>
        <v>2.1383297199726908E-2</v>
      </c>
      <c r="CQ69" s="292">
        <f>(CQ41-'In Process Calc.'!T7)^2</f>
        <v>0.48473418234776072</v>
      </c>
      <c r="CR69" s="292">
        <f>(CR41-'In Process Calc.'!U7)^2</f>
        <v>1.3282520288710006E-2</v>
      </c>
      <c r="CS69" s="292">
        <f>(CS41-'In Process Calc.'!V7)^2</f>
        <v>13.223143149030035</v>
      </c>
      <c r="CT69" s="292">
        <f>(CT41-'In Process Calc.'!W7)^2</f>
        <v>0.1966632827298237</v>
      </c>
      <c r="CU69" s="292">
        <f>(CU41-'In Process Calc.'!X7)^2</f>
        <v>3.5136352118147911E-2</v>
      </c>
      <c r="CV69" s="292">
        <f>(CV41-'In Process Calc.'!Y7)^2</f>
        <v>0.54352651742897973</v>
      </c>
      <c r="CW69" s="292">
        <f>(CW41-'In Process Calc.'!Z7)^2</f>
        <v>4.1075723059822069</v>
      </c>
      <c r="CX69" s="292">
        <f>(CX41-'In Process Calc.'!AA7)^2</f>
        <v>1.0262023911911422</v>
      </c>
      <c r="CY69" s="292">
        <f>(CY41-'In Process Calc.'!AB7)^2</f>
        <v>0.74643731355296949</v>
      </c>
      <c r="CZ69" s="292">
        <f>(CZ41-'In Process Calc.'!AC7)^2</f>
        <v>4.5455064775272985E-3</v>
      </c>
      <c r="DA69" s="292">
        <f>(DA41-'In Process Calc.'!AD7)^2</f>
        <v>1.4510810088708728</v>
      </c>
      <c r="DB69" s="292">
        <f>(DB41-'In Process Calc.'!AE7)^2</f>
        <v>0.14660019117697304</v>
      </c>
      <c r="DC69" s="292">
        <f>(DC41-'In Process Calc.'!AF7)^2</f>
        <v>0.167491648649255</v>
      </c>
      <c r="DD69" s="292">
        <f>(DD41-'In Process Calc.'!AG7)^2</f>
        <v>7.5274890118112808E-2</v>
      </c>
      <c r="DE69" s="292">
        <f>(DE41-'In Process Calc.'!AH7)^2</f>
        <v>7.031531266738851E-2</v>
      </c>
      <c r="DF69" s="292">
        <f>(DF41-'In Process Calc.'!AI7)^2</f>
        <v>6.8472485935812524E-2</v>
      </c>
      <c r="DG69" s="292">
        <f>(DG41-'In Process Calc.'!AJ7)^2</f>
        <v>2.7353197774658444E-2</v>
      </c>
      <c r="DH69" s="292">
        <f>(DH41-'In Process Calc.'!AK7)^2</f>
        <v>1.9118955545531711</v>
      </c>
      <c r="DI69" s="292">
        <f>(DI41-'In Process Calc.'!AL7)^2</f>
        <v>0</v>
      </c>
      <c r="DJ69" s="292">
        <f>(DJ41-'In Process Calc.'!AM7)^2</f>
        <v>253.18832605354876</v>
      </c>
      <c r="DK69" s="292">
        <f>(DK41-'In Process Calc.'!AN7)^2</f>
        <v>305.93103400690313</v>
      </c>
      <c r="DL69" s="292">
        <f>(DL41-'In Process Calc.'!AO7)^2</f>
        <v>4226.5434568725104</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1.2134459350914919</v>
      </c>
      <c r="CM70" s="292">
        <f>(CM42-'In Process Calc.'!P8)^2</f>
        <v>0.16538685759967792</v>
      </c>
      <c r="CN70" s="292">
        <f>(CN42-'In Process Calc.'!Q8)^2</f>
        <v>9.6786424624667937</v>
      </c>
      <c r="CO70" s="292">
        <f>(CO42-'In Process Calc.'!R8)^2</f>
        <v>0.33389914492163081</v>
      </c>
      <c r="CP70" s="292">
        <f>(CP42-'In Process Calc.'!S8)^2</f>
        <v>7.3760833628504418E-3</v>
      </c>
      <c r="CQ70" s="292">
        <f>(CQ42-'In Process Calc.'!T8)^2</f>
        <v>0.67368947769846965</v>
      </c>
      <c r="CR70" s="292">
        <f>(CR42-'In Process Calc.'!U8)^2</f>
        <v>0.10236952732040917</v>
      </c>
      <c r="CS70" s="292">
        <f>(CS42-'In Process Calc.'!V8)^2</f>
        <v>1.6921903967935128</v>
      </c>
      <c r="CT70" s="292">
        <f>(CT42-'In Process Calc.'!W8)^2</f>
        <v>8.3539154493639092E-2</v>
      </c>
      <c r="CU70" s="292">
        <f>(CU42-'In Process Calc.'!X8)^2</f>
        <v>0.3923690692426815</v>
      </c>
      <c r="CV70" s="292">
        <f>(CV42-'In Process Calc.'!Y8)^2</f>
        <v>0.28538978270445103</v>
      </c>
      <c r="CW70" s="292">
        <f>(CW42-'In Process Calc.'!Z8)^2</f>
        <v>3.7550755114006593</v>
      </c>
      <c r="CX70" s="292">
        <f>(CX42-'In Process Calc.'!AA8)^2</f>
        <v>0.55561626447016654</v>
      </c>
      <c r="CY70" s="292">
        <f>(CY42-'In Process Calc.'!AB8)^2</f>
        <v>0.311096123110853</v>
      </c>
      <c r="CZ70" s="292">
        <f>(CZ42-'In Process Calc.'!AC8)^2</f>
        <v>1.802743031290998E-2</v>
      </c>
      <c r="DA70" s="292">
        <f>(DA42-'In Process Calc.'!AD8)^2</f>
        <v>0.19364561773721664</v>
      </c>
      <c r="DB70" s="292">
        <f>(DB42-'In Process Calc.'!AE8)^2</f>
        <v>5.1247981381628407E-2</v>
      </c>
      <c r="DC70" s="292">
        <f>(DC42-'In Process Calc.'!AF8)^2</f>
        <v>0.42769790550821152</v>
      </c>
      <c r="DD70" s="292">
        <f>(DD42-'In Process Calc.'!AG8)^2</f>
        <v>0.22511971654449628</v>
      </c>
      <c r="DE70" s="292">
        <f>(DE42-'In Process Calc.'!AH8)^2</f>
        <v>0.20027120586721672</v>
      </c>
      <c r="DF70" s="292">
        <f>(DF42-'In Process Calc.'!AI8)^2</f>
        <v>2.6769140275731795E-2</v>
      </c>
      <c r="DG70" s="292">
        <f>(DG42-'In Process Calc.'!AJ8)^2</f>
        <v>6.0667670337615512E-2</v>
      </c>
      <c r="DH70" s="292">
        <f>(DH42-'In Process Calc.'!AK8)^2</f>
        <v>0.42621337865216846</v>
      </c>
      <c r="DI70" s="292">
        <f>(DI42-'In Process Calc.'!AL8)^2</f>
        <v>0</v>
      </c>
      <c r="DJ70" s="292">
        <f>(DJ42-'In Process Calc.'!AM8)^2</f>
        <v>232.77234566224152</v>
      </c>
      <c r="DK70" s="292">
        <f>(DK42-'In Process Calc.'!AN8)^2</f>
        <v>188.10840016658869</v>
      </c>
      <c r="DL70" s="292">
        <f>(DL42-'In Process Calc.'!AO8)^2</f>
        <v>2831.1713576015763</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2.8398257607129915</v>
      </c>
      <c r="CM71" s="292">
        <f>(CM43-'In Process Calc.'!P9)^2</f>
        <v>7.9551270083260017E-2</v>
      </c>
      <c r="CN71" s="292">
        <f>(CN43-'In Process Calc.'!Q9)^2</f>
        <v>5.843418192079822</v>
      </c>
      <c r="CO71" s="292">
        <f>(CO43-'In Process Calc.'!R9)^2</f>
        <v>0.45067142683786554</v>
      </c>
      <c r="CP71" s="292">
        <f>(CP43-'In Process Calc.'!S9)^2</f>
        <v>1.3932816636954054E-3</v>
      </c>
      <c r="CQ71" s="292">
        <f>(CQ43-'In Process Calc.'!T9)^2</f>
        <v>0.45610887949711654</v>
      </c>
      <c r="CR71" s="292">
        <f>(CR43-'In Process Calc.'!U9)^2</f>
        <v>2.0893578004130459E-2</v>
      </c>
      <c r="CS71" s="292">
        <f>(CS43-'In Process Calc.'!V9)^2</f>
        <v>14.831111125403686</v>
      </c>
      <c r="CT71" s="292">
        <f>(CT43-'In Process Calc.'!W9)^2</f>
        <v>0.4705245028038737</v>
      </c>
      <c r="CU71" s="292">
        <f>(CU43-'In Process Calc.'!X9)^2</f>
        <v>0.53580416149076293</v>
      </c>
      <c r="CV71" s="292">
        <f>(CV43-'In Process Calc.'!Y9)^2</f>
        <v>0.51784669624943991</v>
      </c>
      <c r="CW71" s="292">
        <f>(CW43-'In Process Calc.'!Z9)^2</f>
        <v>0.1983080247711555</v>
      </c>
      <c r="CX71" s="292">
        <f>(CX43-'In Process Calc.'!AA9)^2</f>
        <v>0.98579061446580318</v>
      </c>
      <c r="CY71" s="292">
        <f>(CY43-'In Process Calc.'!AB9)^2</f>
        <v>0.43704044690811533</v>
      </c>
      <c r="CZ71" s="292">
        <f>(CZ43-'In Process Calc.'!AC9)^2</f>
        <v>4.8573117977301697E-3</v>
      </c>
      <c r="DA71" s="292">
        <f>(DA43-'In Process Calc.'!AD9)^2</f>
        <v>0.96524596260374596</v>
      </c>
      <c r="DB71" s="292">
        <f>(DB43-'In Process Calc.'!AE9)^2</f>
        <v>0.11150380707361461</v>
      </c>
      <c r="DC71" s="292">
        <f>(DC43-'In Process Calc.'!AF9)^2</f>
        <v>7.5861622208905286E-2</v>
      </c>
      <c r="DD71" s="292">
        <f>(DD43-'In Process Calc.'!AG9)^2</f>
        <v>0.12002517763512817</v>
      </c>
      <c r="DE71" s="292">
        <f>(DE43-'In Process Calc.'!AH9)^2</f>
        <v>9.9839137484550894E-2</v>
      </c>
      <c r="DF71" s="292">
        <f>(DF43-'In Process Calc.'!AI9)^2</f>
        <v>3.3083207444458293E-2</v>
      </c>
      <c r="DG71" s="292">
        <f>(DG43-'In Process Calc.'!AJ9)^2</f>
        <v>1.9504496907543946E-2</v>
      </c>
      <c r="DH71" s="292">
        <f>(DH43-'In Process Calc.'!AK9)^2</f>
        <v>1.2566182254622988</v>
      </c>
      <c r="DI71" s="292">
        <f>(DI43-'In Process Calc.'!AL9)^2</f>
        <v>0</v>
      </c>
      <c r="DJ71" s="292">
        <f>(DJ43-'In Process Calc.'!AM9)^2</f>
        <v>236.45764855978624</v>
      </c>
      <c r="DK71" s="292">
        <f>(DK43-'In Process Calc.'!AN9)^2</f>
        <v>215.34008546946197</v>
      </c>
      <c r="DL71" s="292">
        <f>(DL43-'In Process Calc.'!AO9)^2</f>
        <v>4693.2368580198181</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1.0199103527204298</v>
      </c>
      <c r="CM72" s="292">
        <f>(CM44-'In Process Calc.'!P10)^2</f>
        <v>1.1518929918737291</v>
      </c>
      <c r="CN72" s="292">
        <f>(CN44-'In Process Calc.'!Q10)^2</f>
        <v>6.0643776447399107</v>
      </c>
      <c r="CO72" s="292">
        <f>(CO44-'In Process Calc.'!R10)^2</f>
        <v>1.5058222673099229E-2</v>
      </c>
      <c r="CP72" s="292">
        <f>(CP44-'In Process Calc.'!S10)^2</f>
        <v>1.6380801260191671E-2</v>
      </c>
      <c r="CQ72" s="292">
        <f>(CQ44-'In Process Calc.'!T10)^2</f>
        <v>9.684619378946453E-4</v>
      </c>
      <c r="CR72" s="292">
        <f>(CR44-'In Process Calc.'!U10)^2</f>
        <v>0.21454495196672263</v>
      </c>
      <c r="CS72" s="292">
        <f>(CS44-'In Process Calc.'!V10)^2</f>
        <v>56.781300928216901</v>
      </c>
      <c r="CT72" s="292">
        <f>(CT44-'In Process Calc.'!W10)^2</f>
        <v>1.0135199632153027</v>
      </c>
      <c r="CU72" s="292">
        <f>(CU44-'In Process Calc.'!X10)^2</f>
        <v>2.2931665476279518E-3</v>
      </c>
      <c r="CV72" s="292">
        <f>(CV44-'In Process Calc.'!Y10)^2</f>
        <v>1.9684076508767028</v>
      </c>
      <c r="CW72" s="292">
        <f>(CW44-'In Process Calc.'!Z10)^2</f>
        <v>5.435898308592864</v>
      </c>
      <c r="CX72" s="292">
        <f>(CX44-'In Process Calc.'!AA10)^2</f>
        <v>3.3774704558975013</v>
      </c>
      <c r="CY72" s="292">
        <f>(CY44-'In Process Calc.'!AB10)^2</f>
        <v>1.8613716253928043</v>
      </c>
      <c r="CZ72" s="292">
        <f>(CZ44-'In Process Calc.'!AC10)^2</f>
        <v>6.3097446057519676E-3</v>
      </c>
      <c r="DA72" s="292">
        <f>(DA44-'In Process Calc.'!AD10)^2</f>
        <v>6.6558645075650267</v>
      </c>
      <c r="DB72" s="292">
        <f>(DB44-'In Process Calc.'!AE10)^2</f>
        <v>0.46998061415481351</v>
      </c>
      <c r="DC72" s="292">
        <f>(DC44-'In Process Calc.'!AF10)^2</f>
        <v>0.17183246343571015</v>
      </c>
      <c r="DD72" s="292">
        <f>(DD44-'In Process Calc.'!AG10)^2</f>
        <v>3.5708941724086431E-2</v>
      </c>
      <c r="DE72" s="292">
        <f>(DE44-'In Process Calc.'!AH10)^2</f>
        <v>0.15347492496787918</v>
      </c>
      <c r="DF72" s="292">
        <f>(DF44-'In Process Calc.'!AI10)^2</f>
        <v>0.16680106551364351</v>
      </c>
      <c r="DG72" s="292">
        <f>(DG44-'In Process Calc.'!AJ10)^2</f>
        <v>3.0712423378670365E-2</v>
      </c>
      <c r="DH72" s="292">
        <f>(DH44-'In Process Calc.'!AK10)^2</f>
        <v>6.1840805537419596</v>
      </c>
      <c r="DI72" s="292">
        <f>(DI44-'In Process Calc.'!AL10)^2</f>
        <v>0</v>
      </c>
      <c r="DJ72" s="292">
        <f>(DJ44-'In Process Calc.'!AM10)^2</f>
        <v>730.68451223851764</v>
      </c>
      <c r="DK72" s="292">
        <f>(DK44-'In Process Calc.'!AN10)^2</f>
        <v>818.02674122481608</v>
      </c>
      <c r="DL72" s="292">
        <f>(DL44-'In Process Calc.'!AO10)^2</f>
        <v>14326.918466850726</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1.3405997330927808</v>
      </c>
      <c r="CM73" s="292">
        <f>(CM45-'In Process Calc.'!P11)^2</f>
        <v>0.57292581011923094</v>
      </c>
      <c r="CN73" s="292">
        <f>(CN45-'In Process Calc.'!Q11)^2</f>
        <v>9.6233279385090729</v>
      </c>
      <c r="CO73" s="292">
        <f>(CO45-'In Process Calc.'!R11)^2</f>
        <v>1.9669575389048133</v>
      </c>
      <c r="CP73" s="292">
        <f>(CP45-'In Process Calc.'!S11)^2</f>
        <v>1.5330269967262349E-2</v>
      </c>
      <c r="CQ73" s="292">
        <f>(CQ45-'In Process Calc.'!T11)^2</f>
        <v>1.3957120060595509</v>
      </c>
      <c r="CR73" s="292">
        <f>(CR45-'In Process Calc.'!U11)^2</f>
        <v>2.1959572531285703E-2</v>
      </c>
      <c r="CS73" s="292">
        <f>(CS45-'In Process Calc.'!V11)^2</f>
        <v>37.712718174204227</v>
      </c>
      <c r="CT73" s="292">
        <f>(CT45-'In Process Calc.'!W11)^2</f>
        <v>0.33849788135002168</v>
      </c>
      <c r="CU73" s="292">
        <f>(CU45-'In Process Calc.'!X11)^2</f>
        <v>1.4728741707416577E-2</v>
      </c>
      <c r="CV73" s="292">
        <f>(CV45-'In Process Calc.'!Y11)^2</f>
        <v>0.81004254362443662</v>
      </c>
      <c r="CW73" s="292">
        <f>(CW45-'In Process Calc.'!Z11)^2</f>
        <v>13.598729199335045</v>
      </c>
      <c r="CX73" s="292">
        <f>(CX45-'In Process Calc.'!AA11)^2</f>
        <v>1.2215732382076798</v>
      </c>
      <c r="CY73" s="292">
        <f>(CY45-'In Process Calc.'!AB11)^2</f>
        <v>0.8786631976497693</v>
      </c>
      <c r="CZ73" s="292">
        <f>(CZ45-'In Process Calc.'!AC11)^2</f>
        <v>7.7450594676461558E-4</v>
      </c>
      <c r="DA73" s="292">
        <f>(DA45-'In Process Calc.'!AD11)^2</f>
        <v>12.395160719664435</v>
      </c>
      <c r="DB73" s="292">
        <f>(DB45-'In Process Calc.'!AE11)^2</f>
        <v>0.1890630213331434</v>
      </c>
      <c r="DC73" s="292">
        <f>(DC45-'In Process Calc.'!AF11)^2</f>
        <v>3.1764813332177094E-2</v>
      </c>
      <c r="DD73" s="292">
        <f>(DD45-'In Process Calc.'!AG11)^2</f>
        <v>0.1750191860705255</v>
      </c>
      <c r="DE73" s="292">
        <f>(DE45-'In Process Calc.'!AH11)^2</f>
        <v>6.9918192036951413E-3</v>
      </c>
      <c r="DF73" s="292">
        <f>(DF45-'In Process Calc.'!AI11)^2</f>
        <v>8.9605713685502367E-2</v>
      </c>
      <c r="DG73" s="292">
        <f>(DG45-'In Process Calc.'!AJ11)^2</f>
        <v>6.4219910965011501E-3</v>
      </c>
      <c r="DH73" s="292">
        <f>(DH45-'In Process Calc.'!AK11)^2</f>
        <v>3.2759051911924475</v>
      </c>
      <c r="DI73" s="292">
        <f>(DI45-'In Process Calc.'!AL11)^2</f>
        <v>0</v>
      </c>
      <c r="DJ73" s="292">
        <f>(DJ45-'In Process Calc.'!AM11)^2</f>
        <v>178.9489681028374</v>
      </c>
      <c r="DK73" s="292">
        <f>(DK45-'In Process Calc.'!AN11)^2</f>
        <v>326.00829356894519</v>
      </c>
      <c r="DL73" s="292">
        <f>(DL45-'In Process Calc.'!AO11)^2</f>
        <v>5096.9175223047559</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6.4438179428201634</v>
      </c>
      <c r="CM74" s="292">
        <f>(CM46-'In Process Calc.'!P12)^2</f>
        <v>7.1761923780357621E-3</v>
      </c>
      <c r="CN74" s="292">
        <f>(CN46-'In Process Calc.'!Q12)^2</f>
        <v>12.358292277166857</v>
      </c>
      <c r="CO74" s="292">
        <f>(CO46-'In Process Calc.'!R12)^2</f>
        <v>0.23134720332037609</v>
      </c>
      <c r="CP74" s="292">
        <f>(CP46-'In Process Calc.'!S12)^2</f>
        <v>2.8218897344776332E-5</v>
      </c>
      <c r="CQ74" s="292">
        <f>(CQ46-'In Process Calc.'!T12)^2</f>
        <v>2.9468307326013141</v>
      </c>
      <c r="CR74" s="292">
        <f>(CR46-'In Process Calc.'!U12)^2</f>
        <v>5.5137050852585405E-2</v>
      </c>
      <c r="CS74" s="292">
        <f>(CS46-'In Process Calc.'!V12)^2</f>
        <v>0.83304951573997266</v>
      </c>
      <c r="CT74" s="292">
        <f>(CT46-'In Process Calc.'!W12)^2</f>
        <v>7.6279058562732996E-2</v>
      </c>
      <c r="CU74" s="292">
        <f>(CU46-'In Process Calc.'!X12)^2</f>
        <v>6.326401613529864E-2</v>
      </c>
      <c r="CV74" s="292">
        <f>(CV46-'In Process Calc.'!Y12)^2</f>
        <v>0.111373684218258</v>
      </c>
      <c r="CW74" s="292">
        <f>(CW46-'In Process Calc.'!Z12)^2</f>
        <v>0.63175824800189206</v>
      </c>
      <c r="CX74" s="292">
        <f>(CX46-'In Process Calc.'!AA12)^2</f>
        <v>0.17876698167679753</v>
      </c>
      <c r="CY74" s="292">
        <f>(CY46-'In Process Calc.'!AB12)^2</f>
        <v>2.8762870680410071E-2</v>
      </c>
      <c r="CZ74" s="292">
        <f>(CZ46-'In Process Calc.'!AC12)^2</f>
        <v>2.0751331569701045E-2</v>
      </c>
      <c r="DA74" s="292">
        <f>(DA46-'In Process Calc.'!AD12)^2</f>
        <v>2.2501867625984868</v>
      </c>
      <c r="DB74" s="292">
        <f>(DB46-'In Process Calc.'!AE12)^2</f>
        <v>1.472903420134361E-2</v>
      </c>
      <c r="DC74" s="292">
        <f>(DC46-'In Process Calc.'!AF12)^2</f>
        <v>0.22311304756716557</v>
      </c>
      <c r="DD74" s="292">
        <f>(DD46-'In Process Calc.'!AG12)^2</f>
        <v>0.94990800341005899</v>
      </c>
      <c r="DE74" s="292">
        <f>(DE46-'In Process Calc.'!AH12)^2</f>
        <v>0.23084358775795732</v>
      </c>
      <c r="DF74" s="292">
        <f>(DF46-'In Process Calc.'!AI12)^2</f>
        <v>9.139362954601331E-4</v>
      </c>
      <c r="DG74" s="292">
        <f>(DG46-'In Process Calc.'!AJ12)^2</f>
        <v>5.9115181492509425E-2</v>
      </c>
      <c r="DH74" s="292">
        <f>(DH46-'In Process Calc.'!AK12)^2</f>
        <v>1.6092214820784871E-2</v>
      </c>
      <c r="DI74" s="292">
        <f>(DI46-'In Process Calc.'!AL12)^2</f>
        <v>0</v>
      </c>
      <c r="DJ74" s="292">
        <f>(DJ46-'In Process Calc.'!AM12)^2</f>
        <v>4.8866570046468762</v>
      </c>
      <c r="DK74" s="292">
        <f>(DK46-'In Process Calc.'!AN12)^2</f>
        <v>1.3739896551610378</v>
      </c>
      <c r="DL74" s="292">
        <f>(DL46-'In Process Calc.'!AO12)^2</f>
        <v>601.62374115030866</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3.4219756858631665</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topLeftCell="AE1" zoomScale="145" zoomScaleNormal="145" workbookViewId="0">
      <selection activeCell="C15" sqref="C15:AJ17"/>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8" t="s">
        <v>331</v>
      </c>
      <c r="B1" s="539"/>
      <c r="C1" s="539"/>
      <c r="D1" s="539"/>
      <c r="E1" s="539"/>
      <c r="F1" s="539"/>
      <c r="G1" s="539"/>
      <c r="H1" s="539"/>
      <c r="I1" s="539"/>
      <c r="J1" s="539"/>
      <c r="K1" s="539"/>
      <c r="L1" s="539"/>
      <c r="M1" s="539"/>
      <c r="N1" s="539"/>
      <c r="O1" s="539"/>
      <c r="P1" s="539"/>
      <c r="Q1" s="539"/>
      <c r="R1" s="539"/>
      <c r="S1" s="539"/>
      <c r="T1" s="539"/>
      <c r="U1" s="539"/>
      <c r="V1" s="539"/>
      <c r="W1" s="539"/>
      <c r="X1" s="539"/>
      <c r="Y1" s="539"/>
      <c r="Z1" s="539"/>
      <c r="AA1" s="539"/>
      <c r="AB1" s="539"/>
      <c r="AC1" s="539"/>
      <c r="AD1" s="539"/>
      <c r="AE1" s="539"/>
      <c r="AF1" s="539"/>
      <c r="AG1" s="539"/>
      <c r="AH1" s="539"/>
      <c r="AI1" s="539"/>
      <c r="AJ1" s="540"/>
      <c r="AL1" s="541" t="s">
        <v>477</v>
      </c>
      <c r="AM1" s="542"/>
      <c r="AN1" s="542"/>
      <c r="AO1" s="542"/>
      <c r="AP1" s="542"/>
      <c r="AQ1" s="542"/>
      <c r="AR1" s="542"/>
      <c r="AS1" s="542"/>
      <c r="AT1" s="542"/>
      <c r="AU1" s="542"/>
      <c r="AV1" s="542"/>
      <c r="AW1" s="542"/>
      <c r="AX1" s="542"/>
      <c r="AY1" s="542"/>
      <c r="AZ1" s="542"/>
      <c r="BA1" s="542"/>
      <c r="BB1" s="542"/>
      <c r="BC1" s="542"/>
      <c r="BD1" s="542"/>
      <c r="BE1" s="542"/>
      <c r="BF1" s="542"/>
      <c r="BG1" s="542"/>
      <c r="BH1" s="543"/>
    </row>
    <row r="2" spans="1:71" ht="101">
      <c r="A2" s="504" t="s">
        <v>703</v>
      </c>
      <c r="B2" s="511" t="s">
        <v>706</v>
      </c>
      <c r="C2" s="113" t="s">
        <v>337</v>
      </c>
      <c r="D2" s="113" t="s">
        <v>100</v>
      </c>
      <c r="E2" s="113" t="s">
        <v>103</v>
      </c>
      <c r="F2" s="113" t="s">
        <v>243</v>
      </c>
      <c r="G2" s="113" t="s">
        <v>244</v>
      </c>
      <c r="H2" s="113" t="s">
        <v>245</v>
      </c>
      <c r="I2" s="113" t="s">
        <v>246</v>
      </c>
      <c r="J2" s="113" t="s">
        <v>348</v>
      </c>
      <c r="K2" s="113" t="s">
        <v>99</v>
      </c>
      <c r="L2" s="113" t="s">
        <v>247</v>
      </c>
      <c r="M2" s="113" t="s">
        <v>248</v>
      </c>
      <c r="N2" s="113" t="s">
        <v>249</v>
      </c>
      <c r="O2" s="113" t="s">
        <v>250</v>
      </c>
      <c r="P2" s="113" t="s">
        <v>251</v>
      </c>
      <c r="Q2" s="113" t="s">
        <v>252</v>
      </c>
      <c r="R2" s="113" t="s">
        <v>253</v>
      </c>
      <c r="S2" s="113" t="s">
        <v>254</v>
      </c>
      <c r="T2" s="113" t="s">
        <v>255</v>
      </c>
      <c r="U2" s="113" t="s">
        <v>102</v>
      </c>
      <c r="V2" s="113" t="s">
        <v>256</v>
      </c>
      <c r="W2" s="113" t="s">
        <v>349</v>
      </c>
      <c r="X2" s="113" t="s">
        <v>257</v>
      </c>
      <c r="Y2" s="113" t="s">
        <v>258</v>
      </c>
      <c r="Z2" s="113" t="s">
        <v>350</v>
      </c>
      <c r="AA2" s="113" t="s">
        <v>259</v>
      </c>
      <c r="AB2" s="113" t="s">
        <v>260</v>
      </c>
      <c r="AC2" s="113" t="s">
        <v>261</v>
      </c>
      <c r="AD2" s="113" t="s">
        <v>98</v>
      </c>
      <c r="AE2" s="113" t="s">
        <v>262</v>
      </c>
      <c r="AF2" s="113" t="s">
        <v>226</v>
      </c>
      <c r="AG2" s="114" t="s">
        <v>95</v>
      </c>
      <c r="AH2" s="113" t="s">
        <v>9</v>
      </c>
      <c r="AI2" s="113" t="s">
        <v>41</v>
      </c>
      <c r="AJ2" s="113" t="s">
        <v>97</v>
      </c>
      <c r="AK2" s="74" t="s">
        <v>366</v>
      </c>
      <c r="AL2" s="257" t="s">
        <v>17</v>
      </c>
      <c r="AM2" s="257" t="s">
        <v>36</v>
      </c>
      <c r="AN2" s="257" t="s">
        <v>13</v>
      </c>
      <c r="AO2" s="257" t="s">
        <v>11</v>
      </c>
      <c r="AP2" s="258" t="s">
        <v>340</v>
      </c>
      <c r="AQ2" s="257" t="s">
        <v>7</v>
      </c>
      <c r="AR2" s="257" t="s">
        <v>34</v>
      </c>
      <c r="AS2" s="257" t="s">
        <v>12</v>
      </c>
      <c r="AT2" s="257" t="s">
        <v>16</v>
      </c>
      <c r="AU2" s="257" t="s">
        <v>15</v>
      </c>
      <c r="AV2" s="257" t="s">
        <v>38</v>
      </c>
      <c r="AW2" s="257" t="s">
        <v>8</v>
      </c>
      <c r="AX2" s="257" t="s">
        <v>39</v>
      </c>
      <c r="AY2" s="257" t="s">
        <v>40</v>
      </c>
      <c r="AZ2" s="257" t="s">
        <v>19</v>
      </c>
      <c r="BA2" s="257" t="s">
        <v>408</v>
      </c>
      <c r="BB2" s="257" t="s">
        <v>412</v>
      </c>
      <c r="BC2" s="258" t="s">
        <v>341</v>
      </c>
      <c r="BD2" s="257" t="s">
        <v>14</v>
      </c>
      <c r="BE2" s="257" t="s">
        <v>35</v>
      </c>
      <c r="BF2" s="258" t="s">
        <v>342</v>
      </c>
      <c r="BG2" s="257" t="s">
        <v>18</v>
      </c>
      <c r="BH2" s="257" t="s">
        <v>37</v>
      </c>
    </row>
    <row r="3" spans="1:71">
      <c r="A3" s="115">
        <f>'Growth Regression'!M2</f>
        <v>0.26422524334438419</v>
      </c>
      <c r="B3" s="115">
        <f>'Measured Data'!H7*'In Process Calc.'!E3/1000</f>
        <v>0.50309999999999999</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0.61666666675591841</v>
      </c>
      <c r="AL3" s="290">
        <f>'Measured Data'!U7</f>
        <v>6.5000000000000002E-2</v>
      </c>
      <c r="AM3" s="290">
        <f>'Measured Data'!V7</f>
        <v>2.2170000000000001</v>
      </c>
      <c r="AN3" s="290">
        <f>'Measured Data'!W7</f>
        <v>6.718</v>
      </c>
      <c r="AO3" s="290">
        <f>'Measured Data'!X7</f>
        <v>1.8839999999999999</v>
      </c>
      <c r="AP3" s="290">
        <f>'Measured Data'!Y7</f>
        <v>1.123</v>
      </c>
      <c r="AQ3" s="290">
        <f>'Measured Data'!Z7</f>
        <v>34.08157374719687</v>
      </c>
      <c r="AR3" s="290">
        <f>'Measured Data'!AA7</f>
        <v>0</v>
      </c>
      <c r="AS3" s="290">
        <f>'Measured Data'!AB7</f>
        <v>2.4990000000000001</v>
      </c>
      <c r="AT3" s="290">
        <f>'Measured Data'!AC7</f>
        <v>0.21199999999999999</v>
      </c>
      <c r="AU3" s="290">
        <f>'Measured Data'!AD7</f>
        <v>1.3089999999999999</v>
      </c>
      <c r="AV3" s="290">
        <f>'Measured Data'!AE7</f>
        <v>2.9790000000000001</v>
      </c>
      <c r="AW3" s="290">
        <f>'Measured Data'!AF7</f>
        <v>0.6660746003552398</v>
      </c>
      <c r="AX3" s="290">
        <f>'Measured Data'!AG7</f>
        <v>4.5869999999999997</v>
      </c>
      <c r="AY3" s="290">
        <f>'Measured Data'!AH7</f>
        <v>3.5350000000000001</v>
      </c>
      <c r="AZ3" s="290">
        <f>'Measured Data'!AI7</f>
        <v>0.83099999999999996</v>
      </c>
      <c r="BA3" s="290">
        <f>'Measured Data'!AJ7</f>
        <v>0.64</v>
      </c>
      <c r="BB3" s="290">
        <f>'Measured Data'!AK7</f>
        <v>1.357</v>
      </c>
      <c r="BC3" s="290">
        <f>'Measured Data'!AL7</f>
        <v>5.3029999999999999</v>
      </c>
      <c r="BD3" s="290">
        <f>'Measured Data'!AM7</f>
        <v>5.1929999999999996</v>
      </c>
      <c r="BE3" s="290">
        <f>'Measured Data'!AN7</f>
        <v>3.2669999999999999</v>
      </c>
      <c r="BF3" s="290">
        <f>'Measured Data'!AO7</f>
        <v>1.141</v>
      </c>
      <c r="BG3" s="290">
        <f>'Measured Data'!AP7</f>
        <v>1.5580000000000001</v>
      </c>
      <c r="BH3" s="290">
        <f>'Measured Data'!AQ7</f>
        <v>3.2669999999999999</v>
      </c>
    </row>
    <row r="4" spans="1:71">
      <c r="A4" s="115">
        <f>'Measured Data'!H8</f>
        <v>0.43249998817443841</v>
      </c>
      <c r="B4" s="115">
        <f>'Measured Data'!H8*'In Process Calc.'!E4/1000</f>
        <v>0.83039997729492177</v>
      </c>
      <c r="C4" s="295">
        <f>'Growth Regression'!$P3</f>
        <v>2.5849252378696761E-2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-18.929041884271026</v>
      </c>
      <c r="F4" s="115">
        <f xml:space="preserve"> (Regression!$CE$8*6*'In Process Calc.'!$C4^6+Regression!$CD$8*5*'In Process Calc.'!$C4^5+Regression!$CC$8*4*'In Process Calc.'!$C4^3+Regression!$CB$8*3*'In Process Calc.'!$C4^2  + Regression!$CA$8*2*'In Process Calc.'!$C4 + Regression!$BZ$8)/$A4</f>
        <v>9.8495624353183611E-2</v>
      </c>
      <c r="G4" s="115">
        <f xml:space="preserve"> (Regression!$CE$9*6*'In Process Calc.'!$C4^6+Regression!$CD$9*5*'In Process Calc.'!$C4^5+Regression!$CC$9*4*'In Process Calc.'!$C4^3+Regression!$CB$9*3*'In Process Calc.'!$C4^2  + Regression!$CA$9*2*'In Process Calc.'!$C4 + Regression!$BZ$9)/$B4</f>
        <v>-1.4785226862303721E-3</v>
      </c>
      <c r="H4" s="115">
        <f xml:space="preserve"> (Regression!$CE$10*6*'In Process Calc.'!$C4^6+Regression!$CD$10*5*'In Process Calc.'!$C4^5+Regression!$CC$10*4*'In Process Calc.'!$C4^3+Regression!$CB$10*3*'In Process Calc.'!$C4^2  + Regression!$CA$10*2*'In Process Calc.'!$C4 + Regression!$BZ$10)/$B4</f>
        <v>3.3605251098454407E-2</v>
      </c>
      <c r="I4" s="115">
        <f xml:space="preserve"> (Regression!$CE$11*6*'In Process Calc.'!$C4^6+Regression!$CD$11*5*'In Process Calc.'!$C4^5+Regression!$CC$11*4*'In Process Calc.'!$C4^3+Regression!$CB$11*3*'In Process Calc.'!$C4^2  + Regression!$CA$11*2*'In Process Calc.'!$C4 + Regression!$BZ$11)/$A4</f>
        <v>7.0182415339087187E-2</v>
      </c>
      <c r="J4" s="115">
        <f>(Regression!$CE$12*6*'In Process Calc.'!$C4^6+Regression!$CD$12*5*'In Process Calc.'!$C4^5+Regression!$CC$12*4*'In Process Calc.'!$C4^3+Regression!$CB$12*3*'In Process Calc.'!$C4^2  + Regression!$CA$12*2*'In Process Calc.'!$C4 + Regression!$BZ$12)/$A4</f>
        <v>2.109829597435187E-3</v>
      </c>
      <c r="K4" s="115">
        <f xml:space="preserve"> (Regression!$CE$13*6*'In Process Calc.'!$C4^5+Regression!$CD$13*5*'In Process Calc.'!$C4^4+Regression!$CC$13*4*'In Process Calc.'!$C4^3+Regression!$CB$13*3*'In Process Calc.'!$C4^2  + Regression!$CA$13*2*'In Process Calc.'!$C4 + Regression!$BZ$13)/$A4</f>
        <v>4.0979128707748252E-2</v>
      </c>
      <c r="L4" s="115">
        <f xml:space="preserve"> (Regression!$CE$14*6*'In Process Calc.'!$C4^5+Regression!$CD$14*5*'In Process Calc.'!$C4^4+Regression!$CC$14*4*'In Process Calc.'!$C4^3+Regression!$CB$14*3*'In Process Calc.'!$C4^2  + Regression!$CA$14*2*'In Process Calc.'!$C4 + Regression!$BZ$14)/$B4</f>
        <v>-2.1788301503209831E-2</v>
      </c>
      <c r="M4" s="115">
        <f xml:space="preserve"> (Regression!$CE$15*6*'In Process Calc.'!$C4^6+Regression!$CD$15*5*'In Process Calc.'!$C4^5+Regression!$CC$15*4*'In Process Calc.'!$C4^3+Regression!$CB$15*3*'In Process Calc.'!$C4^2  + Regression!$CA$15*2*'In Process Calc.'!$C4 + Regression!$BZ$15)/$A4</f>
        <v>-0.38333781517343507</v>
      </c>
      <c r="N4" s="115">
        <f xml:space="preserve"> (Regression!$CE$16*6*'In Process Calc.'!$C4^6+Regression!$CD$16*5*'In Process Calc.'!$C4^5+Regression!$CC$16*4*'In Process Calc.'!$C4^3+Regression!$CB$16*3*'In Process Calc.'!$C4^2  + Regression!$CA$16*2*'In Process Calc.'!$C4 + Regression!$BZ$16)/$A4</f>
        <v>-8.9430046535007093E-2</v>
      </c>
      <c r="O4" s="115">
        <f xml:space="preserve"> (Regression!$CE$17*6*'In Process Calc.'!$C4^6+Regression!$CD$17*5*'In Process Calc.'!$C4^5+Regression!$CC$17*4*'In Process Calc.'!$C4^3+Regression!$CB$17*3*'In Process Calc.'!$C4^2  + Regression!$CA$17*2*'In Process Calc.'!$C4 + Regression!$BZ$17)/$A4</f>
        <v>-1.8304527758454803E-2</v>
      </c>
      <c r="P4" s="115">
        <f xml:space="preserve"> (Regression!$CE$18*6*'In Process Calc.'!$C4^6+Regression!$CD$18*5*'In Process Calc.'!$C4^5+Regression!$CC$18*4*'In Process Calc.'!$C4^3+Regression!$CB$18*3*'In Process Calc.'!$C4^2  + Regression!$CA$18*2*'In Process Calc.'!$C4 + Regression!$BZ$18)/$A4</f>
        <v>-2.8373910678298832E-2</v>
      </c>
      <c r="Q4" s="115">
        <f xml:space="preserve"> (Regression!$CE$19*6*'In Process Calc.'!$C4^5+Regression!$CD$19*5*'In Process Calc.'!$C4^4+Regression!$CC$19*4*'In Process Calc.'!$C4^3 +Regression!$CB$19*3*'In Process Calc.'!$C4^2 + Regression!$CA$19*2*'In Process Calc.'!$C4 + Regression!$BZ$19)/$B4</f>
        <v>1.6113994448061195E-2</v>
      </c>
      <c r="R4" s="115">
        <f xml:space="preserve"> (Regression!$CE$20*6*'In Process Calc.'!$C4^5+Regression!$CD$20*5*'In Process Calc.'!$C4^4+Regression!$CC$20*4*'In Process Calc.'!$C4^3 +Regression!$CB$20*3*'In Process Calc.'!$C4^2 + Regression!$CA$20*2*'In Process Calc.'!$C4 + Regression!$BZ$20)/$A4</f>
        <v>-3.7002599268038464E-2</v>
      </c>
      <c r="S4" s="115">
        <f xml:space="preserve"> (Regression!$CE$21*6*'In Process Calc.'!$C4^5+Regression!$CD$21*5*'In Process Calc.'!$C4^4+Regression!$CC$21*4*'In Process Calc.'!$C4^3 +Regression!$CB$21*3*'In Process Calc.'!$C4^2 + Regression!$CA$21*2*'In Process Calc.'!$C4 + Regression!$BZ$21)/$A4</f>
        <v>-3.092051520107186E-2</v>
      </c>
      <c r="T4" s="115">
        <f xml:space="preserve"> (Regression!$CE$22*6*'In Process Calc.'!$C4^5+Regression!$CD$22*5*'In Process Calc.'!$C4^4+Regression!$CC$22*4*'In Process Calc.'!$C4^3 +Regression!$CB$22*3*'In Process Calc.'!$C4^2 + Regression!$CA$22*2*'In Process Calc.'!$C4 + Regression!$BZ$22)/$A4</f>
        <v>4.7293295876413479E-3</v>
      </c>
      <c r="U4" s="115">
        <f xml:space="preserve"> (Regression!$CE$23*6*'In Process Calc.'!$C4^5+Regression!$CD$23*5*'In Process Calc.'!$C4^4+Regression!$CC$23*4*'In Process Calc.'!$C4^3 +Regression!$CB$23*3*'In Process Calc.'!$C4^2 + Regression!$CA$23*2*'In Process Calc.'!$C4 + Regression!$BZ$23)/$A4</f>
        <v>-0.1392914128459713</v>
      </c>
      <c r="V4" s="115">
        <f xml:space="preserve"> (Regression!$CE$24*6*'In Process Calc.'!$C4^5+Regression!$CD$24*5*'In Process Calc.'!$C4^4+Regression!$CC$24*4*'In Process Calc.'!$C4^3 +Regression!$CB$24*3*'In Process Calc.'!$C4^2 + Regression!$CA$24*2*'In Process Calc.'!$C4 + Regression!$BZ$24)/$A4</f>
        <v>-1.635447897528302E-2</v>
      </c>
      <c r="W4" s="115">
        <f xml:space="preserve"> (Regression!$CE$25*6*'In Process Calc.'!$C4^5+Regression!$CD$25*5*'In Process Calc.'!$C4^4+Regression!$CC$25*4*'In Process Calc.'!$C4^3 +Regression!$CB$25*3*'In Process Calc.'!$C4^2 + Regression!$CA$25*2*'In Process Calc.'!$C4 + Regression!$BZ$25)/$A4</f>
        <v>2.4043009875281549E-2</v>
      </c>
      <c r="X4" s="115">
        <f xml:space="preserve"> (Regression!$CE$26*6*'In Process Calc.'!$C4^5+Regression!$CD$26*5*'In Process Calc.'!$C4^4+Regression!$CC$26*4*'In Process Calc.'!$C4^3 +Regression!$CB$26*3*'In Process Calc.'!$C4^2 + Regression!$CA$26*2*'In Process Calc.'!$C4 + Regression!$BZ$26)/$A4</f>
        <v>6.3077544630334131E-2</v>
      </c>
      <c r="Y4" s="115">
        <f xml:space="preserve"> (Regression!$CE$27*6*'In Process Calc.'!$C4^5+Regression!$CD$27*5*'In Process Calc.'!$C4^4+Regression!$CC$27*4*'In Process Calc.'!$C4^3 +Regression!$CB$27*3*'In Process Calc.'!$C4^2 + Regression!$CA$27*2*'In Process Calc.'!$C4 + Regression!$BZ$27)/$A4</f>
        <v>2.3477057927152626E-3</v>
      </c>
      <c r="Z4" s="115">
        <f xml:space="preserve"> (Regression!$CE$28*6*'In Process Calc.'!$C4^5+Regression!$CD$28*5*'In Process Calc.'!$C4^4+Regression!$CC$28*4*'In Process Calc.'!$C4^3 +Regression!$CB$28*3*'In Process Calc.'!$C4^2 + Regression!$CA$28*2*'In Process Calc.'!$C4 + Regression!$BZ$28)/$A4</f>
        <v>-1.588874958190014E-3</v>
      </c>
      <c r="AA4" s="115">
        <f xml:space="preserve"> (Regression!$CE$29*6*'In Process Calc.'!$C4^5+Regression!$CD$29*5*'In Process Calc.'!$C4^4+Regression!$CC$29*4*'In Process Calc.'!$C4^3 +Regression!$CB$29*3*'In Process Calc.'!$C4^2 + Regression!$CA$29*2*'In Process Calc.'!$C4 + Regression!$BZ$29)/$A4</f>
        <v>-1.1513107126300331E-3</v>
      </c>
      <c r="AB4" s="115">
        <f xml:space="preserve"> (Regression!$CE$30*6*'In Process Calc.'!$C4^5+Regression!$CD$30*5*'In Process Calc.'!$C4^4+Regression!$CC$30*4*'In Process Calc.'!$C4^3 +Regression!$CB$30*3*'In Process Calc.'!$C4^2 + Regression!$CA$30*2*'In Process Calc.'!$C4 + Regression!$BZ$30)/$A4</f>
        <v>-7.402291767897283E-2</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-0.51347296105980933</v>
      </c>
      <c r="AE4" s="115">
        <f xml:space="preserve"> (Regression!$CE$33*6*'In Process Calc.'!$C4^5+Regression!$CD$33*5*'In Process Calc.'!$C4^4+Regression!$CC$33*4*'In Process Calc.'!$C4^3 +Regression!$CB$33*3*'In Process Calc.'!$C4^2 + Regression!$CA$33*2*'In Process Calc.'!$C4 + Regression!$BZ$33)/$A4</f>
        <v>-0.55426874955259675</v>
      </c>
      <c r="AF4" s="115">
        <f xml:space="preserve"> (Regression!$CE$34*6*'In Process Calc.'!$C4^5+Regression!$CD$34*5*'In Process Calc.'!$C4^4+Regression!$CC$34*4*'In Process Calc.'!$C4^3 +Regression!$CB$34*3*'In Process Calc.'!$C4^2 + Regression!$CA$34*2*'In Process Calc.'!$C4 + Regression!$BZ$34)/$A4</f>
        <v>-3.3920248272683651</v>
      </c>
      <c r="AG4" s="116">
        <f t="shared" ref="AG4:AG17" si="0">$Q4/$K4</f>
        <v>0.393224428049257</v>
      </c>
      <c r="AH4" s="116">
        <f>$D4/$K4</f>
        <v>0</v>
      </c>
      <c r="AI4" s="116">
        <f t="shared" ref="AI4:AI17" si="1">$L4/$K4</f>
        <v>-0.53169264916777359</v>
      </c>
      <c r="AJ4" s="116">
        <f t="shared" ref="AJ4:AJ17" si="2">$U4/$L4</f>
        <v>6.3929449858884606</v>
      </c>
      <c r="AK4" s="76">
        <f>'In Process Calc.'!C4</f>
        <v>21.28333333338378</v>
      </c>
      <c r="AL4" s="122">
        <f>((Regression!CL37-Regression!CL38)*1000+'Post Process Calc.'!AL3*'In Process Calc.'!$E4+'In Process Calc.'!$G3*'Measured Data'!AS7+'In Process Calc.'!$F3*'Measured Data'!AS7)/'In Process Calc.'!$J3</f>
        <v>-0.62665591107790486</v>
      </c>
      <c r="AM4" s="122">
        <f>((Regression!CM37-Regression!CM38)*1000+'Post Process Calc.'!AM3*'In Process Calc.'!$E4+'In Process Calc.'!$G3*'Measured Data'!AT7+'In Process Calc.'!$F3*'Measured Data'!AT7)/'In Process Calc.'!$J3</f>
        <v>2.1785022117054784</v>
      </c>
      <c r="AN4" s="122">
        <f>((Regression!CN37-Regression!CN38)*1000+'Post Process Calc.'!AN3*'In Process Calc.'!$E4+'In Process Calc.'!$G3*'Measured Data'!AU7+'In Process Calc.'!$F3*'Measured Data'!AU7)/'In Process Calc.'!$J3</f>
        <v>6.1713913971105514</v>
      </c>
      <c r="AO4" s="122">
        <f>((Regression!CO37-Regression!CO38)*1000+'Post Process Calc.'!AO3*'In Process Calc.'!$E4+'In Process Calc.'!$G3*'Measured Data'!AV7+'In Process Calc.'!$F3*'Measured Data'!AV7)/'In Process Calc.'!$J3</f>
        <v>1.3696911818565125</v>
      </c>
      <c r="AP4" s="122">
        <f>((Regression!CP37-Regression!CP38)*1000+'Post Process Calc.'!AP3*'In Process Calc.'!$E4+'In Process Calc.'!$G3*'Measured Data'!AW7+'In Process Calc.'!$F3*'Measured Data'!AW7)/'In Process Calc.'!$J3</f>
        <v>1.1242121982096942</v>
      </c>
      <c r="AQ4" s="122">
        <f>((Regression!CQ37-Regression!CQ38)*1000+'Post Process Calc.'!AQ3*'In Process Calc.'!$E4+'In Process Calc.'!$G3*'Measured Data'!AX7+'In Process Calc.'!$F3*'Measured Data'!AX7)/'In Process Calc.'!$J3</f>
        <v>33.935343268772868</v>
      </c>
      <c r="AR4" s="122">
        <f>((Regression!CR37-Regression!CR38)*1000+'Post Process Calc.'!AR3*'In Process Calc.'!$E4+'In Process Calc.'!$G3*'Measured Data'!AY7+'In Process Calc.'!$F3*'Measured Data'!AY7)/'In Process Calc.'!$J3</f>
        <v>9.544450624903944E-2</v>
      </c>
      <c r="AS4" s="122">
        <f>((Regression!CS37-Regression!CS38)*1000+'Post Process Calc.'!AS3*'In Process Calc.'!$E4+'In Process Calc.'!$G3*'Measured Data'!AZ7+'In Process Calc.'!$F3*'Measured Data'!AZ7)/'In Process Calc.'!$J3</f>
        <v>4.2453694306197649</v>
      </c>
      <c r="AT4" s="122">
        <f>((Regression!CT37-Regression!CT38)*1000+'Post Process Calc.'!AT3*'In Process Calc.'!$E4+'In Process Calc.'!$G3*'Measured Data'!BA7+'In Process Calc.'!$F3*'Measured Data'!BA7)/'In Process Calc.'!$J3</f>
        <v>0.69194361379160496</v>
      </c>
      <c r="AU4" s="122">
        <f>((Regression!CU37-Regression!CU38)*1000+'Post Process Calc.'!AU3*'In Process Calc.'!$E4+'In Process Calc.'!$G3*'Measured Data'!BB7+'In Process Calc.'!$F3*'Measured Data'!BB7)/'In Process Calc.'!$J3</f>
        <v>1.404092562033322</v>
      </c>
      <c r="AV4" s="122">
        <f>((Regression!CV37-Regression!CV38)*1000+'Post Process Calc.'!AV3*'In Process Calc.'!$E4+'In Process Calc.'!$G3*'Measured Data'!BC7+'In Process Calc.'!$F3*'Measured Data'!BC7)/'In Process Calc.'!$J3</f>
        <v>3.0871232222682696</v>
      </c>
      <c r="AW4" s="122">
        <f>((Regression!CW37-Regression!CW38)*1000+'Post Process Calc.'!AW3*'In Process Calc.'!$E4+'In Process Calc.'!$G3*'Measured Data'!BE7+'In Process Calc.'!$F3*'Measured Data'!BE7)/'In Process Calc.'!$J3</f>
        <v>1.2230365461593435</v>
      </c>
      <c r="AX4" s="122">
        <f>((Regression!CX37-Regression!CX38)*1000+'Post Process Calc.'!AX3*'In Process Calc.'!$E4+'In Process Calc.'!$G3*'Measured Data'!BF7+'In Process Calc.'!$F3*'Measured Data'!BF7)/'In Process Calc.'!$J3</f>
        <v>4.7457239006968006</v>
      </c>
      <c r="AY4" s="122">
        <f>((Regression!CY37-Regression!CY38)*1000+'Post Process Calc.'!AY3*'In Process Calc.'!$E4+'In Process Calc.'!$G3*'Measured Data'!BG7+'In Process Calc.'!$F3*'Measured Data'!BG7)/'In Process Calc.'!$J3</f>
        <v>3.6313795191855371</v>
      </c>
      <c r="AZ4" s="122">
        <f>((Regression!CZ37-Regression!CZ38)*1000+'Post Process Calc.'!AZ3*'In Process Calc.'!$E4+'In Process Calc.'!$G3*'Measured Data'!BI7+'In Process Calc.'!$F3*'Measured Data'!BI7)/'In Process Calc.'!$J3</f>
        <v>0.81821711528086172</v>
      </c>
      <c r="BA4" s="122">
        <f>((Regression!DA37-Regression!DA38)*1000+'Post Process Calc.'!BA3*'In Process Calc.'!$E4+'In Process Calc.'!$G3*'Measured Data'!BJ7+'In Process Calc.'!$F3*'Measured Data'!BJ7)/'In Process Calc.'!$J3</f>
        <v>1.2493833232222433</v>
      </c>
      <c r="BB4" s="122">
        <f>((Regression!DB37-Regression!DB38)*1000+'Post Process Calc.'!BB3*'In Process Calc.'!$E4+'In Process Calc.'!$G3*'Measured Data'!BK7+'In Process Calc.'!$F3*'Measured Data'!BK7)/'In Process Calc.'!$J3</f>
        <v>1.4174467373289465</v>
      </c>
      <c r="BC4" s="122">
        <f>((Regression!DC37-Regression!DC38)*1000+'Post Process Calc.'!BC3*'In Process Calc.'!$E4+'In Process Calc.'!$G3*'Measured Data'!BL7+'In Process Calc.'!$F3*'Measured Data'!BL7)/'In Process Calc.'!$J3</f>
        <v>5.1954055460846238</v>
      </c>
      <c r="BD4" s="122">
        <f>((Regression!DD37-Regression!DD38)*1000+'Post Process Calc.'!BD3*'In Process Calc.'!$E4+'In Process Calc.'!$G3*'Measured Data'!BM7+'In Process Calc.'!$F3*'Measured Data'!BM7)/'In Process Calc.'!$J3</f>
        <v>4.9176595014432829</v>
      </c>
      <c r="BE4" s="122">
        <f>((Regression!DE37-Regression!DE38)*1000+'Post Process Calc.'!BE3*'In Process Calc.'!$E4+'In Process Calc.'!$G3*'Measured Data'!BN7+'In Process Calc.'!$F3*'Measured Data'!BN7)/'In Process Calc.'!$J3</f>
        <v>3.2894477888065841</v>
      </c>
      <c r="BF4" s="122">
        <f>((Regression!DF37-Regression!DF38)*1000+'Post Process Calc.'!BF3*'In Process Calc.'!$E4+'In Process Calc.'!$G3*'Measured Data'!BO7+'In Process Calc.'!$F3*'Measured Data'!BO7)/'In Process Calc.'!$J3</f>
        <v>1.1265625937059041</v>
      </c>
      <c r="BG4" s="122">
        <f>((Regression!DG37-Regression!DG38)*1000+'Post Process Calc.'!BG3*'In Process Calc.'!$E4+'In Process Calc.'!$G3*'Measured Data'!BP7+'In Process Calc.'!$F3*'Measured Data'!BP7)/'In Process Calc.'!$J3</f>
        <v>1.5849954355189921</v>
      </c>
      <c r="BH4" s="122">
        <f>((Regression!DH37-Regression!DH38)*1000+'Post Process Calc.'!BH3*'In Process Calc.'!$E4+'In Process Calc.'!$G3*'Measured Data'!BQ7+'In Process Calc.'!$F3*'Measured Data'!BQ7)/'In Process Calc.'!$J3</f>
        <v>3.5354932684621985</v>
      </c>
      <c r="BS4" s="294"/>
    </row>
    <row r="5" spans="1:71">
      <c r="A5" s="115">
        <f>'Measured Data'!H9</f>
        <v>0.84</v>
      </c>
      <c r="B5" s="115">
        <f>'Measured Data'!H9*'In Process Calc.'!E5/1000</f>
        <v>1.6002000000000001</v>
      </c>
      <c r="C5" s="295">
        <f>'Growth Regression'!$P4</f>
        <v>2.5150830105033578E-2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-1.5458036888960165</v>
      </c>
      <c r="F5" s="115">
        <f xml:space="preserve"> (Regression!$CE$8*6*'In Process Calc.'!$C5^6+Regression!$CD$8*5*'In Process Calc.'!$C5^5+Regression!$CC$8*4*'In Process Calc.'!$C5^3+Regression!$CB$8*3*'In Process Calc.'!$C5^2  + Regression!$CA$8*2*'In Process Calc.'!$C5 + Regression!$BZ$8)/$A5</f>
        <v>-7.8687591101249867E-3</v>
      </c>
      <c r="G5" s="115">
        <f xml:space="preserve"> (Regression!$CE$9*6*'In Process Calc.'!$C5^6+Regression!$CD$9*5*'In Process Calc.'!$C5^5+Regression!$CC$9*4*'In Process Calc.'!$C5^3+Regression!$CB$9*3*'In Process Calc.'!$C5^2  + Regression!$CA$9*2*'In Process Calc.'!$C5 + Regression!$BZ$9)/$B5</f>
        <v>-4.9375296149146023E-3</v>
      </c>
      <c r="H5" s="115">
        <f xml:space="preserve"> (Regression!$CE$10*6*'In Process Calc.'!$C5^6+Regression!$CD$10*5*'In Process Calc.'!$C5^5+Regression!$CC$10*4*'In Process Calc.'!$C5^3+Regression!$CB$10*3*'In Process Calc.'!$C5^2  + Regression!$CA$10*2*'In Process Calc.'!$C5 + Regression!$BZ$10)/$B5</f>
        <v>1.4326743173083321E-3</v>
      </c>
      <c r="I5" s="115">
        <f xml:space="preserve"> (Regression!$CE$11*6*'In Process Calc.'!$C5^6+Regression!$CD$11*5*'In Process Calc.'!$C5^5+Regression!$CC$11*4*'In Process Calc.'!$C5^3+Regression!$CB$11*3*'In Process Calc.'!$C5^2  + Regression!$CA$11*2*'In Process Calc.'!$C5 + Regression!$BZ$11)/$A5</f>
        <v>-1.4355056811020956E-3</v>
      </c>
      <c r="J5" s="115">
        <f>(Regression!$CE$12*6*'In Process Calc.'!$C5^6+Regression!$CD$12*5*'In Process Calc.'!$C5^5+Regression!$CC$12*4*'In Process Calc.'!$C5^3+Regression!$CB$12*3*'In Process Calc.'!$C5^2  + Regression!$CA$12*2*'In Process Calc.'!$C5 + Regression!$BZ$12)/$A5</f>
        <v>5.9541915396956347E-3</v>
      </c>
      <c r="K5" s="115">
        <f xml:space="preserve"> (Regression!$CE$13*6*'In Process Calc.'!$C5^5+Regression!$CD$13*5*'In Process Calc.'!$C5^4+Regression!$CC$13*4*'In Process Calc.'!$C5^3+Regression!$CB$13*3*'In Process Calc.'!$C5^2  + Regression!$CA$13*2*'In Process Calc.'!$C5 + Regression!$BZ$13)/$A5</f>
        <v>0.10944412662374273</v>
      </c>
      <c r="L5" s="115">
        <f xml:space="preserve"> (Regression!$CE$14*6*'In Process Calc.'!$C5^5+Regression!$CD$14*5*'In Process Calc.'!$C5^4+Regression!$CC$14*4*'In Process Calc.'!$C5^3+Regression!$CB$14*3*'In Process Calc.'!$C5^2  + Regression!$CA$14*2*'In Process Calc.'!$C5 + Regression!$BZ$14)/$B5</f>
        <v>-7.4697979419109453E-3</v>
      </c>
      <c r="M5" s="115">
        <f xml:space="preserve"> (Regression!$CE$15*6*'In Process Calc.'!$C5^6+Regression!$CD$15*5*'In Process Calc.'!$C5^5+Regression!$CC$15*4*'In Process Calc.'!$C5^3+Regression!$CB$15*3*'In Process Calc.'!$C5^2  + Regression!$CA$15*2*'In Process Calc.'!$C5 + Regression!$BZ$15)/$A5</f>
        <v>-0.191712929183664</v>
      </c>
      <c r="N5" s="115">
        <f xml:space="preserve"> (Regression!$CE$16*6*'In Process Calc.'!$C5^6+Regression!$CD$16*5*'In Process Calc.'!$C5^5+Regression!$CC$16*4*'In Process Calc.'!$C5^3+Regression!$CB$16*3*'In Process Calc.'!$C5^2  + Regression!$CA$16*2*'In Process Calc.'!$C5 + Regression!$BZ$16)/$A5</f>
        <v>-2.82486380780286E-2</v>
      </c>
      <c r="O5" s="115">
        <f xml:space="preserve"> (Regression!$CE$17*6*'In Process Calc.'!$C5^6+Regression!$CD$17*5*'In Process Calc.'!$C5^5+Regression!$CC$17*4*'In Process Calc.'!$C5^3+Regression!$CB$17*3*'In Process Calc.'!$C5^2  + Regression!$CA$17*2*'In Process Calc.'!$C5 + Regression!$BZ$17)/$A5</f>
        <v>-3.9208392085177558E-3</v>
      </c>
      <c r="P5" s="115">
        <f xml:space="preserve"> (Regression!$CE$18*6*'In Process Calc.'!$C5^6+Regression!$CD$18*5*'In Process Calc.'!$C5^5+Regression!$CC$18*4*'In Process Calc.'!$C5^3+Regression!$CB$18*3*'In Process Calc.'!$C5^2  + Regression!$CA$18*2*'In Process Calc.'!$C5 + Regression!$BZ$18)/$A5</f>
        <v>-1.3881564768262109E-2</v>
      </c>
      <c r="Q5" s="115">
        <f xml:space="preserve"> (Regression!$CE$19*6*'In Process Calc.'!$C5^5+Regression!$CD$19*5*'In Process Calc.'!$C5^4+Regression!$CC$19*4*'In Process Calc.'!$C5^3 +Regression!$CB$19*3*'In Process Calc.'!$C5^2 + Regression!$CA$19*2*'In Process Calc.'!$C5 + Regression!$BZ$19)/$B5</f>
        <v>8.3067473273430462E-2</v>
      </c>
      <c r="R5" s="115">
        <f xml:space="preserve"> (Regression!$CE$20*6*'In Process Calc.'!$C5^5+Regression!$CD$20*5*'In Process Calc.'!$C5^4+Regression!$CC$20*4*'In Process Calc.'!$C5^3 +Regression!$CB$20*3*'In Process Calc.'!$C5^2 + Regression!$CA$20*2*'In Process Calc.'!$C5 + Regression!$BZ$20)/$A5</f>
        <v>-1.1808240335662988E-2</v>
      </c>
      <c r="S5" s="115">
        <f xml:space="preserve"> (Regression!$CE$21*6*'In Process Calc.'!$C5^5+Regression!$CD$21*5*'In Process Calc.'!$C5^4+Regression!$CC$21*4*'In Process Calc.'!$C5^3 +Regression!$CB$21*3*'In Process Calc.'!$C5^2 + Regression!$CA$21*2*'In Process Calc.'!$C5 + Regression!$BZ$21)/$A5</f>
        <v>-1.9268282505815224E-2</v>
      </c>
      <c r="T5" s="115">
        <f xml:space="preserve"> (Regression!$CE$22*6*'In Process Calc.'!$C5^5+Regression!$CD$22*5*'In Process Calc.'!$C5^4+Regression!$CC$22*4*'In Process Calc.'!$C5^3 +Regression!$CB$22*3*'In Process Calc.'!$C5^2 + Regression!$CA$22*2*'In Process Calc.'!$C5 + Regression!$BZ$22)/$A5</f>
        <v>6.1957086790605338E-3</v>
      </c>
      <c r="U5" s="115">
        <f xml:space="preserve"> (Regression!$CE$23*6*'In Process Calc.'!$C5^5+Regression!$CD$23*5*'In Process Calc.'!$C5^4+Regression!$CC$23*4*'In Process Calc.'!$C5^3 +Regression!$CB$23*3*'In Process Calc.'!$C5^2 + Regression!$CA$23*2*'In Process Calc.'!$C5 + Regression!$BZ$23)/$A5</f>
        <v>-7.893539044450644E-2</v>
      </c>
      <c r="V5" s="115">
        <f xml:space="preserve"> (Regression!$CE$24*6*'In Process Calc.'!$C5^5+Regression!$CD$24*5*'In Process Calc.'!$C5^4+Regression!$CC$24*4*'In Process Calc.'!$C5^3 +Regression!$CB$24*3*'In Process Calc.'!$C5^2 + Regression!$CA$24*2*'In Process Calc.'!$C5 + Regression!$BZ$24)/$A5</f>
        <v>-8.8997696663846559E-3</v>
      </c>
      <c r="W5" s="115">
        <f xml:space="preserve"> (Regression!$CE$25*6*'In Process Calc.'!$C5^5+Regression!$CD$25*5*'In Process Calc.'!$C5^4+Regression!$CC$25*4*'In Process Calc.'!$C5^3 +Regression!$CB$25*3*'In Process Calc.'!$C5^2 + Regression!$CA$25*2*'In Process Calc.'!$C5 + Regression!$BZ$25)/$A5</f>
        <v>2.3184956364357759E-2</v>
      </c>
      <c r="X5" s="115">
        <f xml:space="preserve"> (Regression!$CE$26*6*'In Process Calc.'!$C5^5+Regression!$CD$26*5*'In Process Calc.'!$C5^4+Regression!$CC$26*4*'In Process Calc.'!$C5^3 +Regression!$CB$26*3*'In Process Calc.'!$C5^2 + Regression!$CA$26*2*'In Process Calc.'!$C5 + Regression!$BZ$26)/$A5</f>
        <v>4.5786259755064229E-2</v>
      </c>
      <c r="Y5" s="115">
        <f xml:space="preserve"> (Regression!$CE$27*6*'In Process Calc.'!$C5^5+Regression!$CD$27*5*'In Process Calc.'!$C5^4+Regression!$CC$27*4*'In Process Calc.'!$C5^3 +Regression!$CB$27*3*'In Process Calc.'!$C5^2 + Regression!$CA$27*2*'In Process Calc.'!$C5 + Regression!$BZ$27)/$A5</f>
        <v>1.5888569666529878E-2</v>
      </c>
      <c r="Z5" s="115">
        <f xml:space="preserve"> (Regression!$CE$28*6*'In Process Calc.'!$C5^5+Regression!$CD$28*5*'In Process Calc.'!$C5^4+Regression!$CC$28*4*'In Process Calc.'!$C5^3 +Regression!$CB$28*3*'In Process Calc.'!$C5^2 + Regression!$CA$28*2*'In Process Calc.'!$C5 + Regression!$BZ$28)/$A5</f>
        <v>-3.7293362806272603E-3</v>
      </c>
      <c r="AA5" s="115">
        <f xml:space="preserve"> (Regression!$CE$29*6*'In Process Calc.'!$C5^5+Regression!$CD$29*5*'In Process Calc.'!$C5^4+Regression!$CC$29*4*'In Process Calc.'!$C5^3 +Regression!$CB$29*3*'In Process Calc.'!$C5^2 + Regression!$CA$29*2*'In Process Calc.'!$C5 + Regression!$BZ$29)/$A5</f>
        <v>7.797729110753682E-3</v>
      </c>
      <c r="AB5" s="115">
        <f xml:space="preserve"> (Regression!$CE$30*6*'In Process Calc.'!$C5^5+Regression!$CD$30*5*'In Process Calc.'!$C5^4+Regression!$CC$30*4*'In Process Calc.'!$C5^3 +Regression!$CB$30*3*'In Process Calc.'!$C5^2 + Regression!$CA$30*2*'In Process Calc.'!$C5 + Regression!$BZ$30)/$A5</f>
        <v>-4.7883493399010192E-2</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-0.26106882954478955</v>
      </c>
      <c r="AE5" s="115">
        <f xml:space="preserve"> (Regression!$CE$33*6*'In Process Calc.'!$C5^5+Regression!$CD$33*5*'In Process Calc.'!$C5^4+Regression!$CC$33*4*'In Process Calc.'!$C5^3 +Regression!$CB$33*3*'In Process Calc.'!$C5^2 + Regression!$CA$33*2*'In Process Calc.'!$C5 + Regression!$BZ$33)/$A5</f>
        <v>-0.347872979099421</v>
      </c>
      <c r="AF5" s="115">
        <f xml:space="preserve"> (Regression!$CE$34*6*'In Process Calc.'!$C5^5+Regression!$CD$34*5*'In Process Calc.'!$C5^4+Regression!$CC$34*4*'In Process Calc.'!$C5^3 +Regression!$CB$34*3*'In Process Calc.'!$C5^2 + Regression!$CA$34*2*'In Process Calc.'!$C5 + Regression!$BZ$34)/$A5</f>
        <v>-1.3632047312722133</v>
      </c>
      <c r="AG5" s="116">
        <f t="shared" si="0"/>
        <v>0.75899434566285684</v>
      </c>
      <c r="AH5" s="116">
        <f t="shared" ref="AH5:AH17" si="3">$D5/$K5</f>
        <v>0</v>
      </c>
      <c r="AI5" s="116">
        <f t="shared" si="1"/>
        <v>-6.8252159091106976E-2</v>
      </c>
      <c r="AJ5" s="116">
        <f t="shared" si="2"/>
        <v>10.567272509691602</v>
      </c>
      <c r="AK5" s="76">
        <f>'In Process Calc.'!C5</f>
        <v>48.550000000046566</v>
      </c>
      <c r="AL5" s="122">
        <f>((Regression!CL38-Regression!CL39)*1000+'Post Process Calc.'!AL4*'In Process Calc.'!$E5+'In Process Calc.'!$G4*'Measured Data'!AS8+'In Process Calc.'!$F4*'Measured Data'!AS8)/'In Process Calc.'!$J4</f>
        <v>-0.86294061226498864</v>
      </c>
      <c r="AM5" s="122">
        <f>((Regression!CM38-Regression!CM39)*1000+'Post Process Calc.'!AM4*'In Process Calc.'!$E5+'In Process Calc.'!$G4*'Measured Data'!AT8+'In Process Calc.'!$F4*'Measured Data'!AT8)/'In Process Calc.'!$J4</f>
        <v>2.2291836439186041</v>
      </c>
      <c r="AN5" s="122">
        <f>((Regression!CN38-Regression!CN39)*1000+'Post Process Calc.'!AN4*'In Process Calc.'!$E5+'In Process Calc.'!$G4*'Measured Data'!AU8+'In Process Calc.'!$F4*'Measured Data'!AU8)/'In Process Calc.'!$J4</f>
        <v>5.9418415126598907</v>
      </c>
      <c r="AO5" s="122">
        <f>((Regression!CO38-Regression!CO39)*1000+'Post Process Calc.'!AO4*'In Process Calc.'!$E5+'In Process Calc.'!$G4*'Measured Data'!AV8+'In Process Calc.'!$F4*'Measured Data'!AV8)/'In Process Calc.'!$J4</f>
        <v>1.1695367507268513</v>
      </c>
      <c r="AP5" s="122">
        <f>((Regression!CP38-Regression!CP39)*1000+'Post Process Calc.'!AP4*'In Process Calc.'!$E5+'In Process Calc.'!$G4*'Measured Data'!AW8+'In Process Calc.'!$F4*'Measured Data'!AW8)/'In Process Calc.'!$J4</f>
        <v>1.0722263832495458</v>
      </c>
      <c r="AQ5" s="122">
        <f>((Regression!CQ38-Regression!CQ39)*1000+'Post Process Calc.'!AQ4*'In Process Calc.'!$E5+'In Process Calc.'!$G4*'Measured Data'!AX8+'In Process Calc.'!$F4*'Measured Data'!AX8)/'In Process Calc.'!$J4</f>
        <v>32.888908685864941</v>
      </c>
      <c r="AR5" s="122">
        <f>((Regression!CR38-Regression!CR39)*1000+'Post Process Calc.'!AR4*'In Process Calc.'!$E5+'In Process Calc.'!$G4*'Measured Data'!AY8+'In Process Calc.'!$F4*'Measured Data'!AY8)/'In Process Calc.'!$J4</f>
        <v>0.32900433590055045</v>
      </c>
      <c r="AS5" s="122">
        <f>((Regression!CS38-Regression!CS39)*1000+'Post Process Calc.'!AS4*'In Process Calc.'!$E5+'In Process Calc.'!$G4*'Measured Data'!AZ8+'In Process Calc.'!$F4*'Measured Data'!AZ8)/'In Process Calc.'!$J4</f>
        <v>6.5423617924205191</v>
      </c>
      <c r="AT5" s="122">
        <f>((Regression!CT38-Regression!CT39)*1000+'Post Process Calc.'!AT4*'In Process Calc.'!$E5+'In Process Calc.'!$G4*'Measured Data'!BA8+'In Process Calc.'!$F4*'Measured Data'!BA8)/'In Process Calc.'!$J4</f>
        <v>1.1265759687941679</v>
      </c>
      <c r="AU5" s="122">
        <f>((Regression!CU38-Regression!CU39)*1000+'Post Process Calc.'!AU4*'In Process Calc.'!$E5+'In Process Calc.'!$G4*'Measured Data'!BB8+'In Process Calc.'!$F4*'Measured Data'!BB8)/'In Process Calc.'!$J4</f>
        <v>1.4719569418134009</v>
      </c>
      <c r="AV5" s="122">
        <f>((Regression!CV38-Regression!CV39)*1000+'Post Process Calc.'!AV4*'In Process Calc.'!$E5+'In Process Calc.'!$G4*'Measured Data'!BC8+'In Process Calc.'!$F4*'Measured Data'!BC8)/'In Process Calc.'!$J4</f>
        <v>3.2338437553156059</v>
      </c>
      <c r="AW5" s="122">
        <f>((Regression!CW38-Regression!CW39)*1000+'Post Process Calc.'!AW4*'In Process Calc.'!$E5+'In Process Calc.'!$G4*'Measured Data'!BE8+'In Process Calc.'!$F4*'Measured Data'!BE8)/'In Process Calc.'!$J4</f>
        <v>9.025916641604112E-2</v>
      </c>
      <c r="AX5" s="122">
        <f>((Regression!CX38-Regression!CX39)*1000+'Post Process Calc.'!AX4*'In Process Calc.'!$E5+'In Process Calc.'!$G4*'Measured Data'!BF8+'In Process Calc.'!$F4*'Measured Data'!BF8)/'In Process Calc.'!$J4</f>
        <v>4.893210254660195</v>
      </c>
      <c r="AY5" s="122">
        <f>((Regression!CY38-Regression!CY39)*1000+'Post Process Calc.'!AY4*'In Process Calc.'!$E5+'In Process Calc.'!$G4*'Measured Data'!BG8+'In Process Calc.'!$F4*'Measured Data'!BG8)/'In Process Calc.'!$J4</f>
        <v>3.8158729329348984</v>
      </c>
      <c r="AZ5" s="122">
        <f>((Regression!CZ38-Regression!CZ39)*1000+'Post Process Calc.'!AZ4*'In Process Calc.'!$E5+'In Process Calc.'!$G4*'Measured Data'!BI8+'In Process Calc.'!$F4*'Measured Data'!BI8)/'In Process Calc.'!$J4</f>
        <v>0.75928974023977136</v>
      </c>
      <c r="BA5" s="122">
        <f>((Regression!DA38-Regression!DA39)*1000+'Post Process Calc.'!BA4*'In Process Calc.'!$E5+'In Process Calc.'!$G4*'Measured Data'!BJ8+'In Process Calc.'!$F4*'Measured Data'!BJ8)/'In Process Calc.'!$J4</f>
        <v>2.139976159124426</v>
      </c>
      <c r="BB5" s="122">
        <f>((Regression!DB38-Regression!DB39)*1000+'Post Process Calc.'!BB4*'In Process Calc.'!$E5+'In Process Calc.'!$G4*'Measured Data'!BK8+'In Process Calc.'!$F4*'Measured Data'!BK8)/'In Process Calc.'!$J4</f>
        <v>1.5108281146570912</v>
      </c>
      <c r="BC5" s="122">
        <f>((Regression!DC38-Regression!DC39)*1000+'Post Process Calc.'!BC4*'In Process Calc.'!$E5+'In Process Calc.'!$G4*'Measured Data'!BL8+'In Process Calc.'!$F4*'Measured Data'!BL8)/'In Process Calc.'!$J4</f>
        <v>4.9396462194471971</v>
      </c>
      <c r="BD5" s="122">
        <f>((Regression!DD38-Regression!DD39)*1000+'Post Process Calc.'!BD4*'In Process Calc.'!$E5+'In Process Calc.'!$G4*'Measured Data'!BM8+'In Process Calc.'!$F4*'Measured Data'!BM8)/'In Process Calc.'!$J4</f>
        <v>4.408141613203691</v>
      </c>
      <c r="BE5" s="122">
        <f>((Regression!DE38-Regression!DE39)*1000+'Post Process Calc.'!BE4*'In Process Calc.'!$E5+'In Process Calc.'!$G4*'Measured Data'!BN8+'In Process Calc.'!$F4*'Measured Data'!BN8)/'In Process Calc.'!$J4</f>
        <v>3.1583879104398025</v>
      </c>
      <c r="BF5" s="122">
        <f>((Regression!DF38-Regression!DF39)*1000+'Post Process Calc.'!BF4*'In Process Calc.'!$E5+'In Process Calc.'!$G4*'Measured Data'!BO8+'In Process Calc.'!$F4*'Measured Data'!BO8)/'In Process Calc.'!$J4</f>
        <v>1.1460632814920078</v>
      </c>
      <c r="BG5" s="122">
        <f>((Regression!DG38-Regression!DG39)*1000+'Post Process Calc.'!BG4*'In Process Calc.'!$E5+'In Process Calc.'!$G4*'Measured Data'!BP8+'In Process Calc.'!$F4*'Measured Data'!BP8)/'In Process Calc.'!$J4</f>
        <v>1.5276076173794224</v>
      </c>
      <c r="BH5" s="122">
        <f>((Regression!DH38-Regression!DH39)*1000+'Post Process Calc.'!BH4*'In Process Calc.'!$E5+'In Process Calc.'!$G4*'Measured Data'!BQ8+'In Process Calc.'!$F4*'Measured Data'!BQ8)/'In Process Calc.'!$J4</f>
        <v>4.0265917632105879</v>
      </c>
    </row>
    <row r="6" spans="1:71">
      <c r="A6" s="115">
        <f>'Measured Data'!H10</f>
        <v>1.4873000217437744</v>
      </c>
      <c r="B6" s="115">
        <f>'Measured Data'!H10*'In Process Calc.'!E6/1000</f>
        <v>2.7901748407913209</v>
      </c>
      <c r="C6" s="295">
        <f>'Growth Regression'!$P5</f>
        <v>2.4117144489471783E-2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2.5499881896724683</v>
      </c>
      <c r="F6" s="115">
        <f xml:space="preserve"> (Regression!$CE$8*6*'In Process Calc.'!$C6^6+Regression!$CD$8*5*'In Process Calc.'!$C6^5+Regression!$CC$8*4*'In Process Calc.'!$C6^3+Regression!$CB$8*3*'In Process Calc.'!$C6^2  + Regression!$CA$8*2*'In Process Calc.'!$C6 + Regression!$BZ$8)/$A6</f>
        <v>-2.5597997605620416E-2</v>
      </c>
      <c r="G6" s="115">
        <f xml:space="preserve"> (Regression!$CE$9*6*'In Process Calc.'!$C6^6+Regression!$CD$9*5*'In Process Calc.'!$C6^5+Regression!$CC$9*4*'In Process Calc.'!$C6^3+Regression!$CB$9*3*'In Process Calc.'!$C6^2  + Regression!$CA$9*2*'In Process Calc.'!$C6 + Regression!$BZ$9)/$B6</f>
        <v>-4.148483595207972E-3</v>
      </c>
      <c r="H6" s="115">
        <f xml:space="preserve"> (Regression!$CE$10*6*'In Process Calc.'!$C6^6+Regression!$CD$10*5*'In Process Calc.'!$C6^5+Regression!$CC$10*4*'In Process Calc.'!$C6^3+Regression!$CB$10*3*'In Process Calc.'!$C6^2  + Regression!$CA$10*2*'In Process Calc.'!$C6 + Regression!$BZ$10)/$B6</f>
        <v>-7.8041664401997429E-5</v>
      </c>
      <c r="I6" s="115">
        <f xml:space="preserve"> (Regression!$CE$11*6*'In Process Calc.'!$C6^6+Regression!$CD$11*5*'In Process Calc.'!$C6^5+Regression!$CC$11*4*'In Process Calc.'!$C6^3+Regression!$CB$11*3*'In Process Calc.'!$C6^2  + Regression!$CA$11*2*'In Process Calc.'!$C6 + Regression!$BZ$11)/$A6</f>
        <v>-1.140001204610081E-2</v>
      </c>
      <c r="J6" s="115">
        <f>(Regression!$CE$12*6*'In Process Calc.'!$C6^6+Regression!$CD$12*5*'In Process Calc.'!$C6^5+Regression!$CC$12*4*'In Process Calc.'!$C6^3+Regression!$CB$12*3*'In Process Calc.'!$C6^2  + Regression!$CA$12*2*'In Process Calc.'!$C6 + Regression!$BZ$12)/$A6</f>
        <v>5.1141283981038614E-3</v>
      </c>
      <c r="K6" s="115">
        <f xml:space="preserve"> (Regression!$CE$13*6*'In Process Calc.'!$C6^5+Regression!$CD$13*5*'In Process Calc.'!$C6^4+Regression!$CC$13*4*'In Process Calc.'!$C6^3+Regression!$CB$13*3*'In Process Calc.'!$C6^2  + Regression!$CA$13*2*'In Process Calc.'!$C6 + Regression!$BZ$13)/$A6</f>
        <v>0.10183961855854926</v>
      </c>
      <c r="L6" s="115">
        <f xml:space="preserve"> (Regression!$CE$14*6*'In Process Calc.'!$C6^5+Regression!$CD$14*5*'In Process Calc.'!$C6^4+Regression!$CC$14*4*'In Process Calc.'!$C6^3+Regression!$CB$14*3*'In Process Calc.'!$C6^2  + Regression!$CA$14*2*'In Process Calc.'!$C6 + Regression!$BZ$14)/$B6</f>
        <v>-2.7196515941778536E-3</v>
      </c>
      <c r="M6" s="115">
        <f xml:space="preserve"> (Regression!$CE$15*6*'In Process Calc.'!$C6^6+Regression!$CD$15*5*'In Process Calc.'!$C6^5+Regression!$CC$15*4*'In Process Calc.'!$C6^3+Regression!$CB$15*3*'In Process Calc.'!$C6^2  + Regression!$CA$15*2*'In Process Calc.'!$C6 + Regression!$BZ$15)/$A6</f>
        <v>-0.10160692279135072</v>
      </c>
      <c r="N6" s="115">
        <f xml:space="preserve"> (Regression!$CE$16*6*'In Process Calc.'!$C6^6+Regression!$CD$16*5*'In Process Calc.'!$C6^5+Regression!$CC$16*4*'In Process Calc.'!$C6^3+Regression!$CB$16*3*'In Process Calc.'!$C6^2  + Regression!$CA$16*2*'In Process Calc.'!$C6 + Regression!$BZ$16)/$A6</f>
        <v>-8.9851294244339477E-3</v>
      </c>
      <c r="O6" s="115">
        <f xml:space="preserve"> (Regression!$CE$17*6*'In Process Calc.'!$C6^6+Regression!$CD$17*5*'In Process Calc.'!$C6^5+Regression!$CC$17*4*'In Process Calc.'!$C6^3+Regression!$CB$17*3*'In Process Calc.'!$C6^2  + Regression!$CA$17*2*'In Process Calc.'!$C6 + Regression!$BZ$17)/$A6</f>
        <v>2.2712067380807719E-5</v>
      </c>
      <c r="P6" s="115">
        <f xml:space="preserve"> (Regression!$CE$18*6*'In Process Calc.'!$C6^6+Regression!$CD$18*5*'In Process Calc.'!$C6^5+Regression!$CC$18*4*'In Process Calc.'!$C6^3+Regression!$CB$18*3*'In Process Calc.'!$C6^2  + Regression!$CA$18*2*'In Process Calc.'!$C6 + Regression!$BZ$18)/$A6</f>
        <v>-7.114514006230495E-3</v>
      </c>
      <c r="Q6" s="115">
        <f xml:space="preserve"> (Regression!$CE$19*6*'In Process Calc.'!$C6^5+Regression!$CD$19*5*'In Process Calc.'!$C6^4+Regression!$CC$19*4*'In Process Calc.'!$C6^3 +Regression!$CB$19*3*'In Process Calc.'!$C6^2 + Regression!$CA$19*2*'In Process Calc.'!$C6 + Regression!$BZ$19)/$B6</f>
        <v>6.447816367453886E-2</v>
      </c>
      <c r="R6" s="115">
        <f xml:space="preserve"> (Regression!$CE$20*6*'In Process Calc.'!$C6^5+Regression!$CD$20*5*'In Process Calc.'!$C6^4+Regression!$CC$20*4*'In Process Calc.'!$C6^3 +Regression!$CB$20*3*'In Process Calc.'!$C6^2 + Regression!$CA$20*2*'In Process Calc.'!$C6 + Regression!$BZ$20)/$A6</f>
        <v>-3.0817097597934323E-3</v>
      </c>
      <c r="S6" s="115">
        <f xml:space="preserve"> (Regression!$CE$21*6*'In Process Calc.'!$C6^5+Regression!$CD$21*5*'In Process Calc.'!$C6^4+Regression!$CC$21*4*'In Process Calc.'!$C6^3 +Regression!$CB$21*3*'In Process Calc.'!$C6^2 + Regression!$CA$21*2*'In Process Calc.'!$C6 + Regression!$BZ$21)/$A6</f>
        <v>-1.1168630200276915E-2</v>
      </c>
      <c r="T6" s="115">
        <f xml:space="preserve"> (Regression!$CE$22*6*'In Process Calc.'!$C6^5+Regression!$CD$22*5*'In Process Calc.'!$C6^4+Regression!$CC$22*4*'In Process Calc.'!$C6^3 +Regression!$CB$22*3*'In Process Calc.'!$C6^2 + Regression!$CA$22*2*'In Process Calc.'!$C6 + Regression!$BZ$22)/$A6</f>
        <v>4.7999847190793735E-3</v>
      </c>
      <c r="U6" s="115">
        <f xml:space="preserve"> (Regression!$CE$23*6*'In Process Calc.'!$C6^5+Regression!$CD$23*5*'In Process Calc.'!$C6^4+Regression!$CC$23*4*'In Process Calc.'!$C6^3 +Regression!$CB$23*3*'In Process Calc.'!$C6^2 + Regression!$CA$23*2*'In Process Calc.'!$C6 + Regression!$BZ$23)/$A6</f>
        <v>-4.7189136835614473E-2</v>
      </c>
      <c r="V6" s="115">
        <f xml:space="preserve"> (Regression!$CE$24*6*'In Process Calc.'!$C6^5+Regression!$CD$24*5*'In Process Calc.'!$C6^4+Regression!$CC$24*4*'In Process Calc.'!$C6^3 +Regression!$CB$24*3*'In Process Calc.'!$C6^2 + Regression!$CA$24*2*'In Process Calc.'!$C6 + Regression!$BZ$24)/$A6</f>
        <v>-4.7592948015765541E-3</v>
      </c>
      <c r="W6" s="115">
        <f xml:space="preserve"> (Regression!$CE$25*6*'In Process Calc.'!$C6^5+Regression!$CD$25*5*'In Process Calc.'!$C6^4+Regression!$CC$25*4*'In Process Calc.'!$C6^3 +Regression!$CB$25*3*'In Process Calc.'!$C6^2 + Regression!$CA$25*2*'In Process Calc.'!$C6 + Regression!$BZ$25)/$A6</f>
        <v>1.6827931897275203E-2</v>
      </c>
      <c r="X6" s="115">
        <f xml:space="preserve"> (Regression!$CE$26*6*'In Process Calc.'!$C6^5+Regression!$CD$26*5*'In Process Calc.'!$C6^4+Regression!$CC$26*4*'In Process Calc.'!$C6^3 +Regression!$CB$26*3*'In Process Calc.'!$C6^2 + Regression!$CA$26*2*'In Process Calc.'!$C6 + Regression!$BZ$26)/$A6</f>
        <v>3.0227070960024839E-2</v>
      </c>
      <c r="Y6" s="115">
        <f xml:space="preserve"> (Regression!$CE$27*6*'In Process Calc.'!$C6^5+Regression!$CD$27*5*'In Process Calc.'!$C6^4+Regression!$CC$27*4*'In Process Calc.'!$C6^3 +Regression!$CB$27*3*'In Process Calc.'!$C6^2 + Regression!$CA$27*2*'In Process Calc.'!$C6 + Regression!$BZ$27)/$A6</f>
        <v>1.4367928161335761E-2</v>
      </c>
      <c r="Z6" s="115">
        <f xml:space="preserve"> (Regression!$CE$28*6*'In Process Calc.'!$C6^5+Regression!$CD$28*5*'In Process Calc.'!$C6^4+Regression!$CC$28*4*'In Process Calc.'!$C6^3 +Regression!$CB$28*3*'In Process Calc.'!$C6^2 + Regression!$CA$28*2*'In Process Calc.'!$C6 + Regression!$BZ$28)/$A6</f>
        <v>-2.9588383329946346E-3</v>
      </c>
      <c r="AA6" s="115">
        <f xml:space="preserve"> (Regression!$CE$29*6*'In Process Calc.'!$C6^5+Regression!$CD$29*5*'In Process Calc.'!$C6^4+Regression!$CC$29*4*'In Process Calc.'!$C6^3 +Regression!$CB$29*3*'In Process Calc.'!$C6^2 + Regression!$CA$29*2*'In Process Calc.'!$C6 + Regression!$BZ$29)/$A6</f>
        <v>7.4456503392083765E-3</v>
      </c>
      <c r="AB6" s="115">
        <f xml:space="preserve"> (Regression!$CE$30*6*'In Process Calc.'!$C6^5+Regression!$CD$30*5*'In Process Calc.'!$C6^4+Regression!$CC$30*4*'In Process Calc.'!$C6^3 +Regression!$CB$30*3*'In Process Calc.'!$C6^2 + Regression!$CA$30*2*'In Process Calc.'!$C6 + Regression!$BZ$30)/$A6</f>
        <v>-2.9121638816756668E-2</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-0.13108271690679318</v>
      </c>
      <c r="AE6" s="115">
        <f xml:space="preserve"> (Regression!$CE$33*6*'In Process Calc.'!$C6^5+Regression!$CD$33*5*'In Process Calc.'!$C6^4+Regression!$CC$33*4*'In Process Calc.'!$C6^3 +Regression!$CB$33*3*'In Process Calc.'!$C6^2 + Regression!$CA$33*2*'In Process Calc.'!$C6 + Regression!$BZ$33)/$A6</f>
        <v>-0.20386985134802812</v>
      </c>
      <c r="AF6" s="115">
        <f xml:space="preserve"> (Regression!$CE$34*6*'In Process Calc.'!$C6^5+Regression!$CD$34*5*'In Process Calc.'!$C6^4+Regression!$CC$34*4*'In Process Calc.'!$C6^3 +Regression!$CB$34*3*'In Process Calc.'!$C6^2 + Regression!$CA$34*2*'In Process Calc.'!$C6 + Regression!$BZ$34)/$A6</f>
        <v>-0.57215002471455501</v>
      </c>
      <c r="AG6" s="116">
        <f t="shared" si="0"/>
        <v>0.63313437920497817</v>
      </c>
      <c r="AH6" s="116">
        <f t="shared" si="3"/>
        <v>0</v>
      </c>
      <c r="AI6" s="116">
        <f t="shared" si="1"/>
        <v>-2.6705241365513183E-2</v>
      </c>
      <c r="AJ6" s="116">
        <f t="shared" si="2"/>
        <v>17.351169883905541</v>
      </c>
      <c r="AK6" s="76">
        <f>'In Process Calc.'!C6</f>
        <v>71.050000000046566</v>
      </c>
      <c r="AL6" s="122">
        <f>((Regression!CL39-Regression!CL40)*1000+'Post Process Calc.'!AL5*'In Process Calc.'!$E6+'In Process Calc.'!$G5*'Measured Data'!AS9+'In Process Calc.'!$F5*'Measured Data'!AS9)/'In Process Calc.'!$J5</f>
        <v>-0.57779758093335398</v>
      </c>
      <c r="AM6" s="122">
        <f>((Regression!CM39-Regression!CM40)*1000+'Post Process Calc.'!AM5*'In Process Calc.'!$E6+'In Process Calc.'!$G5*'Measured Data'!AT9+'In Process Calc.'!$F5*'Measured Data'!AT9)/'In Process Calc.'!$J5</f>
        <v>2.3118955633701588</v>
      </c>
      <c r="AN6" s="122">
        <f>((Regression!CN39-Regression!CN40)*1000+'Post Process Calc.'!AN5*'In Process Calc.'!$E6+'In Process Calc.'!$G5*'Measured Data'!AU9+'In Process Calc.'!$F5*'Measured Data'!AU9)/'In Process Calc.'!$J5</f>
        <v>5.853403596743167</v>
      </c>
      <c r="AO6" s="122">
        <f>((Regression!CO39-Regression!CO40)*1000+'Post Process Calc.'!AO5*'In Process Calc.'!$E6+'In Process Calc.'!$G5*'Measured Data'!AV9+'In Process Calc.'!$F5*'Measured Data'!AV9)/'In Process Calc.'!$J5</f>
        <v>1.267333817979764</v>
      </c>
      <c r="AP6" s="122">
        <f>((Regression!CP39-Regression!CP40)*1000+'Post Process Calc.'!AP5*'In Process Calc.'!$E6+'In Process Calc.'!$G5*'Measured Data'!AW9+'In Process Calc.'!$F5*'Measured Data'!AW9)/'In Process Calc.'!$J5</f>
        <v>0.98076366497602419</v>
      </c>
      <c r="AQ6" s="122">
        <f>((Regression!CQ39-Regression!CQ40)*1000+'Post Process Calc.'!AQ5*'In Process Calc.'!$E6+'In Process Calc.'!$G5*'Measured Data'!AX9+'In Process Calc.'!$F5*'Measured Data'!AX9)/'In Process Calc.'!$J5</f>
        <v>30.949325077881216</v>
      </c>
      <c r="AR6" s="122">
        <f>((Regression!CR39-Regression!CR40)*1000+'Post Process Calc.'!AR5*'In Process Calc.'!$E6+'In Process Calc.'!$G5*'Measured Data'!AY9+'In Process Calc.'!$F5*'Measured Data'!AY9)/'In Process Calc.'!$J5</f>
        <v>0.42830687218956998</v>
      </c>
      <c r="AS6" s="122">
        <f>((Regression!CS39-Regression!CS40)*1000+'Post Process Calc.'!AS5*'In Process Calc.'!$E6+'In Process Calc.'!$G5*'Measured Data'!AZ9+'In Process Calc.'!$F5*'Measured Data'!AZ9)/'In Process Calc.'!$J5</f>
        <v>8.2915602354177196</v>
      </c>
      <c r="AT6" s="122">
        <f>((Regression!CT39-Regression!CT40)*1000+'Post Process Calc.'!AT5*'In Process Calc.'!$E6+'In Process Calc.'!$G5*'Measured Data'!BA9+'In Process Calc.'!$F5*'Measured Data'!BA9)/'In Process Calc.'!$J5</f>
        <v>1.3267217516545859</v>
      </c>
      <c r="AU6" s="122">
        <f>((Regression!CU39-Regression!CU40)*1000+'Post Process Calc.'!AU5*'In Process Calc.'!$E6+'In Process Calc.'!$G5*'Measured Data'!BB9+'In Process Calc.'!$F5*'Measured Data'!BB9)/'In Process Calc.'!$J5</f>
        <v>1.4683654961025561</v>
      </c>
      <c r="AV6" s="122">
        <f>((Regression!CV39-Regression!CV40)*1000+'Post Process Calc.'!AV5*'In Process Calc.'!$E6+'In Process Calc.'!$G5*'Measured Data'!BC9+'In Process Calc.'!$F5*'Measured Data'!BC9)/'In Process Calc.'!$J5</f>
        <v>3.3164761362308228</v>
      </c>
      <c r="AW6" s="122">
        <f>((Regression!CW39-Regression!CW40)*1000+'Post Process Calc.'!AW5*'In Process Calc.'!$E6+'In Process Calc.'!$G5*'Measured Data'!BE9+'In Process Calc.'!$F5*'Measured Data'!BE9)/'In Process Calc.'!$J5</f>
        <v>-1.8023191757510089</v>
      </c>
      <c r="AX6" s="122">
        <f>((Regression!CX39-Regression!CX40)*1000+'Post Process Calc.'!AX5*'In Process Calc.'!$E6+'In Process Calc.'!$G5*'Measured Data'!BF9+'In Process Calc.'!$F5*'Measured Data'!BF9)/'In Process Calc.'!$J5</f>
        <v>4.9046441311073306</v>
      </c>
      <c r="AY6" s="122">
        <f>((Regression!CY39-Regression!CY40)*1000+'Post Process Calc.'!AY5*'In Process Calc.'!$E6+'In Process Calc.'!$G5*'Measured Data'!BG9+'In Process Calc.'!$F5*'Measured Data'!BG9)/'In Process Calc.'!$J5</f>
        <v>3.9531498079669194</v>
      </c>
      <c r="AZ6" s="122">
        <f>((Regression!CZ39-Regression!CZ40)*1000+'Post Process Calc.'!AZ5*'In Process Calc.'!$E6+'In Process Calc.'!$G5*'Measured Data'!BI9+'In Process Calc.'!$F5*'Measured Data'!BI9)/'In Process Calc.'!$J5</f>
        <v>0.67423867443083763</v>
      </c>
      <c r="BA6" s="122">
        <f>((Regression!DA39-Regression!DA40)*1000+'Post Process Calc.'!BA5*'In Process Calc.'!$E6+'In Process Calc.'!$G5*'Measured Data'!BJ9+'In Process Calc.'!$F5*'Measured Data'!BJ9)/'In Process Calc.'!$J5</f>
        <v>2.9144432927712418</v>
      </c>
      <c r="BB6" s="122">
        <f>((Regression!DB39-Regression!DB40)*1000+'Post Process Calc.'!BB5*'In Process Calc.'!$E6+'In Process Calc.'!$G5*'Measured Data'!BK9+'In Process Calc.'!$F5*'Measured Data'!BK9)/'In Process Calc.'!$J5</f>
        <v>1.5744284424370882</v>
      </c>
      <c r="BC6" s="122">
        <f>((Regression!DC39-Regression!DC40)*1000+'Post Process Calc.'!BC5*'In Process Calc.'!$E6+'In Process Calc.'!$G5*'Measured Data'!BL9+'In Process Calc.'!$F5*'Measured Data'!BL9)/'In Process Calc.'!$J5</f>
        <v>4.5999092388386895</v>
      </c>
      <c r="BD6" s="122">
        <f>((Regression!DD39-Regression!DD40)*1000+'Post Process Calc.'!BD5*'In Process Calc.'!$E6+'In Process Calc.'!$G5*'Measured Data'!BM9+'In Process Calc.'!$F5*'Measured Data'!BM9)/'In Process Calc.'!$J5</f>
        <v>3.8459863109889376</v>
      </c>
      <c r="BE6" s="122">
        <f>((Regression!DE39-Regression!DE40)*1000+'Post Process Calc.'!BE5*'In Process Calc.'!$E6+'In Process Calc.'!$G5*'Measured Data'!BN9+'In Process Calc.'!$F5*'Measured Data'!BN9)/'In Process Calc.'!$J5</f>
        <v>2.9033772602639925</v>
      </c>
      <c r="BF6" s="122">
        <f>((Regression!DF39-Regression!DF40)*1000+'Post Process Calc.'!BF5*'In Process Calc.'!$E6+'In Process Calc.'!$G5*'Measured Data'!BO9+'In Process Calc.'!$F5*'Measured Data'!BO9)/'In Process Calc.'!$J5</f>
        <v>1.1737721806808341</v>
      </c>
      <c r="BG6" s="122">
        <f>((Regression!DG39-Regression!DG40)*1000+'Post Process Calc.'!BG5*'In Process Calc.'!$E6+'In Process Calc.'!$G5*'Measured Data'!BP9+'In Process Calc.'!$F5*'Measured Data'!BP9)/'In Process Calc.'!$J5</f>
        <v>1.3991239679594563</v>
      </c>
      <c r="BH6" s="122">
        <f>((Regression!DH39-Regression!DH40)*1000+'Post Process Calc.'!BH5*'In Process Calc.'!$E6+'In Process Calc.'!$G5*'Measured Data'!BQ9+'In Process Calc.'!$F5*'Measured Data'!BQ9)/'In Process Calc.'!$J5</f>
        <v>4.4618869024840091</v>
      </c>
    </row>
    <row r="7" spans="1:71">
      <c r="A7" s="115">
        <f>'Measured Data'!H11</f>
        <v>2.7073000503540041</v>
      </c>
      <c r="B7" s="115">
        <f>'Measured Data'!H11*'In Process Calc.'!E7/1000</f>
        <v>5.0382853937088017</v>
      </c>
      <c r="C7" s="295">
        <f>'Growth Regression'!$P6</f>
        <v>2.2255313920214542E-2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3.2220981157019648</v>
      </c>
      <c r="F7" s="115">
        <f xml:space="preserve"> (Regression!$CE$8*6*'In Process Calc.'!$C7^6+Regression!$CD$8*5*'In Process Calc.'!$C7^5+Regression!$CC$8*4*'In Process Calc.'!$C7^3+Regression!$CB$8*3*'In Process Calc.'!$C7^2  + Regression!$CA$8*2*'In Process Calc.'!$C7 + Regression!$BZ$8)/$A7</f>
        <v>-2.3238437545949595E-2</v>
      </c>
      <c r="G7" s="115">
        <f xml:space="preserve"> (Regression!$CE$9*6*'In Process Calc.'!$C7^6+Regression!$CD$9*5*'In Process Calc.'!$C7^5+Regression!$CC$9*4*'In Process Calc.'!$C7^3+Regression!$CB$9*3*'In Process Calc.'!$C7^2  + Regression!$CA$9*2*'In Process Calc.'!$C7 + Regression!$BZ$9)/$B7</f>
        <v>-2.7172100479731522E-3</v>
      </c>
      <c r="H7" s="115">
        <f xml:space="preserve"> (Regression!$CE$10*6*'In Process Calc.'!$C7^6+Regression!$CD$10*5*'In Process Calc.'!$C7^5+Regression!$CC$10*4*'In Process Calc.'!$C7^3+Regression!$CB$10*3*'In Process Calc.'!$C7^2  + Regression!$CA$10*2*'In Process Calc.'!$C7 + Regression!$BZ$10)/$B7</f>
        <v>2.192933562696698E-3</v>
      </c>
      <c r="I7" s="115">
        <f xml:space="preserve"> (Regression!$CE$11*6*'In Process Calc.'!$C7^6+Regression!$CD$11*5*'In Process Calc.'!$C7^5+Regression!$CC$11*4*'In Process Calc.'!$C7^3+Regression!$CB$11*3*'In Process Calc.'!$C7^2  + Regression!$CA$11*2*'In Process Calc.'!$C7 + Regression!$BZ$11)/$A7</f>
        <v>-9.3529770842386336E-3</v>
      </c>
      <c r="J7" s="115">
        <f>(Regression!$CE$12*6*'In Process Calc.'!$C7^6+Regression!$CD$12*5*'In Process Calc.'!$C7^5+Regression!$CC$12*4*'In Process Calc.'!$C7^3+Regression!$CB$12*3*'In Process Calc.'!$C7^2  + Regression!$CA$12*2*'In Process Calc.'!$C7 + Regression!$BZ$12)/$A7</f>
        <v>3.5644734912703446E-3</v>
      </c>
      <c r="K7" s="115">
        <f xml:space="preserve"> (Regression!$CE$13*6*'In Process Calc.'!$C7^5+Regression!$CD$13*5*'In Process Calc.'!$C7^4+Regression!$CC$13*4*'In Process Calc.'!$C7^3+Regression!$CB$13*3*'In Process Calc.'!$C7^2  + Regression!$CA$13*2*'In Process Calc.'!$C7 + Regression!$BZ$13)/$A7</f>
        <v>7.9229038056036358E-2</v>
      </c>
      <c r="L7" s="115">
        <f xml:space="preserve"> (Regression!$CE$14*6*'In Process Calc.'!$C7^5+Regression!$CD$14*5*'In Process Calc.'!$C7^4+Regression!$CC$14*4*'In Process Calc.'!$C7^3+Regression!$CB$14*3*'In Process Calc.'!$C7^2  + Regression!$CA$14*2*'In Process Calc.'!$C7 + Regression!$BZ$14)/$B7</f>
        <v>-3.8903542654517547E-3</v>
      </c>
      <c r="M7" s="115">
        <f xml:space="preserve"> (Regression!$CE$15*6*'In Process Calc.'!$C7^6+Regression!$CD$15*5*'In Process Calc.'!$C7^5+Regression!$CC$15*4*'In Process Calc.'!$C7^3+Regression!$CB$15*3*'In Process Calc.'!$C7^2  + Regression!$CA$15*2*'In Process Calc.'!$C7 + Regression!$BZ$15)/$A7</f>
        <v>-4.9557787001092035E-2</v>
      </c>
      <c r="N7" s="115">
        <f xml:space="preserve"> (Regression!$CE$16*6*'In Process Calc.'!$C7^6+Regression!$CD$16*5*'In Process Calc.'!$C7^5+Regression!$CC$16*4*'In Process Calc.'!$C7^3+Regression!$CB$16*3*'In Process Calc.'!$C7^2  + Regression!$CA$16*2*'In Process Calc.'!$C7 + Regression!$BZ$16)/$A7</f>
        <v>-1.5178732435344772E-3</v>
      </c>
      <c r="O7" s="115">
        <f xml:space="preserve"> (Regression!$CE$17*6*'In Process Calc.'!$C7^6+Regression!$CD$17*5*'In Process Calc.'!$C7^5+Regression!$CC$17*4*'In Process Calc.'!$C7^3+Regression!$CB$17*3*'In Process Calc.'!$C7^2  + Regression!$CA$17*2*'In Process Calc.'!$C7 + Regression!$BZ$17)/$A7</f>
        <v>1.1647555349649226E-3</v>
      </c>
      <c r="P7" s="115">
        <f xml:space="preserve"> (Regression!$CE$18*6*'In Process Calc.'!$C7^6+Regression!$CD$18*5*'In Process Calc.'!$C7^5+Regression!$CC$18*4*'In Process Calc.'!$C7^3+Regression!$CB$18*3*'In Process Calc.'!$C7^2  + Regression!$CA$18*2*'In Process Calc.'!$C7 + Regression!$BZ$18)/$A7</f>
        <v>-3.2566650942361256E-3</v>
      </c>
      <c r="Q7" s="115">
        <f xml:space="preserve"> (Regression!$CE$19*6*'In Process Calc.'!$C7^5+Regression!$CD$19*5*'In Process Calc.'!$C7^4+Regression!$CC$19*4*'In Process Calc.'!$C7^3 +Regression!$CB$19*3*'In Process Calc.'!$C7^2 + Regression!$CA$19*2*'In Process Calc.'!$C7 + Regression!$BZ$19)/$B7</f>
        <v>3.6459594382270859E-2</v>
      </c>
      <c r="R7" s="115">
        <f xml:space="preserve"> (Regression!$CE$20*6*'In Process Calc.'!$C7^5+Regression!$CD$20*5*'In Process Calc.'!$C7^4+Regression!$CC$20*4*'In Process Calc.'!$C7^3 +Regression!$CB$20*3*'In Process Calc.'!$C7^2 + Regression!$CA$20*2*'In Process Calc.'!$C7 + Regression!$BZ$20)/$A7</f>
        <v>5.7085096647091342E-4</v>
      </c>
      <c r="S7" s="115">
        <f xml:space="preserve"> (Regression!$CE$21*6*'In Process Calc.'!$C7^5+Regression!$CD$21*5*'In Process Calc.'!$C7^4+Regression!$CC$21*4*'In Process Calc.'!$C7^3 +Regression!$CB$21*3*'In Process Calc.'!$C7^2 + Regression!$CA$21*2*'In Process Calc.'!$C7 + Regression!$BZ$21)/$A7</f>
        <v>-5.58778280513114E-3</v>
      </c>
      <c r="T7" s="115">
        <f xml:space="preserve"> (Regression!$CE$22*6*'In Process Calc.'!$C7^5+Regression!$CD$22*5*'In Process Calc.'!$C7^4+Regression!$CC$22*4*'In Process Calc.'!$C7^3 +Regression!$CB$22*3*'In Process Calc.'!$C7^2 + Regression!$CA$22*2*'In Process Calc.'!$C7 + Regression!$BZ$22)/$A7</f>
        <v>3.1595062435130724E-3</v>
      </c>
      <c r="U7" s="115">
        <f xml:space="preserve"> (Regression!$CE$23*6*'In Process Calc.'!$C7^5+Regression!$CD$23*5*'In Process Calc.'!$C7^4+Regression!$CC$23*4*'In Process Calc.'!$C7^3 +Regression!$CB$23*3*'In Process Calc.'!$C7^2 + Regression!$CA$23*2*'In Process Calc.'!$C7 + Regression!$BZ$23)/$A7</f>
        <v>-2.7056685467892149E-2</v>
      </c>
      <c r="V7" s="115">
        <f xml:space="preserve"> (Regression!$CE$24*6*'In Process Calc.'!$C7^5+Regression!$CD$24*5*'In Process Calc.'!$C7^4+Regression!$CC$24*4*'In Process Calc.'!$C7^3 +Regression!$CB$24*3*'In Process Calc.'!$C7^2 + Regression!$CA$24*2*'In Process Calc.'!$C7 + Regression!$BZ$24)/$A7</f>
        <v>-2.1781199409864741E-3</v>
      </c>
      <c r="W7" s="115">
        <f xml:space="preserve"> (Regression!$CE$25*6*'In Process Calc.'!$C7^5+Regression!$CD$25*5*'In Process Calc.'!$C7^4+Regression!$CC$25*4*'In Process Calc.'!$C7^3 +Regression!$CB$25*3*'In Process Calc.'!$C7^2 + Regression!$CA$25*2*'In Process Calc.'!$C7 + Regression!$BZ$25)/$A7</f>
        <v>1.0741489487212904E-2</v>
      </c>
      <c r="X7" s="115">
        <f xml:space="preserve"> (Regression!$CE$26*6*'In Process Calc.'!$C7^5+Regression!$CD$26*5*'In Process Calc.'!$C7^4+Regression!$CC$26*4*'In Process Calc.'!$C7^3 +Regression!$CB$26*3*'In Process Calc.'!$C7^2 + Regression!$CA$26*2*'In Process Calc.'!$C7 + Regression!$BZ$26)/$A7</f>
        <v>1.8181340591535422E-2</v>
      </c>
      <c r="Y7" s="115">
        <f xml:space="preserve"> (Regression!$CE$27*6*'In Process Calc.'!$C7^5+Regression!$CD$27*5*'In Process Calc.'!$C7^4+Regression!$CC$27*4*'In Process Calc.'!$C7^3 +Regression!$CB$27*3*'In Process Calc.'!$C7^2 + Regression!$CA$27*2*'In Process Calc.'!$C7 + Regression!$BZ$27)/$A7</f>
        <v>1.0301255514077028E-2</v>
      </c>
      <c r="Z7" s="115">
        <f xml:space="preserve"> (Regression!$CE$28*6*'In Process Calc.'!$C7^5+Regression!$CD$28*5*'In Process Calc.'!$C7^4+Regression!$CC$28*4*'In Process Calc.'!$C7^3 +Regression!$CB$28*3*'In Process Calc.'!$C7^2 + Regression!$CA$28*2*'In Process Calc.'!$C7 + Regression!$BZ$28)/$A7</f>
        <v>-1.8505956396410344E-3</v>
      </c>
      <c r="AA7" s="115">
        <f xml:space="preserve"> (Regression!$CE$29*6*'In Process Calc.'!$C7^5+Regression!$CD$29*5*'In Process Calc.'!$C7^4+Regression!$CC$29*4*'In Process Calc.'!$C7^3 +Regression!$CB$29*3*'In Process Calc.'!$C7^2 + Regression!$CA$29*2*'In Process Calc.'!$C7 + Regression!$BZ$29)/$A7</f>
        <v>5.4183675273043004E-3</v>
      </c>
      <c r="AB7" s="115">
        <f xml:space="preserve"> (Regression!$CE$30*6*'In Process Calc.'!$C7^5+Regression!$CD$30*5*'In Process Calc.'!$C7^4+Regression!$CC$30*4*'In Process Calc.'!$C7^3 +Regression!$CB$30*3*'In Process Calc.'!$C7^2 + Regression!$CA$30*2*'In Process Calc.'!$C7 + Regression!$BZ$30)/$A7</f>
        <v>-1.5843476788115672E-2</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-5.3864997268978726E-2</v>
      </c>
      <c r="AE7" s="115">
        <f xml:space="preserve"> (Regression!$CE$33*6*'In Process Calc.'!$C7^5+Regression!$CD$33*5*'In Process Calc.'!$C7^4+Regression!$CC$33*4*'In Process Calc.'!$C7^3 +Regression!$CB$33*3*'In Process Calc.'!$C7^2 + Regression!$CA$33*2*'In Process Calc.'!$C7 + Regression!$BZ$33)/$A7</f>
        <v>-0.10416012028282047</v>
      </c>
      <c r="AF7" s="115">
        <f xml:space="preserve"> (Regression!$CE$34*6*'In Process Calc.'!$C7^5+Regression!$CD$34*5*'In Process Calc.'!$C7^4+Regression!$CC$34*4*'In Process Calc.'!$C7^3 +Regression!$CB$34*3*'In Process Calc.'!$C7^2 + Regression!$CA$34*2*'In Process Calc.'!$C7 + Regression!$BZ$34)/$A7</f>
        <v>-0.18530023244466651</v>
      </c>
      <c r="AG7" s="116">
        <f t="shared" si="0"/>
        <v>0.46017969265869496</v>
      </c>
      <c r="AH7" s="116">
        <f t="shared" si="3"/>
        <v>0</v>
      </c>
      <c r="AI7" s="116">
        <f t="shared" si="1"/>
        <v>-4.9102631571775766E-2</v>
      </c>
      <c r="AJ7" s="116">
        <f t="shared" si="2"/>
        <v>6.954812755272374</v>
      </c>
      <c r="AK7" s="76">
        <f>'In Process Calc.'!C7</f>
        <v>95.53333333338378</v>
      </c>
      <c r="AL7" s="122">
        <f>((Regression!CL40-Regression!CL41)*1000+'Post Process Calc.'!AL6*'In Process Calc.'!$E7+'In Process Calc.'!$G6*'Measured Data'!AS10+'In Process Calc.'!$F6*'Measured Data'!AS10)/'In Process Calc.'!$J6</f>
        <v>9.6440696695150402E-2</v>
      </c>
      <c r="AM7" s="122">
        <f>((Regression!CM40-Regression!CM41)*1000+'Post Process Calc.'!AM6*'In Process Calc.'!$E7+'In Process Calc.'!$G6*'Measured Data'!AT10+'In Process Calc.'!$F6*'Measured Data'!AT10)/'In Process Calc.'!$J6</f>
        <v>2.4604092226381167</v>
      </c>
      <c r="AN7" s="122">
        <f>((Regression!CN40-Regression!CN41)*1000+'Post Process Calc.'!AN6*'In Process Calc.'!$E7+'In Process Calc.'!$G6*'Measured Data'!AU10+'In Process Calc.'!$F6*'Measured Data'!AU10)/'In Process Calc.'!$J6</f>
        <v>5.7490681274106006</v>
      </c>
      <c r="AO7" s="122">
        <f>((Regression!CO40-Regression!CO41)*1000+'Post Process Calc.'!AO6*'In Process Calc.'!$E7+'In Process Calc.'!$G6*'Measured Data'!AV10+'In Process Calc.'!$F6*'Measured Data'!AV10)/'In Process Calc.'!$J6</f>
        <v>1.5420588493814098</v>
      </c>
      <c r="AP7" s="122">
        <f>((Regression!CP40-Regression!CP41)*1000+'Post Process Calc.'!AP6*'In Process Calc.'!$E7+'In Process Calc.'!$G6*'Measured Data'!AW10+'In Process Calc.'!$F6*'Measured Data'!AW10)/'In Process Calc.'!$J6</f>
        <v>0.85942107267816936</v>
      </c>
      <c r="AQ7" s="122">
        <f>((Regression!CQ40-Regression!CQ41)*1000+'Post Process Calc.'!AQ6*'In Process Calc.'!$E7+'In Process Calc.'!$G6*'Measured Data'!AX10+'In Process Calc.'!$F6*'Measured Data'!AX10)/'In Process Calc.'!$J6</f>
        <v>28.311821730290777</v>
      </c>
      <c r="AR7" s="122">
        <f>((Regression!CR40-Regression!CR41)*1000+'Post Process Calc.'!AR6*'In Process Calc.'!$E7+'In Process Calc.'!$G6*'Measured Data'!AY10+'In Process Calc.'!$F6*'Measured Data'!AY10)/'In Process Calc.'!$J6</f>
        <v>0.58125398873210932</v>
      </c>
      <c r="AS7" s="122">
        <f>((Regression!CS40-Regression!CS41)*1000+'Post Process Calc.'!AS6*'In Process Calc.'!$E7+'In Process Calc.'!$G6*'Measured Data'!AZ10+'In Process Calc.'!$F6*'Measured Data'!AZ10)/'In Process Calc.'!$J6</f>
        <v>10.093863504416849</v>
      </c>
      <c r="AT7" s="122">
        <f>((Regression!CT40-Regression!CT41)*1000+'Post Process Calc.'!AT6*'In Process Calc.'!$E7+'In Process Calc.'!$G6*'Measured Data'!BA10+'In Process Calc.'!$F6*'Measured Data'!BA10)/'In Process Calc.'!$J6</f>
        <v>1.4278366268634923</v>
      </c>
      <c r="AU7" s="122">
        <f>((Regression!CU40-Regression!CU41)*1000+'Post Process Calc.'!AU6*'In Process Calc.'!$E7+'In Process Calc.'!$G6*'Measured Data'!BB10+'In Process Calc.'!$F6*'Measured Data'!BB10)/'In Process Calc.'!$J6</f>
        <v>1.4352596676588816</v>
      </c>
      <c r="AV7" s="122">
        <f>((Regression!CV40-Regression!CV41)*1000+'Post Process Calc.'!AV6*'In Process Calc.'!$E7+'In Process Calc.'!$G6*'Measured Data'!BC10+'In Process Calc.'!$F6*'Measured Data'!BC10)/'In Process Calc.'!$J6</f>
        <v>3.4172088023823251</v>
      </c>
      <c r="AW7" s="122">
        <f>((Regression!CW40-Regression!CW41)*1000+'Post Process Calc.'!AW6*'In Process Calc.'!$E7+'In Process Calc.'!$G6*'Measured Data'!BE10+'In Process Calc.'!$F6*'Measured Data'!BE10)/'In Process Calc.'!$J6</f>
        <v>-4.2103380120539278</v>
      </c>
      <c r="AX7" s="122">
        <f>((Regression!CX40-Regression!CX41)*1000+'Post Process Calc.'!AX6*'In Process Calc.'!$E7+'In Process Calc.'!$G6*'Measured Data'!BF10+'In Process Calc.'!$F6*'Measured Data'!BF10)/'In Process Calc.'!$J6</f>
        <v>4.8856180453911984</v>
      </c>
      <c r="AY7" s="122">
        <f>((Regression!CY40-Regression!CY41)*1000+'Post Process Calc.'!AY6*'In Process Calc.'!$E7+'In Process Calc.'!$G6*'Measured Data'!BG10+'In Process Calc.'!$F6*'Measured Data'!BG10)/'In Process Calc.'!$J6</f>
        <v>4.1308572167438404</v>
      </c>
      <c r="AZ7" s="122">
        <f>((Regression!CZ40-Regression!CZ41)*1000+'Post Process Calc.'!AZ6*'In Process Calc.'!$E7+'In Process Calc.'!$G6*'Measured Data'!BI10+'In Process Calc.'!$F6*'Measured Data'!BI10)/'In Process Calc.'!$J6</f>
        <v>0.56566344093547449</v>
      </c>
      <c r="BA7" s="122">
        <f>((Regression!DA40-Regression!DA41)*1000+'Post Process Calc.'!BA6*'In Process Calc.'!$E7+'In Process Calc.'!$G6*'Measured Data'!BJ10+'In Process Calc.'!$F6*'Measured Data'!BJ10)/'In Process Calc.'!$J6</f>
        <v>3.8284204744981278</v>
      </c>
      <c r="BB7" s="122">
        <f>((Regression!DB40-Regression!DB41)*1000+'Post Process Calc.'!BB6*'In Process Calc.'!$E7+'In Process Calc.'!$G6*'Measured Data'!BK10+'In Process Calc.'!$F6*'Measured Data'!BK10)/'In Process Calc.'!$J6</f>
        <v>1.6473583845093502</v>
      </c>
      <c r="BC7" s="122">
        <f>((Regression!DC40-Regression!DC41)*1000+'Post Process Calc.'!BC6*'In Process Calc.'!$E7+'In Process Calc.'!$G6*'Measured Data'!BL10+'In Process Calc.'!$F6*'Measured Data'!BL10)/'In Process Calc.'!$J6</f>
        <v>4.2077930660602645</v>
      </c>
      <c r="BD7" s="122">
        <f>((Regression!DD40-Regression!DD41)*1000+'Post Process Calc.'!BD6*'In Process Calc.'!$E7+'In Process Calc.'!$G6*'Measured Data'!BM10+'In Process Calc.'!$F6*'Measured Data'!BM10)/'In Process Calc.'!$J6</f>
        <v>3.1975004626066088</v>
      </c>
      <c r="BE7" s="122">
        <f>((Regression!DE40-Regression!DE41)*1000+'Post Process Calc.'!BE6*'In Process Calc.'!$E7+'In Process Calc.'!$G6*'Measured Data'!BN10+'In Process Calc.'!$F6*'Measured Data'!BN10)/'In Process Calc.'!$J6</f>
        <v>2.5562277861236442</v>
      </c>
      <c r="BF7" s="122">
        <f>((Regression!DF40-Regression!DF41)*1000+'Post Process Calc.'!BF6*'In Process Calc.'!$E7+'In Process Calc.'!$G6*'Measured Data'!BO10+'In Process Calc.'!$F6*'Measured Data'!BO10)/'In Process Calc.'!$J6</f>
        <v>1.2266695154890355</v>
      </c>
      <c r="BG7" s="122">
        <f>((Regression!DG40-Regression!DG41)*1000+'Post Process Calc.'!BG6*'In Process Calc.'!$E7+'In Process Calc.'!$G6*'Measured Data'!BP10+'In Process Calc.'!$F6*'Measured Data'!BP10)/'In Process Calc.'!$J6</f>
        <v>1.2184484058632581</v>
      </c>
      <c r="BH7" s="122">
        <f>((Regression!DH40-Regression!DH41)*1000+'Post Process Calc.'!BH6*'In Process Calc.'!$E7+'In Process Calc.'!$G6*'Measured Data'!BQ10+'In Process Calc.'!$F6*'Measured Data'!BQ10)/'In Process Calc.'!$J6</f>
        <v>4.9930253381381347</v>
      </c>
    </row>
    <row r="8" spans="1:71">
      <c r="A8" s="115">
        <f>'Measured Data'!H12</f>
        <v>4.0235999656677244</v>
      </c>
      <c r="B8" s="115">
        <f>'Measured Data'!H12*'In Process Calc.'!E8/1000</f>
        <v>7.5341164246023391</v>
      </c>
      <c r="C8" s="295">
        <f>'Growth Regression'!$P7</f>
        <v>1.9936258295762066E-2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3.0699024822876786</v>
      </c>
      <c r="F8" s="115">
        <f xml:space="preserve"> (Regression!$CE$8*6*'In Process Calc.'!$C8^6+Regression!$CD$8*5*'In Process Calc.'!$C8^5+Regression!$CC$8*4*'In Process Calc.'!$C8^3+Regression!$CB$8*3*'In Process Calc.'!$C8^2  + Regression!$CA$8*2*'In Process Calc.'!$C8 + Regression!$BZ$8)/$A8</f>
        <v>-1.8925970705394066E-2</v>
      </c>
      <c r="G8" s="115">
        <f xml:space="preserve"> (Regression!$CE$9*6*'In Process Calc.'!$C8^6+Regression!$CD$9*5*'In Process Calc.'!$C8^5+Regression!$CC$9*4*'In Process Calc.'!$C8^3+Regression!$CB$9*3*'In Process Calc.'!$C8^2  + Regression!$CA$9*2*'In Process Calc.'!$C8 + Regression!$BZ$9)/$B8</f>
        <v>-1.8519912771189824E-3</v>
      </c>
      <c r="H8" s="115">
        <f xml:space="preserve"> (Regression!$CE$10*6*'In Process Calc.'!$C8^6+Regression!$CD$10*5*'In Process Calc.'!$C8^5+Regression!$CC$10*4*'In Process Calc.'!$C8^3+Regression!$CB$10*3*'In Process Calc.'!$C8^2  + Regression!$CA$10*2*'In Process Calc.'!$C8 + Regression!$BZ$10)/$B8</f>
        <v>3.7030804665030264E-3</v>
      </c>
      <c r="I8" s="115">
        <f xml:space="preserve"> (Regression!$CE$11*6*'In Process Calc.'!$C8^6+Regression!$CD$11*5*'In Process Calc.'!$C8^5+Regression!$CC$11*4*'In Process Calc.'!$C8^3+Regression!$CB$11*3*'In Process Calc.'!$C8^2  + Regression!$CA$11*2*'In Process Calc.'!$C8 + Regression!$BZ$11)/$A8</f>
        <v>-6.6136363825725379E-3</v>
      </c>
      <c r="J8" s="115">
        <f>(Regression!$CE$12*6*'In Process Calc.'!$C8^6+Regression!$CD$12*5*'In Process Calc.'!$C8^5+Regression!$CC$12*4*'In Process Calc.'!$C8^3+Regression!$CB$12*3*'In Process Calc.'!$C8^2  + Regression!$CA$12*2*'In Process Calc.'!$C8 + Regression!$BZ$12)/$A8</f>
        <v>2.6655662870020791E-3</v>
      </c>
      <c r="K8" s="115">
        <f xml:space="preserve"> (Regression!$CE$13*6*'In Process Calc.'!$C8^5+Regression!$CD$13*5*'In Process Calc.'!$C8^4+Regression!$CC$13*4*'In Process Calc.'!$C8^3+Regression!$CB$13*3*'In Process Calc.'!$C8^2  + Regression!$CA$13*2*'In Process Calc.'!$C8 + Regression!$BZ$13)/$A8</f>
        <v>6.6036572777094044E-2</v>
      </c>
      <c r="L8" s="115">
        <f xml:space="preserve"> (Regression!$CE$14*6*'In Process Calc.'!$C8^5+Regression!$CD$14*5*'In Process Calc.'!$C8^4+Regression!$CC$14*4*'In Process Calc.'!$C8^3+Regression!$CB$14*3*'In Process Calc.'!$C8^2  + Regression!$CA$14*2*'In Process Calc.'!$C8 + Regression!$BZ$14)/$B8</f>
        <v>-5.6348922878439274E-3</v>
      </c>
      <c r="M8" s="115">
        <f xml:space="preserve"> (Regression!$CE$15*6*'In Process Calc.'!$C8^6+Regression!$CD$15*5*'In Process Calc.'!$C8^5+Regression!$CC$15*4*'In Process Calc.'!$C8^3+Regression!$CB$15*3*'In Process Calc.'!$C8^2  + Regression!$CA$15*2*'In Process Calc.'!$C8 + Regression!$BZ$15)/$A8</f>
        <v>-2.8607657498844776E-2</v>
      </c>
      <c r="N8" s="115">
        <f xml:space="preserve"> (Regression!$CE$16*6*'In Process Calc.'!$C8^6+Regression!$CD$16*5*'In Process Calc.'!$C8^5+Regression!$CC$16*4*'In Process Calc.'!$C8^3+Regression!$CB$16*3*'In Process Calc.'!$C8^2  + Regression!$CA$16*2*'In Process Calc.'!$C8 + Regression!$BZ$16)/$A8</f>
        <v>4.9672622057870348E-4</v>
      </c>
      <c r="O8" s="115">
        <f xml:space="preserve"> (Regression!$CE$17*6*'In Process Calc.'!$C8^6+Regression!$CD$17*5*'In Process Calc.'!$C8^5+Regression!$CC$17*4*'In Process Calc.'!$C8^3+Regression!$CB$17*3*'In Process Calc.'!$C8^2  + Regression!$CA$17*2*'In Process Calc.'!$C8 + Regression!$BZ$17)/$A8</f>
        <v>1.3314261979544132E-3</v>
      </c>
      <c r="P8" s="115">
        <f xml:space="preserve"> (Regression!$CE$18*6*'In Process Calc.'!$C8^6+Regression!$CD$18*5*'In Process Calc.'!$C8^5+Regression!$CC$18*4*'In Process Calc.'!$C8^3+Regression!$CB$18*3*'In Process Calc.'!$C8^2  + Regression!$CA$18*2*'In Process Calc.'!$C8 + Regression!$BZ$18)/$A8</f>
        <v>-1.7081573493948744E-3</v>
      </c>
      <c r="Q8" s="115">
        <f xml:space="preserve"> (Regression!$CE$19*6*'In Process Calc.'!$C8^5+Regression!$CD$19*5*'In Process Calc.'!$C8^4+Regression!$CC$19*4*'In Process Calc.'!$C8^3 +Regression!$CB$19*3*'In Process Calc.'!$C8^2 + Regression!$CA$19*2*'In Process Calc.'!$C8 + Regression!$BZ$19)/$B8</f>
        <v>2.0561896874776223E-2</v>
      </c>
      <c r="R8" s="115">
        <f xml:space="preserve"> (Regression!$CE$20*6*'In Process Calc.'!$C8^5+Regression!$CD$20*5*'In Process Calc.'!$C8^4+Regression!$CC$20*4*'In Process Calc.'!$C8^3 +Regression!$CB$20*3*'In Process Calc.'!$C8^2 + Regression!$CA$20*2*'In Process Calc.'!$C8 + Regression!$BZ$20)/$A8</f>
        <v>1.719430873729996E-3</v>
      </c>
      <c r="S8" s="115">
        <f xml:space="preserve"> (Regression!$CE$21*6*'In Process Calc.'!$C8^5+Regression!$CD$21*5*'In Process Calc.'!$C8^4+Regression!$CC$21*4*'In Process Calc.'!$C8^3 +Regression!$CB$21*3*'In Process Calc.'!$C8^2 + Regression!$CA$21*2*'In Process Calc.'!$C8 + Regression!$BZ$21)/$A8</f>
        <v>-3.0660991397779237E-3</v>
      </c>
      <c r="T8" s="115">
        <f xml:space="preserve"> (Regression!$CE$22*6*'In Process Calc.'!$C8^5+Regression!$CD$22*5*'In Process Calc.'!$C8^4+Regression!$CC$22*4*'In Process Calc.'!$C8^3 +Regression!$CB$22*3*'In Process Calc.'!$C8^2 + Regression!$CA$22*2*'In Process Calc.'!$C8 + Regression!$BZ$22)/$A8</f>
        <v>2.2824193900395063E-3</v>
      </c>
      <c r="U8" s="115">
        <f xml:space="preserve"> (Regression!$CE$23*6*'In Process Calc.'!$C8^5+Regression!$CD$23*5*'In Process Calc.'!$C8^4+Regression!$CC$23*4*'In Process Calc.'!$C8^3 +Regression!$CB$23*3*'In Process Calc.'!$C8^2 + Regression!$CA$23*2*'In Process Calc.'!$C8 + Regression!$BZ$23)/$A8</f>
        <v>-1.8612301461638354E-2</v>
      </c>
      <c r="V8" s="115">
        <f xml:space="preserve"> (Regression!$CE$24*6*'In Process Calc.'!$C8^5+Regression!$CD$24*5*'In Process Calc.'!$C8^4+Regression!$CC$24*4*'In Process Calc.'!$C8^3 +Regression!$CB$24*3*'In Process Calc.'!$C8^2 + Regression!$CA$24*2*'In Process Calc.'!$C8 + Regression!$BZ$24)/$A8</f>
        <v>-1.0718608714373676E-3</v>
      </c>
      <c r="W8" s="115">
        <f xml:space="preserve"> (Regression!$CE$25*6*'In Process Calc.'!$C8^5+Regression!$CD$25*5*'In Process Calc.'!$C8^4+Regression!$CC$25*4*'In Process Calc.'!$C8^3 +Regression!$CB$25*3*'In Process Calc.'!$C8^2 + Regression!$CA$25*2*'In Process Calc.'!$C8 + Regression!$BZ$25)/$A8</f>
        <v>7.6733709313832263E-3</v>
      </c>
      <c r="X8" s="115">
        <f xml:space="preserve"> (Regression!$CE$26*6*'In Process Calc.'!$C8^5+Regression!$CD$26*5*'In Process Calc.'!$C8^4+Regression!$CC$26*4*'In Process Calc.'!$C8^3 +Regression!$CB$26*3*'In Process Calc.'!$C8^2 + Regression!$CA$26*2*'In Process Calc.'!$C8 + Regression!$BZ$26)/$A8</f>
        <v>1.2562307379522264E-2</v>
      </c>
      <c r="Y8" s="115">
        <f xml:space="preserve"> (Regression!$CE$27*6*'In Process Calc.'!$C8^5+Regression!$CD$27*5*'In Process Calc.'!$C8^4+Regression!$CC$27*4*'In Process Calc.'!$C8^3 +Regression!$CB$27*3*'In Process Calc.'!$C8^2 + Regression!$CA$27*2*'In Process Calc.'!$C8 + Regression!$BZ$27)/$A8</f>
        <v>7.8450201351255976E-3</v>
      </c>
      <c r="Z8" s="115">
        <f xml:space="preserve"> (Regression!$CE$28*6*'In Process Calc.'!$C8^5+Regression!$CD$28*5*'In Process Calc.'!$C8^4+Regression!$CC$28*4*'In Process Calc.'!$C8^3 +Regression!$CB$28*3*'In Process Calc.'!$C8^2 + Regression!$CA$28*2*'In Process Calc.'!$C8 + Regression!$BZ$28)/$A8</f>
        <v>-1.2188296018646385E-3</v>
      </c>
      <c r="AA8" s="115">
        <f xml:space="preserve"> (Regression!$CE$29*6*'In Process Calc.'!$C8^5+Regression!$CD$29*5*'In Process Calc.'!$C8^4+Regression!$CC$29*4*'In Process Calc.'!$C8^3 +Regression!$CB$29*3*'In Process Calc.'!$C8^2 + Regression!$CA$29*2*'In Process Calc.'!$C8 + Regression!$BZ$29)/$A8</f>
        <v>4.1282927205065602E-3</v>
      </c>
      <c r="AB8" s="115">
        <f xml:space="preserve"> (Regression!$CE$30*6*'In Process Calc.'!$C8^5+Regression!$CD$30*5*'In Process Calc.'!$C8^4+Regression!$CC$30*4*'In Process Calc.'!$C8^3 +Regression!$CB$30*3*'In Process Calc.'!$C8^2 + Regression!$CA$30*2*'In Process Calc.'!$C8 + Regression!$BZ$30)/$A8</f>
        <v>-9.823283195317889E-3</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-2.1561798470042411E-2</v>
      </c>
      <c r="AE8" s="115">
        <f xml:space="preserve"> (Regression!$CE$33*6*'In Process Calc.'!$C8^5+Regression!$CD$33*5*'In Process Calc.'!$C8^4+Regression!$CC$33*4*'In Process Calc.'!$C8^3 +Regression!$CB$33*3*'In Process Calc.'!$C8^2 + Regression!$CA$33*2*'In Process Calc.'!$C8 + Regression!$BZ$33)/$A8</f>
        <v>-5.9100070637074842E-2</v>
      </c>
      <c r="AF8" s="115">
        <f xml:space="preserve"> (Regression!$CE$34*6*'In Process Calc.'!$C8^5+Regression!$CD$34*5*'In Process Calc.'!$C8^4+Regression!$CC$34*4*'In Process Calc.'!$C8^3 +Regression!$CB$34*3*'In Process Calc.'!$C8^2 + Regression!$CA$34*2*'In Process Calc.'!$C8 + Regression!$BZ$34)/$A8</f>
        <v>-4.6431613620177704E-2</v>
      </c>
      <c r="AG8" s="116">
        <f t="shared" si="0"/>
        <v>0.31137135090554674</v>
      </c>
      <c r="AH8" s="116">
        <f t="shared" si="3"/>
        <v>0</v>
      </c>
      <c r="AI8" s="116">
        <f t="shared" si="1"/>
        <v>-8.5329871779755498E-2</v>
      </c>
      <c r="AJ8" s="116">
        <f t="shared" si="2"/>
        <v>3.3030447630366258</v>
      </c>
      <c r="AK8" s="76">
        <f>'In Process Calc.'!C8</f>
        <v>115.96666666679084</v>
      </c>
      <c r="AL8" s="122">
        <f>((Regression!CL41-Regression!CL42)*1000+'Post Process Calc.'!AL7*'In Process Calc.'!$E8+'In Process Calc.'!$G7*'Measured Data'!AS11+'In Process Calc.'!$F7*'Measured Data'!AS11)/'In Process Calc.'!$J7</f>
        <v>0.86671969341817456</v>
      </c>
      <c r="AM8" s="122">
        <f>((Regression!CM41-Regression!CM42)*1000+'Post Process Calc.'!AM7*'In Process Calc.'!$E8+'In Process Calc.'!$G7*'Measured Data'!AT11+'In Process Calc.'!$F7*'Measured Data'!AT11)/'In Process Calc.'!$J7</f>
        <v>2.6285971372695283</v>
      </c>
      <c r="AN8" s="122">
        <f>((Regression!CN41-Regression!CN42)*1000+'Post Process Calc.'!AN7*'In Process Calc.'!$E8+'In Process Calc.'!$G7*'Measured Data'!AU11+'In Process Calc.'!$F7*'Measured Data'!AU11)/'In Process Calc.'!$J7</f>
        <v>5.5753231660861138</v>
      </c>
      <c r="AO8" s="122">
        <f>((Regression!CO41-Regression!CO42)*1000+'Post Process Calc.'!AO7*'In Process Calc.'!$E8+'In Process Calc.'!$G7*'Measured Data'!AV11+'In Process Calc.'!$F7*'Measured Data'!AV11)/'In Process Calc.'!$J7</f>
        <v>1.8408524387805365</v>
      </c>
      <c r="AP8" s="122">
        <f>((Regression!CP41-Regression!CP42)*1000+'Post Process Calc.'!AP7*'In Process Calc.'!$E8+'In Process Calc.'!$G7*'Measured Data'!AW11+'In Process Calc.'!$F7*'Measured Data'!AW11)/'In Process Calc.'!$J7</f>
        <v>0.75234045704842301</v>
      </c>
      <c r="AQ8" s="122">
        <f>((Regression!CQ41-Regression!CQ42)*1000+'Post Process Calc.'!AQ7*'In Process Calc.'!$E8+'In Process Calc.'!$G7*'Measured Data'!AX11+'In Process Calc.'!$F7*'Measured Data'!AX11)/'In Process Calc.'!$J7</f>
        <v>25.84908100086605</v>
      </c>
      <c r="AR8" s="122">
        <f>((Regression!CR41-Regression!CR42)*1000+'Post Process Calc.'!AR7*'In Process Calc.'!$E8+'In Process Calc.'!$G7*'Measured Data'!AY11+'In Process Calc.'!$F7*'Measured Data'!AY11)/'In Process Calc.'!$J7</f>
        <v>0.91745160160131978</v>
      </c>
      <c r="AS8" s="122">
        <f>((Regression!CS41-Regression!CS42)*1000+'Post Process Calc.'!AS7*'In Process Calc.'!$E8+'In Process Calc.'!$G7*'Measured Data'!AZ11+'In Process Calc.'!$F7*'Measured Data'!AZ11)/'In Process Calc.'!$J7</f>
        <v>11.52871065135187</v>
      </c>
      <c r="AT8" s="122">
        <f>((Regression!CT41-Regression!CT42)*1000+'Post Process Calc.'!AT7*'In Process Calc.'!$E8+'In Process Calc.'!$G7*'Measured Data'!BA11+'In Process Calc.'!$F7*'Measured Data'!BA11)/'In Process Calc.'!$J7</f>
        <v>1.4468884138388873</v>
      </c>
      <c r="AU8" s="122">
        <f>((Regression!CU41-Regression!CU42)*1000+'Post Process Calc.'!AU7*'In Process Calc.'!$E8+'In Process Calc.'!$G7*'Measured Data'!BB11+'In Process Calc.'!$F7*'Measured Data'!BB11)/'In Process Calc.'!$J7</f>
        <v>1.3970603006821252</v>
      </c>
      <c r="AV8" s="122">
        <f>((Regression!CV41-Regression!CV42)*1000+'Post Process Calc.'!AV7*'In Process Calc.'!$E8+'In Process Calc.'!$G7*'Measured Data'!BC11+'In Process Calc.'!$F7*'Measured Data'!BC11)/'In Process Calc.'!$J7</f>
        <v>3.5248181512637289</v>
      </c>
      <c r="AW8" s="122">
        <f>((Regression!CW41-Regression!CW42)*1000+'Post Process Calc.'!AW7*'In Process Calc.'!$E8+'In Process Calc.'!$G7*'Measured Data'!BE11+'In Process Calc.'!$F7*'Measured Data'!BE11)/'In Process Calc.'!$J7</f>
        <v>-6.1188964912444543</v>
      </c>
      <c r="AX8" s="122">
        <f>((Regression!CX41-Regression!CX42)*1000+'Post Process Calc.'!AX7*'In Process Calc.'!$E8+'In Process Calc.'!$G7*'Measured Data'!BF11+'In Process Calc.'!$F7*'Measured Data'!BF11)/'In Process Calc.'!$J7</f>
        <v>4.8695095068733698</v>
      </c>
      <c r="AY8" s="122">
        <f>((Regression!CY41-Regression!CY42)*1000+'Post Process Calc.'!AY7*'In Process Calc.'!$E8+'In Process Calc.'!$G7*'Measured Data'!BG11+'In Process Calc.'!$F7*'Measured Data'!BG11)/'In Process Calc.'!$J7</f>
        <v>4.3084127129517729</v>
      </c>
      <c r="AZ8" s="122">
        <f>((Regression!CZ41-Regression!CZ42)*1000+'Post Process Calc.'!AZ7*'In Process Calc.'!$E8+'In Process Calc.'!$G7*'Measured Data'!BI11+'In Process Calc.'!$F7*'Measured Data'!BI11)/'In Process Calc.'!$J7</f>
        <v>0.47131921032520008</v>
      </c>
      <c r="BA8" s="122">
        <f>((Regression!DA41-Regression!DA42)*1000+'Post Process Calc.'!BA7*'In Process Calc.'!$E8+'In Process Calc.'!$G7*'Measured Data'!BJ11+'In Process Calc.'!$F7*'Measured Data'!BJ11)/'In Process Calc.'!$J7</f>
        <v>4.6660722239249974</v>
      </c>
      <c r="BB8" s="122">
        <f>((Regression!DB41-Regression!DB42)*1000+'Post Process Calc.'!BB7*'In Process Calc.'!$E8+'In Process Calc.'!$G7*'Measured Data'!BK11+'In Process Calc.'!$F7*'Measured Data'!BK11)/'In Process Calc.'!$J7</f>
        <v>1.7140688014397172</v>
      </c>
      <c r="BC8" s="122">
        <f>((Regression!DC41-Regression!DC42)*1000+'Post Process Calc.'!BC7*'In Process Calc.'!$E8+'In Process Calc.'!$G7*'Measured Data'!BL11+'In Process Calc.'!$F7*'Measured Data'!BL11)/'In Process Calc.'!$J7</f>
        <v>3.9032855253424965</v>
      </c>
      <c r="BD8" s="122">
        <f>((Regression!DD41-Regression!DD42)*1000+'Post Process Calc.'!BD7*'In Process Calc.'!$E8+'In Process Calc.'!$G7*'Measured Data'!BM11+'In Process Calc.'!$F7*'Measured Data'!BM11)/'In Process Calc.'!$J7</f>
        <v>2.6676509597720983</v>
      </c>
      <c r="BE8" s="122">
        <f>((Regression!DE41-Regression!DE42)*1000+'Post Process Calc.'!BE7*'In Process Calc.'!$E8+'In Process Calc.'!$G7*'Measured Data'!BN11+'In Process Calc.'!$F7*'Measured Data'!BN11)/'In Process Calc.'!$J7</f>
        <v>2.2441355832818544</v>
      </c>
      <c r="BF8" s="122">
        <f>((Regression!DF41-Regression!DF42)*1000+'Post Process Calc.'!BF7*'In Process Calc.'!$E8+'In Process Calc.'!$G7*'Measured Data'!BO11+'In Process Calc.'!$F7*'Measured Data'!BO11)/'In Process Calc.'!$J7</f>
        <v>1.28917694275636</v>
      </c>
      <c r="BG8" s="122">
        <f>((Regression!DG41-Regression!DG42)*1000+'Post Process Calc.'!BG7*'In Process Calc.'!$E8+'In Process Calc.'!$G7*'Measured Data'!BP11+'In Process Calc.'!$F7*'Measured Data'!BP11)/'In Process Calc.'!$J7</f>
        <v>1.0533619579575197</v>
      </c>
      <c r="BH8" s="122">
        <f>((Regression!DH41-Regression!DH42)*1000+'Post Process Calc.'!BH7*'In Process Calc.'!$E8+'In Process Calc.'!$G7*'Measured Data'!BQ11+'In Process Calc.'!$F7*'Measured Data'!BQ11)/'In Process Calc.'!$J7</f>
        <v>5.4788072453257213</v>
      </c>
    </row>
    <row r="9" spans="1:71">
      <c r="A9" s="115">
        <f>'Measured Data'!H13</f>
        <v>6.555300099945069</v>
      </c>
      <c r="B9" s="115">
        <f>'Measured Data'!H13*'In Process Calc.'!E9/1000</f>
        <v>12.348728654940967</v>
      </c>
      <c r="C9" s="295">
        <f>'Growth Regression'!$P8</f>
        <v>1.6116851393872915E-2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2.4740903502015756</v>
      </c>
      <c r="F9" s="115">
        <f xml:space="preserve"> (Regression!$CE$8*6*'In Process Calc.'!$C9^6+Regression!$CD$8*5*'In Process Calc.'!$C9^5+Regression!$CC$8*4*'In Process Calc.'!$C9^3+Regression!$CB$8*3*'In Process Calc.'!$C9^2  + Regression!$CA$8*2*'In Process Calc.'!$C9 + Regression!$BZ$8)/$A9</f>
        <v>-1.2674397591816541E-2</v>
      </c>
      <c r="G9" s="115">
        <f xml:space="preserve"> (Regression!$CE$9*6*'In Process Calc.'!$C9^6+Regression!$CD$9*5*'In Process Calc.'!$C9^5+Regression!$CC$9*4*'In Process Calc.'!$C9^3+Regression!$CB$9*3*'In Process Calc.'!$C9^2  + Regression!$CA$9*2*'In Process Calc.'!$C9 + Regression!$BZ$9)/$B9</f>
        <v>-1.0037762621890576E-3</v>
      </c>
      <c r="H9" s="115">
        <f xml:space="preserve"> (Regression!$CE$10*6*'In Process Calc.'!$C9^6+Regression!$CD$10*5*'In Process Calc.'!$C9^5+Regression!$CC$10*4*'In Process Calc.'!$C9^3+Regression!$CB$10*3*'In Process Calc.'!$C9^2  + Regression!$CA$10*2*'In Process Calc.'!$C9 + Regression!$BZ$10)/$B9</f>
        <v>4.3053082141014101E-3</v>
      </c>
      <c r="I9" s="115">
        <f xml:space="preserve"> (Regression!$CE$11*6*'In Process Calc.'!$C9^6+Regression!$CD$11*5*'In Process Calc.'!$C9^5+Regression!$CC$11*4*'In Process Calc.'!$C9^3+Regression!$CB$11*3*'In Process Calc.'!$C9^2  + Regression!$CA$11*2*'In Process Calc.'!$C9 + Regression!$BZ$11)/$A9</f>
        <v>-3.4734303654749901E-3</v>
      </c>
      <c r="J9" s="115">
        <f>(Regression!$CE$12*6*'In Process Calc.'!$C9^6+Regression!$CD$12*5*'In Process Calc.'!$C9^5+Regression!$CC$12*4*'In Process Calc.'!$C9^3+Regression!$CB$12*3*'In Process Calc.'!$C9^2  + Regression!$CA$12*2*'In Process Calc.'!$C9 + Regression!$BZ$12)/$A9</f>
        <v>1.7178174996655298E-3</v>
      </c>
      <c r="K9" s="115">
        <f xml:space="preserve"> (Regression!$CE$13*6*'In Process Calc.'!$C9^5+Regression!$CD$13*5*'In Process Calc.'!$C9^4+Regression!$CC$13*4*'In Process Calc.'!$C9^3+Regression!$CB$13*3*'In Process Calc.'!$C9^2  + Regression!$CA$13*2*'In Process Calc.'!$C9 + Regression!$BZ$13)/$A9</f>
        <v>4.9899925349047344E-2</v>
      </c>
      <c r="L9" s="115">
        <f xml:space="preserve"> (Regression!$CE$14*6*'In Process Calc.'!$C9^5+Regression!$CD$14*5*'In Process Calc.'!$C9^4+Regression!$CC$14*4*'In Process Calc.'!$C9^3+Regression!$CB$14*3*'In Process Calc.'!$C9^2  + Regression!$CA$14*2*'In Process Calc.'!$C9 + Regression!$BZ$14)/$B9</f>
        <v>-6.1506280205075731E-3</v>
      </c>
      <c r="M9" s="115">
        <f xml:space="preserve"> (Regression!$CE$15*6*'In Process Calc.'!$C9^6+Regression!$CD$15*5*'In Process Calc.'!$C9^5+Regression!$CC$15*4*'In Process Calc.'!$C9^3+Regression!$CB$15*3*'In Process Calc.'!$C9^2  + Regression!$CA$15*2*'In Process Calc.'!$C9 + Regression!$BZ$15)/$A9</f>
        <v>-1.3033708447694102E-2</v>
      </c>
      <c r="N9" s="115">
        <f xml:space="preserve"> (Regression!$CE$16*6*'In Process Calc.'!$C9^6+Regression!$CD$16*5*'In Process Calc.'!$C9^5+Regression!$CC$16*4*'In Process Calc.'!$C9^3+Regression!$CB$16*3*'In Process Calc.'!$C9^2  + Regression!$CA$16*2*'In Process Calc.'!$C9 + Regression!$BZ$16)/$A9</f>
        <v>1.1452350615696839E-3</v>
      </c>
      <c r="O9" s="115">
        <f xml:space="preserve"> (Regression!$CE$17*6*'In Process Calc.'!$C9^6+Regression!$CD$17*5*'In Process Calc.'!$C9^5+Regression!$CC$17*4*'In Process Calc.'!$C9^3+Regression!$CB$17*3*'In Process Calc.'!$C9^2  + Regression!$CA$17*2*'In Process Calc.'!$C9 + Regression!$BZ$17)/$A9</f>
        <v>1.1554227359164143E-3</v>
      </c>
      <c r="P9" s="115">
        <f xml:space="preserve"> (Regression!$CE$18*6*'In Process Calc.'!$C9^6+Regression!$CD$18*5*'In Process Calc.'!$C9^5+Regression!$CC$18*4*'In Process Calc.'!$C9^3+Regression!$CB$18*3*'In Process Calc.'!$C9^2  + Regression!$CA$18*2*'In Process Calc.'!$C9 + Regression!$BZ$18)/$A9</f>
        <v>-5.9271271556553132E-4</v>
      </c>
      <c r="Q9" s="115">
        <f xml:space="preserve"> (Regression!$CE$19*6*'In Process Calc.'!$C9^5+Regression!$CD$19*5*'In Process Calc.'!$C9^4+Regression!$CC$19*4*'In Process Calc.'!$C9^3 +Regression!$CB$19*3*'In Process Calc.'!$C9^2 + Regression!$CA$19*2*'In Process Calc.'!$C9 + Regression!$BZ$19)/$B9</f>
        <v>7.2171226478049862E-3</v>
      </c>
      <c r="R9" s="115">
        <f xml:space="preserve"> (Regression!$CE$20*6*'In Process Calc.'!$C9^5+Regression!$CD$20*5*'In Process Calc.'!$C9^4+Regression!$CC$20*4*'In Process Calc.'!$C9^3 +Regression!$CB$20*3*'In Process Calc.'!$C9^2 + Regression!$CA$20*2*'In Process Calc.'!$C9 + Regression!$BZ$20)/$A9</f>
        <v>2.115462882837398E-3</v>
      </c>
      <c r="S9" s="115">
        <f xml:space="preserve"> (Regression!$CE$21*6*'In Process Calc.'!$C9^5+Regression!$CD$21*5*'In Process Calc.'!$C9^4+Regression!$CC$21*4*'In Process Calc.'!$C9^3 +Regression!$CB$21*3*'In Process Calc.'!$C9^2 + Regression!$CA$21*2*'In Process Calc.'!$C9 + Regression!$BZ$21)/$A9</f>
        <v>-1.0600018958451178E-3</v>
      </c>
      <c r="T9" s="115">
        <f xml:space="preserve"> (Regression!$CE$22*6*'In Process Calc.'!$C9^5+Regression!$CD$22*5*'In Process Calc.'!$C9^4+Regression!$CC$22*4*'In Process Calc.'!$C9^3 +Regression!$CB$22*3*'In Process Calc.'!$C9^2 + Regression!$CA$22*2*'In Process Calc.'!$C9 + Regression!$BZ$22)/$A9</f>
        <v>1.4141295036574303E-3</v>
      </c>
      <c r="U9" s="115">
        <f xml:space="preserve"> (Regression!$CE$23*6*'In Process Calc.'!$C9^5+Regression!$CD$23*5*'In Process Calc.'!$C9^4+Regression!$CC$23*4*'In Process Calc.'!$C9^3 +Regression!$CB$23*3*'In Process Calc.'!$C9^2 + Regression!$CA$23*2*'In Process Calc.'!$C9 + Regression!$BZ$23)/$A9</f>
        <v>-1.1556201284119019E-2</v>
      </c>
      <c r="V9" s="115">
        <f xml:space="preserve"> (Regression!$CE$24*6*'In Process Calc.'!$C9^5+Regression!$CD$24*5*'In Process Calc.'!$C9^4+Regression!$CC$24*4*'In Process Calc.'!$C9^3 +Regression!$CB$24*3*'In Process Calc.'!$C9^2 + Regression!$CA$24*2*'In Process Calc.'!$C9 + Regression!$BZ$24)/$A9</f>
        <v>-2.4560310512414322E-4</v>
      </c>
      <c r="W9" s="115">
        <f xml:space="preserve"> (Regression!$CE$25*6*'In Process Calc.'!$C9^5+Regression!$CD$25*5*'In Process Calc.'!$C9^4+Regression!$CC$25*4*'In Process Calc.'!$C9^3 +Regression!$CB$25*3*'In Process Calc.'!$C9^2 + Regression!$CA$25*2*'In Process Calc.'!$C9 + Regression!$BZ$25)/$A9</f>
        <v>4.743919170879447E-3</v>
      </c>
      <c r="X9" s="115">
        <f xml:space="preserve"> (Regression!$CE$26*6*'In Process Calc.'!$C9^5+Regression!$CD$26*5*'In Process Calc.'!$C9^4+Regression!$CC$26*4*'In Process Calc.'!$C9^3 +Regression!$CB$26*3*'In Process Calc.'!$C9^2 + Regression!$CA$26*2*'In Process Calc.'!$C9 + Regression!$BZ$26)/$A9</f>
        <v>7.5321246441353755E-3</v>
      </c>
      <c r="Y9" s="115">
        <f xml:space="preserve"> (Regression!$CE$27*6*'In Process Calc.'!$C9^5+Regression!$CD$27*5*'In Process Calc.'!$C9^4+Regression!$CC$27*4*'In Process Calc.'!$C9^3 +Regression!$CB$27*3*'In Process Calc.'!$C9^2 + Regression!$CA$27*2*'In Process Calc.'!$C9 + Regression!$BZ$27)/$A9</f>
        <v>5.1697314416401822E-3</v>
      </c>
      <c r="Z9" s="115">
        <f xml:space="preserve"> (Regression!$CE$28*6*'In Process Calc.'!$C9^5+Regression!$CD$28*5*'In Process Calc.'!$C9^4+Regression!$CC$28*4*'In Process Calc.'!$C9^3 +Regression!$CB$28*3*'In Process Calc.'!$C9^2 + Regression!$CA$28*2*'In Process Calc.'!$C9 + Regression!$BZ$28)/$A9</f>
        <v>-6.106768316237783E-4</v>
      </c>
      <c r="AA9" s="115">
        <f xml:space="preserve"> (Regression!$CE$29*6*'In Process Calc.'!$C9^5+Regression!$CD$29*5*'In Process Calc.'!$C9^4+Regression!$CC$29*4*'In Process Calc.'!$C9^3 +Regression!$CB$29*3*'In Process Calc.'!$C9^2 + Regression!$CA$29*2*'In Process Calc.'!$C9 + Regression!$BZ$29)/$A9</f>
        <v>2.6967480827537788E-3</v>
      </c>
      <c r="AB9" s="115">
        <f xml:space="preserve"> (Regression!$CE$30*6*'In Process Calc.'!$C9^5+Regression!$CD$30*5*'In Process Calc.'!$C9^4+Regression!$CC$30*4*'In Process Calc.'!$C9^3 +Regression!$CB$30*3*'In Process Calc.'!$C9^2 + Regression!$CA$30*2*'In Process Calc.'!$C9 + Regression!$BZ$30)/$A9</f>
        <v>-4.8189789901655379E-3</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1.332797476072671E-3</v>
      </c>
      <c r="AE9" s="115">
        <f xml:space="preserve"> (Regression!$CE$33*6*'In Process Calc.'!$C9^5+Regression!$CD$33*5*'In Process Calc.'!$C9^4+Regression!$CC$33*4*'In Process Calc.'!$C9^3 +Regression!$CB$33*3*'In Process Calc.'!$C9^2 + Regression!$CA$33*2*'In Process Calc.'!$C9 + Regression!$BZ$33)/$A9</f>
        <v>-2.2897801399862902E-2</v>
      </c>
      <c r="AF9" s="115">
        <f xml:space="preserve"> (Regression!$CE$34*6*'In Process Calc.'!$C9^5+Regression!$CD$34*5*'In Process Calc.'!$C9^4+Regression!$CC$34*4*'In Process Calc.'!$C9^3 +Regression!$CB$34*3*'In Process Calc.'!$C9^2 + Regression!$CA$34*2*'In Process Calc.'!$C9 + Regression!$BZ$34)/$A9</f>
        <v>3.5191474674158098E-2</v>
      </c>
      <c r="AG9" s="116">
        <f t="shared" si="0"/>
        <v>0.14463193275985073</v>
      </c>
      <c r="AH9" s="116">
        <f t="shared" si="3"/>
        <v>0</v>
      </c>
      <c r="AI9" s="116">
        <f t="shared" si="1"/>
        <v>-0.12325926296450855</v>
      </c>
      <c r="AJ9" s="116">
        <f t="shared" si="2"/>
        <v>1.878865254993157</v>
      </c>
      <c r="AK9" s="76">
        <f>'In Process Calc.'!C9</f>
        <v>141.16666666668607</v>
      </c>
      <c r="AL9" s="122">
        <f>((Regression!CL42-Regression!CL43)*1000+'Post Process Calc.'!AL8*'In Process Calc.'!$E9+'In Process Calc.'!$G8*'Measured Data'!AS12+'In Process Calc.'!$F8*'Measured Data'!AS12)/'In Process Calc.'!$J8</f>
        <v>1.9550793174834589</v>
      </c>
      <c r="AM9" s="122">
        <f>((Regression!CM42-Regression!CM43)*1000+'Post Process Calc.'!AM8*'In Process Calc.'!$E9+'In Process Calc.'!$G8*'Measured Data'!AT12+'In Process Calc.'!$F8*'Measured Data'!AT12)/'In Process Calc.'!$J8</f>
        <v>2.8240861926374632</v>
      </c>
      <c r="AN9" s="122">
        <f>((Regression!CN42-Regression!CN43)*1000+'Post Process Calc.'!AN8*'In Process Calc.'!$E9+'In Process Calc.'!$G8*'Measured Data'!AU12+'In Process Calc.'!$F8*'Measured Data'!AU12)/'In Process Calc.'!$J8</f>
        <v>5.0661964155868429</v>
      </c>
      <c r="AO9" s="122">
        <f>((Regression!CO42-Regression!CO43)*1000+'Post Process Calc.'!AO8*'In Process Calc.'!$E9+'In Process Calc.'!$G8*'Measured Data'!AV12+'In Process Calc.'!$F8*'Measured Data'!AV12)/'In Process Calc.'!$J8</f>
        <v>2.189972460268383</v>
      </c>
      <c r="AP9" s="122">
        <f>((Regression!CP42-Regression!CP43)*1000+'Post Process Calc.'!AP8*'In Process Calc.'!$E9+'In Process Calc.'!$G8*'Measured Data'!AW12+'In Process Calc.'!$F8*'Measured Data'!AW12)/'In Process Calc.'!$J8</f>
        <v>0.60795583567593026</v>
      </c>
      <c r="AQ9" s="122">
        <f>((Regression!CQ42-Regression!CQ43)*1000+'Post Process Calc.'!AQ8*'In Process Calc.'!$E9+'In Process Calc.'!$G8*'Measured Data'!AX12+'In Process Calc.'!$F8*'Measured Data'!AX12)/'In Process Calc.'!$J8</f>
        <v>22.01378972534863</v>
      </c>
      <c r="AR9" s="122">
        <f>((Regression!CR42-Regression!CR43)*1000+'Post Process Calc.'!AR8*'In Process Calc.'!$E9+'In Process Calc.'!$G8*'Measured Data'!AY12+'In Process Calc.'!$F8*'Measured Data'!AY12)/'In Process Calc.'!$J8</f>
        <v>1.7217769977854562</v>
      </c>
      <c r="AS9" s="122">
        <f>((Regression!CS42-Regression!CS43)*1000+'Post Process Calc.'!AS8*'In Process Calc.'!$E9+'In Process Calc.'!$G8*'Measured Data'!AZ12+'In Process Calc.'!$F8*'Measured Data'!AZ12)/'In Process Calc.'!$J8</f>
        <v>12.955366848122683</v>
      </c>
      <c r="AT9" s="122">
        <f>((Regression!CT42-Regression!CT43)*1000+'Post Process Calc.'!AT8*'In Process Calc.'!$E9+'In Process Calc.'!$G8*'Measured Data'!BA12+'In Process Calc.'!$F8*'Measured Data'!BA12)/'In Process Calc.'!$J8</f>
        <v>1.3891438885636729</v>
      </c>
      <c r="AU9" s="122">
        <f>((Regression!CU42-Regression!CU43)*1000+'Post Process Calc.'!AU8*'In Process Calc.'!$E9+'In Process Calc.'!$G8*'Measured Data'!BB12+'In Process Calc.'!$F8*'Measured Data'!BB12)/'In Process Calc.'!$J8</f>
        <v>1.3178530733735523</v>
      </c>
      <c r="AV9" s="122">
        <f>((Regression!CV42-Regression!CV43)*1000+'Post Process Calc.'!AV8*'In Process Calc.'!$E9+'In Process Calc.'!$G8*'Measured Data'!BC12+'In Process Calc.'!$F8*'Measured Data'!BC12)/'In Process Calc.'!$J8</f>
        <v>3.6192071335454625</v>
      </c>
      <c r="AW9" s="122">
        <f>((Regression!CW42-Regression!CW43)*1000+'Post Process Calc.'!AW8*'In Process Calc.'!$E9+'In Process Calc.'!$G8*'Measured Data'!BE12+'In Process Calc.'!$F8*'Measured Data'!BE12)/'In Process Calc.'!$J8</f>
        <v>-7.8290318206460929</v>
      </c>
      <c r="AX9" s="122">
        <f>((Regression!CX42-Regression!CX43)*1000+'Post Process Calc.'!AX8*'In Process Calc.'!$E9+'In Process Calc.'!$G8*'Measured Data'!BF12+'In Process Calc.'!$F8*'Measured Data'!BF12)/'In Process Calc.'!$J8</f>
        <v>4.7594179025552386</v>
      </c>
      <c r="AY9" s="122">
        <f>((Regression!CY42-Regression!CY43)*1000+'Post Process Calc.'!AY8*'In Process Calc.'!$E9+'In Process Calc.'!$G8*'Measured Data'!BG12+'In Process Calc.'!$F8*'Measured Data'!BG12)/'In Process Calc.'!$J8</f>
        <v>4.4665869958641915</v>
      </c>
      <c r="AZ9" s="122">
        <f>((Regression!CZ42-Regression!CZ43)*1000+'Post Process Calc.'!AZ8*'In Process Calc.'!$E9+'In Process Calc.'!$G8*'Measured Data'!BI12+'In Process Calc.'!$F8*'Measured Data'!BI12)/'In Process Calc.'!$J8</f>
        <v>0.34913273343438211</v>
      </c>
      <c r="BA9" s="122">
        <f>((Regression!DA42-Regression!DA43)*1000+'Post Process Calc.'!BA8*'In Process Calc.'!$E9+'In Process Calc.'!$G8*'Measured Data'!BJ12+'In Process Calc.'!$F8*'Measured Data'!BJ12)/'In Process Calc.'!$J8</f>
        <v>5.7093325215096691</v>
      </c>
      <c r="BB9" s="122">
        <f>((Regression!DB42-Regression!DB43)*1000+'Post Process Calc.'!BB8*'In Process Calc.'!$E9+'In Process Calc.'!$G8*'Measured Data'!BK12+'In Process Calc.'!$F8*'Measured Data'!BK12)/'In Process Calc.'!$J8</f>
        <v>1.7651916808889829</v>
      </c>
      <c r="BC9" s="122">
        <f>((Regression!DC42-Regression!DC43)*1000+'Post Process Calc.'!BC8*'In Process Calc.'!$E9+'In Process Calc.'!$G8*'Measured Data'!BL12+'In Process Calc.'!$F8*'Measured Data'!BL12)/'In Process Calc.'!$J8</f>
        <v>3.5073544306154809</v>
      </c>
      <c r="BD9" s="122">
        <f>((Regression!DD42-Regression!DD43)*1000+'Post Process Calc.'!BD8*'In Process Calc.'!$E9+'In Process Calc.'!$G8*'Measured Data'!BM12+'In Process Calc.'!$F8*'Measured Data'!BM12)/'In Process Calc.'!$J8</f>
        <v>2.0079006046337078</v>
      </c>
      <c r="BE9" s="122">
        <f>((Regression!DE42-Regression!DE43)*1000+'Post Process Calc.'!BE8*'In Process Calc.'!$E9+'In Process Calc.'!$G8*'Measured Data'!BN12+'In Process Calc.'!$F8*'Measured Data'!BN12)/'In Process Calc.'!$J8</f>
        <v>1.8144911413599265</v>
      </c>
      <c r="BF9" s="122">
        <f>((Regression!DF42-Regression!DF43)*1000+'Post Process Calc.'!BF8*'In Process Calc.'!$E9+'In Process Calc.'!$G8*'Measured Data'!BO12+'In Process Calc.'!$F8*'Measured Data'!BO12)/'In Process Calc.'!$J8</f>
        <v>1.3578454685205559</v>
      </c>
      <c r="BG9" s="122">
        <f>((Regression!DG42-Regression!DG43)*1000+'Post Process Calc.'!BG8*'In Process Calc.'!$E9+'In Process Calc.'!$G8*'Measured Data'!BP12+'In Process Calc.'!$F8*'Measured Data'!BP12)/'In Process Calc.'!$J8</f>
        <v>0.82734378111010243</v>
      </c>
      <c r="BH9" s="122">
        <f>((Regression!DH42-Regression!DH43)*1000+'Post Process Calc.'!BH8*'In Process Calc.'!$E9+'In Process Calc.'!$G8*'Measured Data'!BQ12+'In Process Calc.'!$F8*'Measured Data'!BQ12)/'In Process Calc.'!$J8</f>
        <v>5.9950778463811334</v>
      </c>
    </row>
    <row r="10" spans="1:71">
      <c r="A10" s="115">
        <f>'Measured Data'!H14</f>
        <v>9.4350002838134763</v>
      </c>
      <c r="B10" s="115">
        <f>'Measured Data'!H14*'In Process Calc.'!E10/1000</f>
        <v>17.887013315835571</v>
      </c>
      <c r="C10" s="295">
        <f>'Growth Regression'!$P9</f>
        <v>1.1999991088599072E-2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2.0386901049162764</v>
      </c>
      <c r="F10" s="115">
        <f xml:space="preserve"> (Regression!$CE$8*6*'In Process Calc.'!$C10^6+Regression!$CD$8*5*'In Process Calc.'!$C10^5+Regression!$CC$8*4*'In Process Calc.'!$C10^3+Regression!$CB$8*3*'In Process Calc.'!$C10^2  + Regression!$CA$8*2*'In Process Calc.'!$C10 + Regression!$BZ$8)/$A10</f>
        <v>-8.4957279563395785E-3</v>
      </c>
      <c r="G10" s="115">
        <f xml:space="preserve"> (Regression!$CE$9*6*'In Process Calc.'!$C10^6+Regression!$CD$9*5*'In Process Calc.'!$C10^5+Regression!$CC$9*4*'In Process Calc.'!$C10^3+Regression!$CB$9*3*'In Process Calc.'!$C10^2  + Regression!$CA$9*2*'In Process Calc.'!$C10 + Regression!$BZ$9)/$B10</f>
        <v>-5.0553532442258731E-4</v>
      </c>
      <c r="H10" s="115">
        <f xml:space="preserve"> (Regression!$CE$10*6*'In Process Calc.'!$C10^6+Regression!$CD$10*5*'In Process Calc.'!$C10^5+Regression!$CC$10*4*'In Process Calc.'!$C10^3+Regression!$CB$10*3*'In Process Calc.'!$C10^2  + Regression!$CA$10*2*'In Process Calc.'!$C10 + Regression!$BZ$10)/$B10</f>
        <v>4.2806759663201865E-3</v>
      </c>
      <c r="I10" s="115">
        <f xml:space="preserve"> (Regression!$CE$11*6*'In Process Calc.'!$C10^6+Regression!$CD$11*5*'In Process Calc.'!$C10^5+Regression!$CC$11*4*'In Process Calc.'!$C10^3+Regression!$CB$11*3*'In Process Calc.'!$C10^2  + Regression!$CA$11*2*'In Process Calc.'!$C10 + Regression!$BZ$11)/$A10</f>
        <v>-1.6319023076364571E-3</v>
      </c>
      <c r="J10" s="115">
        <f>(Regression!$CE$12*6*'In Process Calc.'!$C10^6+Regression!$CD$12*5*'In Process Calc.'!$C10^5+Regression!$CC$12*4*'In Process Calc.'!$C10^3+Regression!$CB$12*3*'In Process Calc.'!$C10^2  + Regression!$CA$12*2*'In Process Calc.'!$C10 + Regression!$BZ$12)/$A10</f>
        <v>1.1626497339069623E-3</v>
      </c>
      <c r="K10" s="115">
        <f xml:space="preserve"> (Regression!$CE$13*6*'In Process Calc.'!$C10^5+Regression!$CD$13*5*'In Process Calc.'!$C10^4+Regression!$CC$13*4*'In Process Calc.'!$C10^3+Regression!$CB$13*3*'In Process Calc.'!$C10^2  + Regression!$CA$13*2*'In Process Calc.'!$C10 + Regression!$BZ$13)/$A10</f>
        <v>4.0591282479987778E-2</v>
      </c>
      <c r="L10" s="115">
        <f xml:space="preserve"> (Regression!$CE$14*6*'In Process Calc.'!$C10^5+Regression!$CD$14*5*'In Process Calc.'!$C10^4+Regression!$CC$14*4*'In Process Calc.'!$C10^3+Regression!$CB$14*3*'In Process Calc.'!$C10^2  + Regression!$CA$14*2*'In Process Calc.'!$C10 + Regression!$BZ$14)/$B10</f>
        <v>-5.4383264897684561E-3</v>
      </c>
      <c r="M10" s="115">
        <f xml:space="preserve"> (Regression!$CE$15*6*'In Process Calc.'!$C10^6+Regression!$CD$15*5*'In Process Calc.'!$C10^5+Regression!$CC$15*4*'In Process Calc.'!$C10^3+Regression!$CB$15*3*'In Process Calc.'!$C10^2  + Regression!$CA$15*2*'In Process Calc.'!$C10 + Regression!$BZ$15)/$A10</f>
        <v>-5.4491736343254141E-3</v>
      </c>
      <c r="N10" s="115">
        <f xml:space="preserve"> (Regression!$CE$16*6*'In Process Calc.'!$C10^6+Regression!$CD$16*5*'In Process Calc.'!$C10^5+Regression!$CC$16*4*'In Process Calc.'!$C10^3+Regression!$CB$16*3*'In Process Calc.'!$C10^2  + Regression!$CA$16*2*'In Process Calc.'!$C10 + Regression!$BZ$16)/$A10</f>
        <v>1.1281147740047387E-3</v>
      </c>
      <c r="O10" s="115">
        <f xml:space="preserve"> (Regression!$CE$17*6*'In Process Calc.'!$C10^6+Regression!$CD$17*5*'In Process Calc.'!$C10^5+Regression!$CC$17*4*'In Process Calc.'!$C10^3+Regression!$CB$17*3*'In Process Calc.'!$C10^2  + Regression!$CA$17*2*'In Process Calc.'!$C10 + Regression!$BZ$17)/$A10</f>
        <v>9.6996334708924689E-4</v>
      </c>
      <c r="P10" s="115">
        <f xml:space="preserve"> (Regression!$CE$18*6*'In Process Calc.'!$C10^6+Regression!$CD$18*5*'In Process Calc.'!$C10^5+Regression!$CC$18*4*'In Process Calc.'!$C10^3+Regression!$CB$18*3*'In Process Calc.'!$C10^2  + Regression!$CA$18*2*'In Process Calc.'!$C10 + Regression!$BZ$18)/$A10</f>
        <v>-5.1790356899000314E-5</v>
      </c>
      <c r="Q10" s="115">
        <f xml:space="preserve"> (Regression!$CE$19*6*'In Process Calc.'!$C10^5+Regression!$CD$19*5*'In Process Calc.'!$C10^4+Regression!$CC$19*4*'In Process Calc.'!$C10^3 +Regression!$CB$19*3*'In Process Calc.'!$C10^2 + Regression!$CA$19*2*'In Process Calc.'!$C10 + Regression!$BZ$19)/$B10</f>
        <v>4.872342888806082E-4</v>
      </c>
      <c r="R10" s="115">
        <f xml:space="preserve"> (Regression!$CE$20*6*'In Process Calc.'!$C10^5+Regression!$CD$20*5*'In Process Calc.'!$C10^4+Regression!$CC$20*4*'In Process Calc.'!$C10^3 +Regression!$CB$20*3*'In Process Calc.'!$C10^2 + Regression!$CA$20*2*'In Process Calc.'!$C10 + Regression!$BZ$20)/$A10</f>
        <v>2.1954150057466285E-3</v>
      </c>
      <c r="S10" s="115">
        <f xml:space="preserve"> (Regression!$CE$21*6*'In Process Calc.'!$C10^5+Regression!$CD$21*5*'In Process Calc.'!$C10^4+Regression!$CC$21*4*'In Process Calc.'!$C10^3 +Regression!$CB$21*3*'In Process Calc.'!$C10^2 + Regression!$CA$21*2*'In Process Calc.'!$C10 + Regression!$BZ$21)/$A10</f>
        <v>6.6887397350814649E-6</v>
      </c>
      <c r="T10" s="115">
        <f xml:space="preserve"> (Regression!$CE$22*6*'In Process Calc.'!$C10^5+Regression!$CD$22*5*'In Process Calc.'!$C10^4+Regression!$CC$22*4*'In Process Calc.'!$C10^3 +Regression!$CB$22*3*'In Process Calc.'!$C10^2 + Regression!$CA$22*2*'In Process Calc.'!$C10 + Regression!$BZ$22)/$A10</f>
        <v>9.1762420588048467E-4</v>
      </c>
      <c r="U10" s="115">
        <f xml:space="preserve"> (Regression!$CE$23*6*'In Process Calc.'!$C10^5+Regression!$CD$23*5*'In Process Calc.'!$C10^4+Regression!$CC$23*4*'In Process Calc.'!$C10^3 +Regression!$CB$23*3*'In Process Calc.'!$C10^2 + Regression!$CA$23*2*'In Process Calc.'!$C10 + Regression!$BZ$23)/$A10</f>
        <v>-7.9923256177509613E-3</v>
      </c>
      <c r="V10" s="115">
        <f xml:space="preserve"> (Regression!$CE$24*6*'In Process Calc.'!$C10^5+Regression!$CD$24*5*'In Process Calc.'!$C10^4+Regression!$CC$24*4*'In Process Calc.'!$C10^3 +Regression!$CB$24*3*'In Process Calc.'!$C10^2 + Regression!$CA$24*2*'In Process Calc.'!$C10 + Regression!$BZ$24)/$A10</f>
        <v>1.7796443570081765E-4</v>
      </c>
      <c r="W10" s="115">
        <f xml:space="preserve"> (Regression!$CE$25*6*'In Process Calc.'!$C10^5+Regression!$CD$25*5*'In Process Calc.'!$C10^4+Regression!$CC$25*4*'In Process Calc.'!$C10^3 +Regression!$CB$25*3*'In Process Calc.'!$C10^2 + Regression!$CA$25*2*'In Process Calc.'!$C10 + Regression!$BZ$25)/$A10</f>
        <v>3.1063743437742138E-3</v>
      </c>
      <c r="X10" s="115">
        <f xml:space="preserve"> (Regression!$CE$26*6*'In Process Calc.'!$C10^5+Regression!$CD$26*5*'In Process Calc.'!$C10^4+Regression!$CC$26*4*'In Process Calc.'!$C10^3 +Regression!$CB$26*3*'In Process Calc.'!$C10^2 + Regression!$CA$26*2*'In Process Calc.'!$C10 + Regression!$BZ$26)/$A10</f>
        <v>4.8183903206392145E-3</v>
      </c>
      <c r="Y10" s="115">
        <f xml:space="preserve"> (Regression!$CE$27*6*'In Process Calc.'!$C10^5+Regression!$CD$27*5*'In Process Calc.'!$C10^4+Regression!$CC$27*4*'In Process Calc.'!$C10^3 +Regression!$CB$27*3*'In Process Calc.'!$C10^2 + Regression!$CA$27*2*'In Process Calc.'!$C10 + Regression!$BZ$27)/$A10</f>
        <v>3.5876474581512247E-3</v>
      </c>
      <c r="Z10" s="115">
        <f xml:space="preserve"> (Regression!$CE$28*6*'In Process Calc.'!$C10^5+Regression!$CD$28*5*'In Process Calc.'!$C10^4+Regression!$CC$28*4*'In Process Calc.'!$C10^3 +Regression!$CB$28*3*'In Process Calc.'!$C10^2 + Regression!$CA$28*2*'In Process Calc.'!$C10 + Regression!$BZ$28)/$A10</f>
        <v>-2.5267091887405088E-4</v>
      </c>
      <c r="AA10" s="115">
        <f xml:space="preserve"> (Regression!$CE$29*6*'In Process Calc.'!$C10^5+Regression!$CD$29*5*'In Process Calc.'!$C10^4+Regression!$CC$29*4*'In Process Calc.'!$C10^3 +Regression!$CB$29*3*'In Process Calc.'!$C10^2 + Regression!$CA$29*2*'In Process Calc.'!$C10 + Regression!$BZ$29)/$A10</f>
        <v>1.8385386189081598E-3</v>
      </c>
      <c r="AB10" s="115">
        <f xml:space="preserve"> (Regression!$CE$30*6*'In Process Calc.'!$C10^5+Regression!$CD$30*5*'In Process Calc.'!$C10^4+Regression!$CC$30*4*'In Process Calc.'!$C10^3 +Regression!$CB$30*3*'In Process Calc.'!$C10^2 + Regression!$CA$30*2*'In Process Calc.'!$C10 + Regression!$BZ$30)/$A10</f>
        <v>-2.1562191130005889E-3</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1.283532618335638E-2</v>
      </c>
      <c r="AE10" s="115">
        <f xml:space="preserve"> (Regression!$CE$33*6*'In Process Calc.'!$C10^5+Regression!$CD$33*5*'In Process Calc.'!$C10^4+Regression!$CC$33*4*'In Process Calc.'!$C10^3 +Regression!$CB$33*3*'In Process Calc.'!$C10^2 + Regression!$CA$33*2*'In Process Calc.'!$C10 + Regression!$BZ$33)/$A10</f>
        <v>-3.6527273907341726E-3</v>
      </c>
      <c r="AF10" s="115">
        <f xml:space="preserve"> (Regression!$CE$34*6*'In Process Calc.'!$C10^5+Regression!$CD$34*5*'In Process Calc.'!$C10^4+Regression!$CC$34*4*'In Process Calc.'!$C10^3 +Regression!$CB$34*3*'In Process Calc.'!$C10^2 + Regression!$CA$34*2*'In Process Calc.'!$C10 + Regression!$BZ$34)/$A10</f>
        <v>6.9092212088166363E-2</v>
      </c>
      <c r="AG10" s="116">
        <f t="shared" si="0"/>
        <v>1.2003421895349656E-2</v>
      </c>
      <c r="AH10" s="116">
        <f t="shared" si="3"/>
        <v>0</v>
      </c>
      <c r="AI10" s="116">
        <f t="shared" si="1"/>
        <v>-0.13397769564067474</v>
      </c>
      <c r="AJ10" s="116">
        <f t="shared" si="2"/>
        <v>1.4696296062377905</v>
      </c>
      <c r="AK10" s="76">
        <f>'In Process Calc.'!C10</f>
        <v>164.81666666676756</v>
      </c>
      <c r="AL10" s="122">
        <f>((Regression!CL43-Regression!CL44)*1000+'Post Process Calc.'!AL9*'In Process Calc.'!$E10+'In Process Calc.'!$G9*'Measured Data'!AS13+'In Process Calc.'!$F9*'Measured Data'!AS13)/'In Process Calc.'!$J9</f>
        <v>3.001843164936651</v>
      </c>
      <c r="AM10" s="122">
        <f>((Regression!CM43-Regression!CM44)*1000+'Post Process Calc.'!AM9*'In Process Calc.'!$E10+'In Process Calc.'!$G9*'Measured Data'!AT13+'In Process Calc.'!$F9*'Measured Data'!AT13)/'In Process Calc.'!$J9</f>
        <v>2.9786187191189777</v>
      </c>
      <c r="AN10" s="122">
        <f>((Regression!CN43-Regression!CN44)*1000+'Post Process Calc.'!AN9*'In Process Calc.'!$E10+'In Process Calc.'!$G9*'Measured Data'!AU13+'In Process Calc.'!$F9*'Measured Data'!AU13)/'In Process Calc.'!$J9</f>
        <v>4.2812768732099578</v>
      </c>
      <c r="AO10" s="122">
        <f>((Regression!CO43-Regression!CO44)*1000+'Post Process Calc.'!AO9*'In Process Calc.'!$E10+'In Process Calc.'!$G9*'Measured Data'!AV13+'In Process Calc.'!$F9*'Measured Data'!AV13)/'In Process Calc.'!$J9</f>
        <v>2.4464490560341967</v>
      </c>
      <c r="AP10" s="122">
        <f>((Regression!CP43-Regression!CP44)*1000+'Post Process Calc.'!AP9*'In Process Calc.'!$E10+'In Process Calc.'!$G9*'Measured Data'!AW13+'In Process Calc.'!$F9*'Measured Data'!AW13)/'In Process Calc.'!$J9</f>
        <v>0.47148984172738478</v>
      </c>
      <c r="AQ10" s="122">
        <f>((Regression!CQ43-Regression!CQ44)*1000+'Post Process Calc.'!AQ9*'In Process Calc.'!$E10+'In Process Calc.'!$G9*'Measured Data'!AX13+'In Process Calc.'!$F9*'Measured Data'!AX13)/'In Process Calc.'!$J9</f>
        <v>17.695254412073087</v>
      </c>
      <c r="AR10" s="122">
        <f>((Regression!CR43-Regression!CR44)*1000+'Post Process Calc.'!AR9*'In Process Calc.'!$E10+'In Process Calc.'!$G9*'Measured Data'!AY13+'In Process Calc.'!$F9*'Measured Data'!AY13)/'In Process Calc.'!$J9</f>
        <v>2.8391158527789706</v>
      </c>
      <c r="AS10" s="122">
        <f>((Regression!CS43-Regression!CS44)*1000+'Post Process Calc.'!AS9*'In Process Calc.'!$E10+'In Process Calc.'!$G9*'Measured Data'!AZ13+'In Process Calc.'!$F9*'Measured Data'!AZ13)/'In Process Calc.'!$J9</f>
        <v>13.903479243801369</v>
      </c>
      <c r="AT10" s="122">
        <f>((Regression!CT43-Regression!CT44)*1000+'Post Process Calc.'!AT9*'In Process Calc.'!$E10+'In Process Calc.'!$G9*'Measured Data'!BA13+'In Process Calc.'!$F9*'Measured Data'!BA13)/'In Process Calc.'!$J9</f>
        <v>1.2820206525714093</v>
      </c>
      <c r="AU10" s="122">
        <f>((Regression!CU43-Regression!CU44)*1000+'Post Process Calc.'!AU9*'In Process Calc.'!$E10+'In Process Calc.'!$G9*'Measured Data'!BB13+'In Process Calc.'!$F9*'Measured Data'!BB13)/'In Process Calc.'!$J9</f>
        <v>1.2207720083327476</v>
      </c>
      <c r="AV10" s="122">
        <f>((Regression!CV43-Regression!CV44)*1000+'Post Process Calc.'!AV9*'In Process Calc.'!$E10+'In Process Calc.'!$G9*'Measured Data'!BC13+'In Process Calc.'!$F9*'Measured Data'!BC13)/'In Process Calc.'!$J9</f>
        <v>3.6703911429228002</v>
      </c>
      <c r="AW10" s="122">
        <f>((Regression!CW43-Regression!CW44)*1000+'Post Process Calc.'!AW9*'In Process Calc.'!$E10+'In Process Calc.'!$G9*'Measured Data'!BE13+'In Process Calc.'!$F9*'Measured Data'!BE13)/'In Process Calc.'!$J9</f>
        <v>-8.5050183325541262</v>
      </c>
      <c r="AX10" s="122">
        <f>((Regression!CX43-Regression!CX44)*1000+'Post Process Calc.'!AX9*'In Process Calc.'!$E10+'In Process Calc.'!$G9*'Measured Data'!BF13+'In Process Calc.'!$F9*'Measured Data'!BF13)/'In Process Calc.'!$J9</f>
        <v>4.5730824409989159</v>
      </c>
      <c r="AY10" s="122">
        <f>((Regression!CY43-Regression!CY44)*1000+'Post Process Calc.'!AY9*'In Process Calc.'!$E10+'In Process Calc.'!$G9*'Measured Data'!BG13+'In Process Calc.'!$F9*'Measured Data'!BG13)/'In Process Calc.'!$J9</f>
        <v>4.5403305919081065</v>
      </c>
      <c r="AZ10" s="122">
        <f>((Regression!CZ43-Regression!CZ44)*1000+'Post Process Calc.'!AZ9*'In Process Calc.'!$E10+'In Process Calc.'!$G9*'Measured Data'!BI13+'In Process Calc.'!$F9*'Measured Data'!BI13)/'In Process Calc.'!$J9</f>
        <v>0.23812317976525937</v>
      </c>
      <c r="BA10" s="122">
        <f>((Regression!DA43-Regression!DA44)*1000+'Post Process Calc.'!BA9*'In Process Calc.'!$E10+'In Process Calc.'!$G9*'Measured Data'!BJ13+'In Process Calc.'!$F9*'Measured Data'!BJ13)/'In Process Calc.'!$J9</f>
        <v>6.695874669513568</v>
      </c>
      <c r="BB10" s="122">
        <f>((Regression!DB43-Regression!DB44)*1000+'Post Process Calc.'!BB9*'In Process Calc.'!$E10+'In Process Calc.'!$G9*'Measured Data'!BK13+'In Process Calc.'!$F9*'Measured Data'!BK13)/'In Process Calc.'!$J9</f>
        <v>1.7767996550088352</v>
      </c>
      <c r="BC10" s="122">
        <f>((Regression!DC43-Regression!DC44)*1000+'Post Process Calc.'!BC9*'In Process Calc.'!$E10+'In Process Calc.'!$G9*'Measured Data'!BL13+'In Process Calc.'!$F9*'Measured Data'!BL13)/'In Process Calc.'!$J9</f>
        <v>3.1485529415504598</v>
      </c>
      <c r="BD10" s="122">
        <f>((Regression!DD43-Regression!DD44)*1000+'Post Process Calc.'!BD9*'In Process Calc.'!$E10+'In Process Calc.'!$G9*'Measured Data'!BM13+'In Process Calc.'!$F9*'Measured Data'!BM13)/'In Process Calc.'!$J9</f>
        <v>1.4225612272057895</v>
      </c>
      <c r="BE10" s="122">
        <f>((Regression!DE43-Regression!DE44)*1000+'Post Process Calc.'!BE9*'In Process Calc.'!$E10+'In Process Calc.'!$G9*'Measured Data'!BN13+'In Process Calc.'!$F9*'Measured Data'!BN13)/'In Process Calc.'!$J9</f>
        <v>1.3986217637319418</v>
      </c>
      <c r="BF10" s="122">
        <f>((Regression!DF43-Regression!DF44)*1000+'Post Process Calc.'!BF9*'In Process Calc.'!$E10+'In Process Calc.'!$G9*'Measured Data'!BO13+'In Process Calc.'!$F9*'Measured Data'!BO13)/'In Process Calc.'!$J9</f>
        <v>1.4073994137194246</v>
      </c>
      <c r="BG10" s="122">
        <f>((Regression!DG43-Regression!DG44)*1000+'Post Process Calc.'!BG9*'In Process Calc.'!$E10+'In Process Calc.'!$G9*'Measured Data'!BP13+'In Process Calc.'!$F9*'Measured Data'!BP13)/'In Process Calc.'!$J9</f>
        <v>0.61142065526679434</v>
      </c>
      <c r="BH10" s="122">
        <f>((Regression!DH43-Regression!DH44)*1000+'Post Process Calc.'!BH9*'In Process Calc.'!$E10+'In Process Calc.'!$G9*'Measured Data'!BQ13+'In Process Calc.'!$F9*'Measured Data'!BQ13)/'In Process Calc.'!$J9</f>
        <v>6.3632366412039625</v>
      </c>
    </row>
    <row r="11" spans="1:71">
      <c r="A11" s="115">
        <f>'Measured Data'!H15</f>
        <v>12.014300210571289</v>
      </c>
      <c r="B11" s="115">
        <f>'Measured Data'!H15*'In Process Calc.'!E11/1000</f>
        <v>23.079025730425574</v>
      </c>
      <c r="C11" s="295">
        <f>'Growth Regression'!$P10</f>
        <v>8.0068817312016569E-3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1.8082529506337843</v>
      </c>
      <c r="F11" s="115">
        <f xml:space="preserve"> (Regression!$CE$8*6*'In Process Calc.'!$C11^6+Regression!$CD$8*5*'In Process Calc.'!$C11^5+Regression!$CC$8*4*'In Process Calc.'!$C11^3+Regression!$CB$8*3*'In Process Calc.'!$C11^2  + Regression!$CA$8*2*'In Process Calc.'!$C11 + Regression!$BZ$8)/$A11</f>
        <v>-5.624503712637602E-3</v>
      </c>
      <c r="G11" s="115">
        <f xml:space="preserve"> (Regression!$CE$9*6*'In Process Calc.'!$C11^6+Regression!$CD$9*5*'In Process Calc.'!$C11^5+Regression!$CC$9*4*'In Process Calc.'!$C11^3+Regression!$CB$9*3*'In Process Calc.'!$C11^2  + Regression!$CA$9*2*'In Process Calc.'!$C11 + Regression!$BZ$9)/$B11</f>
        <v>-1.5896545812900945E-4</v>
      </c>
      <c r="H11" s="115">
        <f xml:space="preserve"> (Regression!$CE$10*6*'In Process Calc.'!$C11^6+Regression!$CD$10*5*'In Process Calc.'!$C11^5+Regression!$CC$10*4*'In Process Calc.'!$C11^3+Regression!$CB$10*3*'In Process Calc.'!$C11^2  + Regression!$CA$10*2*'In Process Calc.'!$C11 + Regression!$BZ$10)/$B11</f>
        <v>4.126163794069348E-3</v>
      </c>
      <c r="I11" s="115">
        <f xml:space="preserve"> (Regression!$CE$11*6*'In Process Calc.'!$C11^6+Regression!$CD$11*5*'In Process Calc.'!$C11^5+Regression!$CC$11*4*'In Process Calc.'!$C11^3+Regression!$CB$11*3*'In Process Calc.'!$C11^2  + Regression!$CA$11*2*'In Process Calc.'!$C11 + Regression!$BZ$11)/$A11</f>
        <v>-4.816587839801346E-4</v>
      </c>
      <c r="J11" s="115">
        <f>(Regression!$CE$12*6*'In Process Calc.'!$C11^6+Regression!$CD$12*5*'In Process Calc.'!$C11^5+Regression!$CC$12*4*'In Process Calc.'!$C11^3+Regression!$CB$12*3*'In Process Calc.'!$C11^2  + Regression!$CA$12*2*'In Process Calc.'!$C11 + Regression!$BZ$12)/$A11</f>
        <v>8.2106566803009831E-4</v>
      </c>
      <c r="K11" s="115">
        <f xml:space="preserve"> (Regression!$CE$13*6*'In Process Calc.'!$C11^5+Regression!$CD$13*5*'In Process Calc.'!$C11^4+Regression!$CC$13*4*'In Process Calc.'!$C11^3+Regression!$CB$13*3*'In Process Calc.'!$C11^2  + Regression!$CA$13*2*'In Process Calc.'!$C11 + Regression!$BZ$13)/$A11</f>
        <v>3.6523069295356467E-2</v>
      </c>
      <c r="L11" s="115">
        <f xml:space="preserve"> (Regression!$CE$14*6*'In Process Calc.'!$C11^5+Regression!$CD$14*5*'In Process Calc.'!$C11^4+Regression!$CC$14*4*'In Process Calc.'!$C11^3+Regression!$CB$14*3*'In Process Calc.'!$C11^2  + Regression!$CA$14*2*'In Process Calc.'!$C11 + Regression!$BZ$14)/$B11</f>
        <v>-4.0351184838348046E-3</v>
      </c>
      <c r="M11" s="115">
        <f xml:space="preserve"> (Regression!$CE$15*6*'In Process Calc.'!$C11^6+Regression!$CD$15*5*'In Process Calc.'!$C11^5+Regression!$CC$15*4*'In Process Calc.'!$C11^3+Regression!$CB$15*3*'In Process Calc.'!$C11^2  + Regression!$CA$15*2*'In Process Calc.'!$C11 + Regression!$BZ$15)/$A11</f>
        <v>-8.3733967400339887E-4</v>
      </c>
      <c r="N11" s="115">
        <f xml:space="preserve"> (Regression!$CE$16*6*'In Process Calc.'!$C11^6+Regression!$CD$16*5*'In Process Calc.'!$C11^5+Regression!$CC$16*4*'In Process Calc.'!$C11^3+Regression!$CB$16*3*'In Process Calc.'!$C11^2  + Regression!$CA$16*2*'In Process Calc.'!$C11 + Regression!$BZ$16)/$A11</f>
        <v>9.8348781810847215E-4</v>
      </c>
      <c r="O11" s="115">
        <f xml:space="preserve"> (Regression!$CE$17*6*'In Process Calc.'!$C11^6+Regression!$CD$17*5*'In Process Calc.'!$C11^5+Regression!$CC$17*4*'In Process Calc.'!$C11^3+Regression!$CB$17*3*'In Process Calc.'!$C11^2  + Regression!$CA$17*2*'In Process Calc.'!$C11 + Regression!$BZ$17)/$A11</f>
        <v>8.5463649164439499E-4</v>
      </c>
      <c r="P11" s="115">
        <f xml:space="preserve"> (Regression!$CE$18*6*'In Process Calc.'!$C11^6+Regression!$CD$18*5*'In Process Calc.'!$C11^5+Regression!$CC$18*4*'In Process Calc.'!$C11^3+Regression!$CB$18*3*'In Process Calc.'!$C11^2  + Regression!$CA$18*2*'In Process Calc.'!$C11 + Regression!$BZ$18)/$A11</f>
        <v>3.0085902937307949E-4</v>
      </c>
      <c r="Q11" s="115">
        <f xml:space="preserve"> (Regression!$CE$19*6*'In Process Calc.'!$C11^5+Regression!$CD$19*5*'In Process Calc.'!$C11^4+Regression!$CC$19*4*'In Process Calc.'!$C11^3 +Regression!$CB$19*3*'In Process Calc.'!$C11^2 + Regression!$CA$19*2*'In Process Calc.'!$C11 + Regression!$BZ$19)/$B11</f>
        <v>-3.3879665944314065E-3</v>
      </c>
      <c r="R11" s="115">
        <f xml:space="preserve"> (Regression!$CE$20*6*'In Process Calc.'!$C11^5+Regression!$CD$20*5*'In Process Calc.'!$C11^4+Regression!$CC$20*4*'In Process Calc.'!$C11^3 +Regression!$CB$20*3*'In Process Calc.'!$C11^2 + Regression!$CA$20*2*'In Process Calc.'!$C11 + Regression!$BZ$20)/$A11</f>
        <v>2.3389817829336545E-3</v>
      </c>
      <c r="S11" s="115">
        <f xml:space="preserve"> (Regression!$CE$21*6*'In Process Calc.'!$C11^5+Regression!$CD$21*5*'In Process Calc.'!$C11^4+Regression!$CC$21*4*'In Process Calc.'!$C11^3 +Regression!$CB$21*3*'In Process Calc.'!$C11^2 + Regression!$CA$21*2*'In Process Calc.'!$C11 + Regression!$BZ$21)/$A11</f>
        <v>7.7193130453476005E-4</v>
      </c>
      <c r="T11" s="115">
        <f xml:space="preserve"> (Regression!$CE$22*6*'In Process Calc.'!$C11^5+Regression!$CD$22*5*'In Process Calc.'!$C11^4+Regression!$CC$22*4*'In Process Calc.'!$C11^3 +Regression!$CB$22*3*'In Process Calc.'!$C11^2 + Regression!$CA$22*2*'In Process Calc.'!$C11 + Regression!$BZ$22)/$A11</f>
        <v>6.095696423920713E-4</v>
      </c>
      <c r="U11" s="115">
        <f xml:space="preserve"> (Regression!$CE$23*6*'In Process Calc.'!$C11^5+Regression!$CD$23*5*'In Process Calc.'!$C11^4+Regression!$CC$23*4*'In Process Calc.'!$C11^3 +Regression!$CB$23*3*'In Process Calc.'!$C11^2 + Regression!$CA$23*2*'In Process Calc.'!$C11 + Regression!$BZ$23)/$A11</f>
        <v>-6.1488955749735893E-3</v>
      </c>
      <c r="V11" s="115">
        <f xml:space="preserve"> (Regression!$CE$24*6*'In Process Calc.'!$C11^5+Regression!$CD$24*5*'In Process Calc.'!$C11^4+Regression!$CC$24*4*'In Process Calc.'!$C11^3 +Regression!$CB$24*3*'In Process Calc.'!$C11^2 + Regression!$CA$24*2*'In Process Calc.'!$C11 + Regression!$BZ$24)/$A11</f>
        <v>4.8551658746352825E-4</v>
      </c>
      <c r="W11" s="115">
        <f xml:space="preserve"> (Regression!$CE$25*6*'In Process Calc.'!$C11^5+Regression!$CD$25*5*'In Process Calc.'!$C11^4+Regression!$CC$25*4*'In Process Calc.'!$C11^3 +Regression!$CB$25*3*'In Process Calc.'!$C11^2 + Regression!$CA$25*2*'In Process Calc.'!$C11 + Regression!$BZ$25)/$A11</f>
        <v>2.1172926846765227E-3</v>
      </c>
      <c r="X11" s="115">
        <f xml:space="preserve"> (Regression!$CE$26*6*'In Process Calc.'!$C11^5+Regression!$CD$26*5*'In Process Calc.'!$C11^4+Regression!$CC$26*4*'In Process Calc.'!$C11^3 +Regression!$CB$26*3*'In Process Calc.'!$C11^2 + Regression!$CA$26*2*'In Process Calc.'!$C11 + Regression!$BZ$26)/$A11</f>
        <v>3.2105166560790666E-3</v>
      </c>
      <c r="Y11" s="115">
        <f xml:space="preserve"> (Regression!$CE$27*6*'In Process Calc.'!$C11^5+Regression!$CD$27*5*'In Process Calc.'!$C11^4+Regression!$CC$27*4*'In Process Calc.'!$C11^3 +Regression!$CB$27*3*'In Process Calc.'!$C11^2 + Regression!$CA$27*2*'In Process Calc.'!$C11 + Regression!$BZ$27)/$A11</f>
        <v>2.6266441102410845E-3</v>
      </c>
      <c r="Z11" s="115">
        <f xml:space="preserve"> (Regression!$CE$28*6*'In Process Calc.'!$C11^5+Regression!$CD$28*5*'In Process Calc.'!$C11^4+Regression!$CC$28*4*'In Process Calc.'!$C11^3 +Regression!$CB$28*3*'In Process Calc.'!$C11^2 + Regression!$CA$28*2*'In Process Calc.'!$C11 + Regression!$BZ$28)/$A11</f>
        <v>5.8141819908434257E-6</v>
      </c>
      <c r="AA11" s="115">
        <f xml:space="preserve"> (Regression!$CE$29*6*'In Process Calc.'!$C11^5+Regression!$CD$29*5*'In Process Calc.'!$C11^4+Regression!$CC$29*4*'In Process Calc.'!$C11^3 +Regression!$CB$29*3*'In Process Calc.'!$C11^2 + Regression!$CA$29*2*'In Process Calc.'!$C11 + Regression!$BZ$29)/$A11</f>
        <v>1.3029036368780477E-3</v>
      </c>
      <c r="AB11" s="115">
        <f xml:space="preserve"> (Regression!$CE$30*6*'In Process Calc.'!$C11^5+Regression!$CD$30*5*'In Process Calc.'!$C11^4+Regression!$CC$30*4*'In Process Calc.'!$C11^3 +Regression!$CB$30*3*'In Process Calc.'!$C11^2 + Regression!$CA$30*2*'In Process Calc.'!$C11 + Regression!$BZ$30)/$A11</f>
        <v>-4.0768798746151116E-4</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2.1641558464130073E-2</v>
      </c>
      <c r="AE11" s="115">
        <f xml:space="preserve"> (Regression!$CE$33*6*'In Process Calc.'!$C11^5+Regression!$CD$33*5*'In Process Calc.'!$C11^4+Regression!$CC$33*4*'In Process Calc.'!$C11^3 +Regression!$CB$33*3*'In Process Calc.'!$C11^2 + Regression!$CA$33*2*'In Process Calc.'!$C11 + Regression!$BZ$33)/$A11</f>
        <v>9.8681591765188825E-3</v>
      </c>
      <c r="AF11" s="115">
        <f xml:space="preserve"> (Regression!$CE$34*6*'In Process Calc.'!$C11^5+Regression!$CD$34*5*'In Process Calc.'!$C11^4+Regression!$CC$34*4*'In Process Calc.'!$C11^3 +Regression!$CB$34*3*'In Process Calc.'!$C11^2 + Regression!$CA$34*2*'In Process Calc.'!$C11 + Regression!$BZ$34)/$A11</f>
        <v>9.2881469268394676E-2</v>
      </c>
      <c r="AG11" s="116">
        <f t="shared" si="0"/>
        <v>-9.2762373475061458E-2</v>
      </c>
      <c r="AH11" s="116">
        <f t="shared" si="3"/>
        <v>0</v>
      </c>
      <c r="AI11" s="116">
        <f t="shared" si="1"/>
        <v>-0.11048136319550309</v>
      </c>
      <c r="AJ11" s="116">
        <f t="shared" si="2"/>
        <v>1.523845111266706</v>
      </c>
      <c r="AK11" s="76">
        <f>'In Process Calc.'!C11</f>
        <v>189.19999999995343</v>
      </c>
      <c r="AL11" s="122">
        <f>((Regression!CL44-Regression!CL45)*1000+'Post Process Calc.'!AL10*'In Process Calc.'!$E11+'In Process Calc.'!$G10*'Measured Data'!AS14+'In Process Calc.'!$F10*'Measured Data'!AS14)/'In Process Calc.'!$J10</f>
        <v>4.0021084166521597</v>
      </c>
      <c r="AM11" s="122">
        <f>((Regression!CM44-Regression!CM45)*1000+'Post Process Calc.'!AM10*'In Process Calc.'!$E11+'In Process Calc.'!$G10*'Measured Data'!AT14+'In Process Calc.'!$F10*'Measured Data'!AT14)/'In Process Calc.'!$J10</f>
        <v>3.1019604496991628</v>
      </c>
      <c r="AN11" s="122">
        <f>((Regression!CN44-Regression!CN45)*1000+'Post Process Calc.'!AN10*'In Process Calc.'!$E11+'In Process Calc.'!$G10*'Measured Data'!AU14+'In Process Calc.'!$F10*'Measured Data'!AU14)/'In Process Calc.'!$J10</f>
        <v>3.2245762295932061</v>
      </c>
      <c r="AO11" s="122">
        <f>((Regression!CO44-Regression!CO45)*1000+'Post Process Calc.'!AO10*'In Process Calc.'!$E11+'In Process Calc.'!$G10*'Measured Data'!AV14+'In Process Calc.'!$F10*'Measured Data'!AV14)/'In Process Calc.'!$J10</f>
        <v>2.6163532199593109</v>
      </c>
      <c r="AP11" s="122">
        <f>((Regression!CP44-Regression!CP45)*1000+'Post Process Calc.'!AP10*'In Process Calc.'!$E11+'In Process Calc.'!$G10*'Measured Data'!AW14+'In Process Calc.'!$F10*'Measured Data'!AW14)/'In Process Calc.'!$J10</f>
        <v>0.34288761067652024</v>
      </c>
      <c r="AQ11" s="122">
        <f>((Regression!CQ44-Regression!CQ45)*1000+'Post Process Calc.'!AQ10*'In Process Calc.'!$E11+'In Process Calc.'!$G10*'Measured Data'!AX14+'In Process Calc.'!$F10*'Measured Data'!AX14)/'In Process Calc.'!$J10</f>
        <v>12.643329051407292</v>
      </c>
      <c r="AR11" s="122">
        <f>((Regression!CR44-Regression!CR45)*1000+'Post Process Calc.'!AR10*'In Process Calc.'!$E11+'In Process Calc.'!$G10*'Measured Data'!AY14+'In Process Calc.'!$F10*'Measured Data'!AY14)/'In Process Calc.'!$J10</f>
        <v>4.1364469577922094</v>
      </c>
      <c r="AS11" s="122">
        <f>((Regression!CS44-Regression!CS45)*1000+'Post Process Calc.'!AS10*'In Process Calc.'!$E11+'In Process Calc.'!$G10*'Measured Data'!AZ14+'In Process Calc.'!$F10*'Measured Data'!AZ14)/'In Process Calc.'!$J10</f>
        <v>14.490056461685164</v>
      </c>
      <c r="AT11" s="122">
        <f>((Regression!CT44-Regression!CT45)*1000+'Post Process Calc.'!AT10*'In Process Calc.'!$E11+'In Process Calc.'!$G10*'Measured Data'!BA14+'In Process Calc.'!$F10*'Measured Data'!BA14)/'In Process Calc.'!$J10</f>
        <v>1.1523490688400875</v>
      </c>
      <c r="AU11" s="122">
        <f>((Regression!CU44-Regression!CU45)*1000+'Post Process Calc.'!AU10*'In Process Calc.'!$E11+'In Process Calc.'!$G10*'Measured Data'!BB14+'In Process Calc.'!$F10*'Measured Data'!BB14)/'In Process Calc.'!$J10</f>
        <v>1.111527247676698</v>
      </c>
      <c r="AV11" s="122">
        <f>((Regression!CV44-Regression!CV45)*1000+'Post Process Calc.'!AV10*'In Process Calc.'!$E11+'In Process Calc.'!$G10*'Measured Data'!BC14+'In Process Calc.'!$F10*'Measured Data'!BC14)/'In Process Calc.'!$J10</f>
        <v>3.6996307830359059</v>
      </c>
      <c r="AW11" s="122">
        <f>((Regression!CW44-Regression!CW45)*1000+'Post Process Calc.'!AW10*'In Process Calc.'!$E11+'In Process Calc.'!$G10*'Measured Data'!BE14+'In Process Calc.'!$F10*'Measured Data'!BE14)/'In Process Calc.'!$J10</f>
        <v>-8.1666641009121275</v>
      </c>
      <c r="AX11" s="122">
        <f>((Regression!CX44-Regression!CX45)*1000+'Post Process Calc.'!AX10*'In Process Calc.'!$E11+'In Process Calc.'!$G10*'Measured Data'!BF14+'In Process Calc.'!$F10*'Measured Data'!BF14)/'In Process Calc.'!$J10</f>
        <v>4.3201818575663617</v>
      </c>
      <c r="AY11" s="122">
        <f>((Regression!CY44-Regression!CY45)*1000+'Post Process Calc.'!AY10*'In Process Calc.'!$E11+'In Process Calc.'!$G10*'Measured Data'!BG14+'In Process Calc.'!$F10*'Measured Data'!BG14)/'In Process Calc.'!$J10</f>
        <v>4.5426684126176058</v>
      </c>
      <c r="AZ11" s="122">
        <f>((Regression!CZ44-Regression!CZ45)*1000+'Post Process Calc.'!AZ10*'In Process Calc.'!$E11+'In Process Calc.'!$G10*'Measured Data'!BI14+'In Process Calc.'!$F10*'Measured Data'!BI14)/'In Process Calc.'!$J10</f>
        <v>0.13774363798408043</v>
      </c>
      <c r="BA11" s="122">
        <f>((Regression!DA44-Regression!DA45)*1000+'Post Process Calc.'!BA10*'In Process Calc.'!$E11+'In Process Calc.'!$G10*'Measured Data'!BJ14+'In Process Calc.'!$F10*'Measured Data'!BJ14)/'In Process Calc.'!$J10</f>
        <v>7.745984270790399</v>
      </c>
      <c r="BB11" s="122">
        <f>((Regression!DB44-Regression!DB45)*1000+'Post Process Calc.'!BB10*'In Process Calc.'!$E11+'In Process Calc.'!$G10*'Measured Data'!BK14+'In Process Calc.'!$F10*'Measured Data'!BK14)/'In Process Calc.'!$J10</f>
        <v>1.7528893582850191</v>
      </c>
      <c r="BC11" s="122">
        <f>((Regression!DC44-Regression!DC45)*1000+'Post Process Calc.'!BC10*'In Process Calc.'!$E11+'In Process Calc.'!$G10*'Measured Data'!BL14+'In Process Calc.'!$F10*'Measured Data'!BL14)/'In Process Calc.'!$J10</f>
        <v>2.8360488038503431</v>
      </c>
      <c r="BD11" s="122">
        <f>((Regression!DD44-Regression!DD45)*1000+'Post Process Calc.'!BD10*'In Process Calc.'!$E11+'In Process Calc.'!$G10*'Measured Data'!BM14+'In Process Calc.'!$F10*'Measured Data'!BM14)/'In Process Calc.'!$J10</f>
        <v>0.8979196228320121</v>
      </c>
      <c r="BE11" s="122">
        <f>((Regression!DE44-Regression!DE45)*1000+'Post Process Calc.'!BE10*'In Process Calc.'!$E11+'In Process Calc.'!$G10*'Measured Data'!BN14+'In Process Calc.'!$F10*'Measured Data'!BN14)/'In Process Calc.'!$J10</f>
        <v>0.99410506993152792</v>
      </c>
      <c r="BF11" s="122">
        <f>((Regression!DF44-Regression!DF45)*1000+'Post Process Calc.'!BF10*'In Process Calc.'!$E11+'In Process Calc.'!$G10*'Measured Data'!BO14+'In Process Calc.'!$F10*'Measured Data'!BO14)/'In Process Calc.'!$J10</f>
        <v>1.4418037903080883</v>
      </c>
      <c r="BG11" s="122">
        <f>((Regression!DG44-Regression!DG45)*1000+'Post Process Calc.'!BG10*'In Process Calc.'!$E11+'In Process Calc.'!$G10*'Measured Data'!BP14+'In Process Calc.'!$F10*'Measured Data'!BP14)/'In Process Calc.'!$J10</f>
        <v>0.40584254154368404</v>
      </c>
      <c r="BH11" s="122">
        <f>((Regression!DH44-Regression!DH45)*1000+'Post Process Calc.'!BH10*'In Process Calc.'!$E11+'In Process Calc.'!$G10*'Measured Data'!BQ14+'In Process Calc.'!$F10*'Measured Data'!BQ14)/'In Process Calc.'!$J10</f>
        <v>6.6141634410118391</v>
      </c>
    </row>
    <row r="12" spans="1:71">
      <c r="A12" s="115">
        <f>'Measured Data'!H16</f>
        <v>14.453400476074219</v>
      </c>
      <c r="B12" s="115">
        <f>'Measured Data'!H16*'In Process Calc.'!E12/1000</f>
        <v>27.733265130160522</v>
      </c>
      <c r="C12" s="295">
        <f>'Growth Regression'!$P11</f>
        <v>4.9413486374640745E-3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1.6298857636988957</v>
      </c>
      <c r="F12" s="115">
        <f xml:space="preserve"> (Regression!$CE$8*6*'In Process Calc.'!$C12^6+Regression!$CD$8*5*'In Process Calc.'!$C12^5+Regression!$CC$8*4*'In Process Calc.'!$C12^3+Regression!$CB$8*3*'In Process Calc.'!$C12^2  + Regression!$CA$8*2*'In Process Calc.'!$C12 + Regression!$BZ$8)/$A12</f>
        <v>-3.1661760472056137E-3</v>
      </c>
      <c r="G12" s="115">
        <f xml:space="preserve"> (Regression!$CE$9*6*'In Process Calc.'!$C12^6+Regression!$CD$9*5*'In Process Calc.'!$C12^5+Regression!$CC$9*4*'In Process Calc.'!$C12^3+Regression!$CB$9*3*'In Process Calc.'!$C12^2  + Regression!$CA$9*2*'In Process Calc.'!$C12 + Regression!$BZ$9)/$B12</f>
        <v>1.2635059406216549E-4</v>
      </c>
      <c r="H12" s="115">
        <f xml:space="preserve"> (Regression!$CE$10*6*'In Process Calc.'!$C12^6+Regression!$CD$10*5*'In Process Calc.'!$C12^5+Regression!$CC$10*4*'In Process Calc.'!$C12^3+Regression!$CB$10*3*'In Process Calc.'!$C12^2  + Regression!$CA$10*2*'In Process Calc.'!$C12 + Regression!$BZ$10)/$B12</f>
        <v>3.7189671648012765E-3</v>
      </c>
      <c r="I12" s="115">
        <f xml:space="preserve"> (Regression!$CE$11*6*'In Process Calc.'!$C12^6+Regression!$CD$11*5*'In Process Calc.'!$C12^5+Regression!$CC$11*4*'In Process Calc.'!$C12^3+Regression!$CB$11*3*'In Process Calc.'!$C12^2  + Regression!$CA$11*2*'In Process Calc.'!$C12 + Regression!$BZ$11)/$A12</f>
        <v>2.6844958604214312E-4</v>
      </c>
      <c r="J12" s="115">
        <f>(Regression!$CE$12*6*'In Process Calc.'!$C12^6+Regression!$CD$12*5*'In Process Calc.'!$C12^5+Regression!$CC$12*4*'In Process Calc.'!$C12^3+Regression!$CB$12*3*'In Process Calc.'!$C12^2  + Regression!$CA$12*2*'In Process Calc.'!$C12 + Regression!$BZ$12)/$A12</f>
        <v>5.5237038544871239E-4</v>
      </c>
      <c r="K12" s="115">
        <f xml:space="preserve"> (Regression!$CE$13*6*'In Process Calc.'!$C12^5+Regression!$CD$13*5*'In Process Calc.'!$C12^4+Regression!$CC$13*4*'In Process Calc.'!$C12^3+Regression!$CB$13*3*'In Process Calc.'!$C12^2  + Regression!$CA$13*2*'In Process Calc.'!$C12 + Regression!$BZ$13)/$A12</f>
        <v>3.4031186971645651E-2</v>
      </c>
      <c r="L12" s="115">
        <f xml:space="preserve"> (Regression!$CE$14*6*'In Process Calc.'!$C12^5+Regression!$CD$14*5*'In Process Calc.'!$C12^4+Regression!$CC$14*4*'In Process Calc.'!$C12^3+Regression!$CB$14*3*'In Process Calc.'!$C12^2  + Regression!$CA$14*2*'In Process Calc.'!$C12 + Regression!$BZ$14)/$B12</f>
        <v>-1.9577392315362927E-3</v>
      </c>
      <c r="M12" s="115">
        <f xml:space="preserve"> (Regression!$CE$15*6*'In Process Calc.'!$C12^6+Regression!$CD$15*5*'In Process Calc.'!$C12^5+Regression!$CC$15*4*'In Process Calc.'!$C12^3+Regression!$CB$15*3*'In Process Calc.'!$C12^2  + Regression!$CA$15*2*'In Process Calc.'!$C12 + Regression!$BZ$15)/$A12</f>
        <v>2.5430596236326922E-3</v>
      </c>
      <c r="N12" s="115">
        <f xml:space="preserve"> (Regression!$CE$16*6*'In Process Calc.'!$C12^6+Regression!$CD$16*5*'In Process Calc.'!$C12^5+Regression!$CC$16*4*'In Process Calc.'!$C12^3+Regression!$CB$16*3*'In Process Calc.'!$C12^2  + Regression!$CA$16*2*'In Process Calc.'!$C12 + Regression!$BZ$16)/$A12</f>
        <v>7.562046974048072E-4</v>
      </c>
      <c r="O12" s="115">
        <f xml:space="preserve"> (Regression!$CE$17*6*'In Process Calc.'!$C12^6+Regression!$CD$17*5*'In Process Calc.'!$C12^5+Regression!$CC$17*4*'In Process Calc.'!$C12^3+Regression!$CB$17*3*'In Process Calc.'!$C12^2  + Regression!$CA$17*2*'In Process Calc.'!$C12 + Regression!$BZ$17)/$A12</f>
        <v>7.5138667686655233E-4</v>
      </c>
      <c r="P12" s="115">
        <f xml:space="preserve"> (Regression!$CE$18*6*'In Process Calc.'!$C12^6+Regression!$CD$18*5*'In Process Calc.'!$C12^5+Regression!$CC$18*4*'In Process Calc.'!$C12^3+Regression!$CB$18*3*'In Process Calc.'!$C12^2  + Regression!$CA$18*2*'In Process Calc.'!$C12 + Regression!$BZ$18)/$A12</f>
        <v>5.7004611917727671E-4</v>
      </c>
      <c r="Q12" s="115">
        <f xml:space="preserve"> (Regression!$CE$19*6*'In Process Calc.'!$C12^5+Regression!$CD$19*5*'In Process Calc.'!$C12^4+Regression!$CC$19*4*'In Process Calc.'!$C12^3 +Regression!$CB$19*3*'In Process Calc.'!$C12^2 + Regression!$CA$19*2*'In Process Calc.'!$C12 + Regression!$BZ$19)/$B12</f>
        <v>-5.4346547775025603E-3</v>
      </c>
      <c r="R12" s="115">
        <f xml:space="preserve"> (Regression!$CE$20*6*'In Process Calc.'!$C12^5+Regression!$CD$20*5*'In Process Calc.'!$C12^4+Regression!$CC$20*4*'In Process Calc.'!$C12^3 +Regression!$CB$20*3*'In Process Calc.'!$C12^2 + Regression!$CA$20*2*'In Process Calc.'!$C12 + Regression!$BZ$20)/$A12</f>
        <v>2.4688000210272834E-3</v>
      </c>
      <c r="S12" s="115">
        <f xml:space="preserve"> (Regression!$CE$21*6*'In Process Calc.'!$C12^5+Regression!$CD$21*5*'In Process Calc.'!$C12^4+Regression!$CC$21*4*'In Process Calc.'!$C12^3 +Regression!$CB$21*3*'In Process Calc.'!$C12^2 + Regression!$CA$21*2*'In Process Calc.'!$C12 + Regression!$BZ$21)/$A12</f>
        <v>1.4031652078656557E-3</v>
      </c>
      <c r="T12" s="115">
        <f xml:space="preserve"> (Regression!$CE$22*6*'In Process Calc.'!$C12^5+Regression!$CD$22*5*'In Process Calc.'!$C12^4+Regression!$CC$22*4*'In Process Calc.'!$C12^3 +Regression!$CB$22*3*'In Process Calc.'!$C12^2 + Regression!$CA$22*2*'In Process Calc.'!$C12 + Regression!$BZ$22)/$A12</f>
        <v>3.6795662341660427E-4</v>
      </c>
      <c r="U12" s="115">
        <f xml:space="preserve"> (Regression!$CE$23*6*'In Process Calc.'!$C12^5+Regression!$CD$23*5*'In Process Calc.'!$C12^4+Regression!$CC$23*4*'In Process Calc.'!$C12^3 +Regression!$CB$23*3*'In Process Calc.'!$C12^2 + Regression!$CA$23*2*'In Process Calc.'!$C12 + Regression!$BZ$23)/$A12</f>
        <v>-4.9266807216725821E-3</v>
      </c>
      <c r="V12" s="115">
        <f xml:space="preserve"> (Regression!$CE$24*6*'In Process Calc.'!$C12^5+Regression!$CD$24*5*'In Process Calc.'!$C12^4+Regression!$CC$24*4*'In Process Calc.'!$C12^3 +Regression!$CB$24*3*'In Process Calc.'!$C12^2 + Regression!$CA$24*2*'In Process Calc.'!$C12 + Regression!$BZ$24)/$A12</f>
        <v>7.3805814437677485E-4</v>
      </c>
      <c r="W12" s="115">
        <f xml:space="preserve"> (Regression!$CE$25*6*'In Process Calc.'!$C12^5+Regression!$CD$25*5*'In Process Calc.'!$C12^4+Regression!$CC$25*4*'In Process Calc.'!$C12^3 +Regression!$CB$25*3*'In Process Calc.'!$C12^2 + Regression!$CA$25*2*'In Process Calc.'!$C12 + Regression!$BZ$25)/$A12</f>
        <v>1.3583726585419704E-3</v>
      </c>
      <c r="X12" s="115">
        <f xml:space="preserve"> (Regression!$CE$26*6*'In Process Calc.'!$C12^5+Regression!$CD$26*5*'In Process Calc.'!$C12^4+Regression!$CC$26*4*'In Process Calc.'!$C12^3 +Regression!$CB$26*3*'In Process Calc.'!$C12^2 + Regression!$CA$26*2*'In Process Calc.'!$C12 + Regression!$BZ$26)/$A12</f>
        <v>2.0053507903606922E-3</v>
      </c>
      <c r="Y12" s="115">
        <f xml:space="preserve"> (Regression!$CE$27*6*'In Process Calc.'!$C12^5+Regression!$CD$27*5*'In Process Calc.'!$C12^4+Regression!$CC$27*4*'In Process Calc.'!$C12^3 +Regression!$CB$27*3*'In Process Calc.'!$C12^2 + Regression!$CA$27*2*'In Process Calc.'!$C12 + Regression!$BZ$27)/$A12</f>
        <v>1.8736638108276464E-3</v>
      </c>
      <c r="Z12" s="115">
        <f xml:space="preserve"> (Regression!$CE$28*6*'In Process Calc.'!$C12^5+Regression!$CD$28*5*'In Process Calc.'!$C12^4+Regression!$CC$28*4*'In Process Calc.'!$C12^3 +Regression!$CB$28*3*'In Process Calc.'!$C12^2 + Regression!$CA$28*2*'In Process Calc.'!$C12 + Regression!$BZ$28)/$A12</f>
        <v>2.2522701388149447E-4</v>
      </c>
      <c r="AA12" s="115">
        <f xml:space="preserve"> (Regression!$CE$29*6*'In Process Calc.'!$C12^5+Regression!$CD$29*5*'In Process Calc.'!$C12^4+Regression!$CC$29*4*'In Process Calc.'!$C12^3 +Regression!$CB$29*3*'In Process Calc.'!$C12^2 + Regression!$CA$29*2*'In Process Calc.'!$C12 + Regression!$BZ$29)/$A12</f>
        <v>8.7554999011124905E-4</v>
      </c>
      <c r="AB12" s="115">
        <f xml:space="preserve"> (Regression!$CE$30*6*'In Process Calc.'!$C12^5+Regression!$CD$30*5*'In Process Calc.'!$C12^4+Regression!$CC$30*4*'In Process Calc.'!$C12^3 +Regression!$CB$30*3*'In Process Calc.'!$C12^2 + Regression!$CA$30*2*'In Process Calc.'!$C12 + Regression!$BZ$30)/$A12</f>
        <v>9.7414074901811323E-4</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2.9006073768813062E-2</v>
      </c>
      <c r="AE12" s="115">
        <f xml:space="preserve"> (Regression!$CE$33*6*'In Process Calc.'!$C12^5+Regression!$CD$33*5*'In Process Calc.'!$C12^4+Regression!$CC$33*4*'In Process Calc.'!$C12^3 +Regression!$CB$33*3*'In Process Calc.'!$C12^2 + Regression!$CA$33*2*'In Process Calc.'!$C12 + Regression!$BZ$33)/$A12</f>
        <v>2.0913216999934866E-2</v>
      </c>
      <c r="AF12" s="115">
        <f xml:space="preserve"> (Regression!$CE$34*6*'In Process Calc.'!$C12^5+Regression!$CD$34*5*'In Process Calc.'!$C12^4+Regression!$CC$34*4*'In Process Calc.'!$C12^3 +Regression!$CB$34*3*'In Process Calc.'!$C12^2 + Regression!$CA$34*2*'In Process Calc.'!$C12 + Regression!$BZ$34)/$A12</f>
        <v>0.11077669961790722</v>
      </c>
      <c r="AG12" s="116">
        <f t="shared" si="0"/>
        <v>-0.15969630392353476</v>
      </c>
      <c r="AH12" s="116">
        <f t="shared" si="3"/>
        <v>0</v>
      </c>
      <c r="AI12" s="116">
        <f t="shared" si="1"/>
        <v>-5.7527797463175642E-2</v>
      </c>
      <c r="AJ12" s="116">
        <f t="shared" si="2"/>
        <v>2.5165152959653763</v>
      </c>
      <c r="AK12" s="76">
        <f>'In Process Calc.'!C12</f>
        <v>213.14999999996508</v>
      </c>
      <c r="AL12" s="122">
        <f>((Regression!CL45-Regression!CL46)*1000+'Post Process Calc.'!AL11*'In Process Calc.'!$E12+'In Process Calc.'!$G11*'Measured Data'!AS15+'In Process Calc.'!$F11*'Measured Data'!AS15)/'In Process Calc.'!$J11</f>
        <v>4.713870410427548</v>
      </c>
      <c r="AM12" s="122">
        <f>((Regression!CM45-Regression!CM46)*1000+'Post Process Calc.'!AM11*'In Process Calc.'!$E12+'In Process Calc.'!$G11*'Measured Data'!AT15+'In Process Calc.'!$F11*'Measured Data'!AT15)/'In Process Calc.'!$J11</f>
        <v>3.1014539345951895</v>
      </c>
      <c r="AN12" s="122">
        <f>((Regression!CN45-Regression!CN46)*1000+'Post Process Calc.'!AN11*'In Process Calc.'!$E12+'In Process Calc.'!$G11*'Measured Data'!AU15+'In Process Calc.'!$F11*'Measured Data'!AU15)/'In Process Calc.'!$J11</f>
        <v>1.9710332964525403</v>
      </c>
      <c r="AO12" s="122">
        <f>((Regression!CO45-Regression!CO46)*1000+'Post Process Calc.'!AO11*'In Process Calc.'!$E12+'In Process Calc.'!$G11*'Measured Data'!AV15+'In Process Calc.'!$F11*'Measured Data'!AV15)/'In Process Calc.'!$J11</f>
        <v>2.6246210404168622</v>
      </c>
      <c r="AP12" s="122">
        <f>((Regression!CP45-Regression!CP46)*1000+'Post Process Calc.'!AP11*'In Process Calc.'!$E12+'In Process Calc.'!$G11*'Measured Data'!AW15+'In Process Calc.'!$F11*'Measured Data'!AW15)/'In Process Calc.'!$J11</f>
        <v>0.23042065957357663</v>
      </c>
      <c r="AQ12" s="122">
        <f>((Regression!CQ45-Regression!CQ46)*1000+'Post Process Calc.'!AQ11*'In Process Calc.'!$E12+'In Process Calc.'!$G11*'Measured Data'!AX15+'In Process Calc.'!$F11*'Measured Data'!AX15)/'In Process Calc.'!$J11</f>
        <v>6.8256846633028303</v>
      </c>
      <c r="AR12" s="122">
        <f>((Regression!CR45-Regression!CR46)*1000+'Post Process Calc.'!AR11*'In Process Calc.'!$E12+'In Process Calc.'!$G11*'Measured Data'!AY15+'In Process Calc.'!$F11*'Measured Data'!AY15)/'In Process Calc.'!$J11</f>
        <v>5.0877301774507533</v>
      </c>
      <c r="AS12" s="122">
        <f>((Regression!CS45-Regression!CS46)*1000+'Post Process Calc.'!AS11*'In Process Calc.'!$E12+'In Process Calc.'!$G11*'Measured Data'!AZ15+'In Process Calc.'!$F11*'Measured Data'!AZ15)/'In Process Calc.'!$J11</f>
        <v>14.313746887057771</v>
      </c>
      <c r="AT12" s="122">
        <f>((Regression!CT45-Regression!CT46)*1000+'Post Process Calc.'!AT11*'In Process Calc.'!$E12+'In Process Calc.'!$G11*'Measured Data'!BA15+'In Process Calc.'!$F11*'Measured Data'!BA15)/'In Process Calc.'!$J11</f>
        <v>1.0071639229839355</v>
      </c>
      <c r="AU12" s="122">
        <f>((Regression!CU45-Regression!CU46)*1000+'Post Process Calc.'!AU11*'In Process Calc.'!$E12+'In Process Calc.'!$G11*'Measured Data'!BB15+'In Process Calc.'!$F11*'Measured Data'!BB15)/'In Process Calc.'!$J11</f>
        <v>0.9780512296503957</v>
      </c>
      <c r="AV12" s="122">
        <f>((Regression!CV45-Regression!CV46)*1000+'Post Process Calc.'!AV11*'In Process Calc.'!$E12+'In Process Calc.'!$G11*'Measured Data'!BC15+'In Process Calc.'!$F11*'Measured Data'!BC15)/'In Process Calc.'!$J11</f>
        <v>3.6221932485922883</v>
      </c>
      <c r="AW12" s="122">
        <f>((Regression!CW45-Regression!CW46)*1000+'Post Process Calc.'!AW11*'In Process Calc.'!$E12+'In Process Calc.'!$G11*'Measured Data'!BE15+'In Process Calc.'!$F11*'Measured Data'!BE15)/'In Process Calc.'!$J11</f>
        <v>-6.7077956091591009</v>
      </c>
      <c r="AX12" s="122">
        <f>((Regression!CX45-Regression!CX46)*1000+'Post Process Calc.'!AX11*'In Process Calc.'!$E12+'In Process Calc.'!$G11*'Measured Data'!BF15+'In Process Calc.'!$F11*'Measured Data'!BF15)/'In Process Calc.'!$J11</f>
        <v>3.9180459760519679</v>
      </c>
      <c r="AY12" s="122">
        <f>((Regression!CY45-Regression!CY46)*1000+'Post Process Calc.'!AY11*'In Process Calc.'!$E12+'In Process Calc.'!$G11*'Measured Data'!BG15+'In Process Calc.'!$F11*'Measured Data'!BG15)/'In Process Calc.'!$J11</f>
        <v>4.3553438018773569</v>
      </c>
      <c r="AZ12" s="122">
        <f>((Regression!CZ45-Regression!CZ46)*1000+'Post Process Calc.'!AZ11*'In Process Calc.'!$E12+'In Process Calc.'!$G11*'Measured Data'!BI15+'In Process Calc.'!$F11*'Measured Data'!BI15)/'In Process Calc.'!$J11</f>
        <v>5.8066548360514829E-2</v>
      </c>
      <c r="BA12" s="122">
        <f>((Regression!DA45-Regression!DA46)*1000+'Post Process Calc.'!BA11*'In Process Calc.'!$E12+'In Process Calc.'!$G11*'Measured Data'!BJ15+'In Process Calc.'!$F11*'Measured Data'!BJ15)/'In Process Calc.'!$J11</f>
        <v>8.6429006308937719</v>
      </c>
      <c r="BB12" s="122">
        <f>((Regression!DB45-Regression!DB46)*1000+'Post Process Calc.'!BB11*'In Process Calc.'!$E12+'In Process Calc.'!$G11*'Measured Data'!BK15+'In Process Calc.'!$F11*'Measured Data'!BK15)/'In Process Calc.'!$J11</f>
        <v>1.6488349049212054</v>
      </c>
      <c r="BC12" s="122">
        <f>((Regression!DC45-Regression!DC46)*1000+'Post Process Calc.'!BC11*'In Process Calc.'!$E12+'In Process Calc.'!$G11*'Measured Data'!BL15+'In Process Calc.'!$F11*'Measured Data'!BL15)/'In Process Calc.'!$J11</f>
        <v>2.5498363419402397</v>
      </c>
      <c r="BD12" s="122">
        <f>((Regression!DD45-Regression!DD46)*1000+'Post Process Calc.'!BD11*'In Process Calc.'!$E12+'In Process Calc.'!$G11*'Measured Data'!BM15+'In Process Calc.'!$F11*'Measured Data'!BM15)/'In Process Calc.'!$J11</f>
        <v>0.47287080303588575</v>
      </c>
      <c r="BE12" s="122">
        <f>((Regression!DE45-Regression!DE46)*1000+'Post Process Calc.'!BE11*'In Process Calc.'!$E12+'In Process Calc.'!$G11*'Measured Data'!BN15+'In Process Calc.'!$F11*'Measured Data'!BN15)/'In Process Calc.'!$J11</f>
        <v>0.62515625861966317</v>
      </c>
      <c r="BF12" s="122">
        <f>((Regression!DF45-Regression!DF46)*1000+'Post Process Calc.'!BF11*'In Process Calc.'!$E12+'In Process Calc.'!$G11*'Measured Data'!BO15+'In Process Calc.'!$F11*'Measured Data'!BO15)/'In Process Calc.'!$J11</f>
        <v>1.4202542696442275</v>
      </c>
      <c r="BG12" s="122">
        <f>((Regression!DG45-Regression!DG46)*1000+'Post Process Calc.'!BG11*'In Process Calc.'!$E12+'In Process Calc.'!$G11*'Measured Data'!BP15+'In Process Calc.'!$F11*'Measured Data'!BP15)/'In Process Calc.'!$J11</f>
        <v>0.22754253685954151</v>
      </c>
      <c r="BH12" s="122">
        <f>((Regression!DH45-Regression!DH46)*1000+'Post Process Calc.'!BH11*'In Process Calc.'!$E12+'In Process Calc.'!$G11*'Measured Data'!BQ15+'In Process Calc.'!$F11*'Measured Data'!BQ15)/'In Process Calc.'!$J11</f>
        <v>6.5534179573897253</v>
      </c>
    </row>
    <row r="13" spans="1:71">
      <c r="A13" s="115">
        <f>'Measured Data'!H17</f>
        <v>15.10840020904541</v>
      </c>
      <c r="B13" s="115">
        <f>'Measured Data'!H17*'In Process Calc.'!E13/1000</f>
        <v>28.14401184496651</v>
      </c>
      <c r="C13" s="295">
        <f>'Growth Regression'!$P12</f>
        <v>2.7896448655290607E-3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1.643220211081216</v>
      </c>
      <c r="F13" s="115">
        <f xml:space="preserve"> (Regression!$CE$8*6*'In Process Calc.'!$C13^6+Regression!$CD$8*5*'In Process Calc.'!$C13^5+Regression!$CC$8*4*'In Process Calc.'!$C13^3+Regression!$CB$8*3*'In Process Calc.'!$C13^2  + Regression!$CA$8*2*'In Process Calc.'!$C13 + Regression!$BZ$8)/$A13</f>
        <v>-8.4871495735689556E-4</v>
      </c>
      <c r="G13" s="115">
        <f xml:space="preserve"> (Regression!$CE$9*6*'In Process Calc.'!$C13^6+Regression!$CD$9*5*'In Process Calc.'!$C13^5+Regression!$CC$9*4*'In Process Calc.'!$C13^3+Regression!$CB$9*3*'In Process Calc.'!$C13^2  + Regression!$CA$9*2*'In Process Calc.'!$C13 + Regression!$BZ$9)/$B13</f>
        <v>4.6345487833054824E-4</v>
      </c>
      <c r="H13" s="115">
        <f xml:space="preserve"> (Regression!$CE$10*6*'In Process Calc.'!$C13^6+Regression!$CD$10*5*'In Process Calc.'!$C13^5+Regression!$CC$10*4*'In Process Calc.'!$C13^3+Regression!$CB$10*3*'In Process Calc.'!$C13^2  + Regression!$CA$10*2*'In Process Calc.'!$C13 + Regression!$BZ$10)/$B13</f>
        <v>3.3720608448230905E-3</v>
      </c>
      <c r="I13" s="115">
        <f xml:space="preserve"> (Regression!$CE$11*6*'In Process Calc.'!$C13^6+Regression!$CD$11*5*'In Process Calc.'!$C13^5+Regression!$CC$11*4*'In Process Calc.'!$C13^3+Regression!$CB$11*3*'In Process Calc.'!$C13^2  + Regression!$CA$11*2*'In Process Calc.'!$C13 + Regression!$BZ$11)/$A13</f>
        <v>8.1739620857980725E-4</v>
      </c>
      <c r="J13" s="115">
        <f>(Regression!$CE$12*6*'In Process Calc.'!$C13^6+Regression!$CD$12*5*'In Process Calc.'!$C13^5+Regression!$CC$12*4*'In Process Calc.'!$C13^3+Regression!$CB$12*3*'In Process Calc.'!$C13^2  + Regression!$CA$12*2*'In Process Calc.'!$C13 + Regression!$BZ$12)/$A13</f>
        <v>3.4181214358840461E-4</v>
      </c>
      <c r="K13" s="115">
        <f xml:space="preserve"> (Regression!$CE$13*6*'In Process Calc.'!$C13^5+Regression!$CD$13*5*'In Process Calc.'!$C13^4+Regression!$CC$13*4*'In Process Calc.'!$C13^3+Regression!$CB$13*3*'In Process Calc.'!$C13^2  + Regression!$CA$13*2*'In Process Calc.'!$C13 + Regression!$BZ$13)/$A13</f>
        <v>3.6115258863786089E-2</v>
      </c>
      <c r="L13" s="115">
        <f xml:space="preserve"> (Regression!$CE$14*6*'In Process Calc.'!$C13^5+Regression!$CD$14*5*'In Process Calc.'!$C13^4+Regression!$CC$14*4*'In Process Calc.'!$C13^3+Regression!$CB$14*3*'In Process Calc.'!$C13^2  + Regression!$CA$14*2*'In Process Calc.'!$C13 + Regression!$BZ$14)/$B13</f>
        <v>6.935851052849209E-4</v>
      </c>
      <c r="M13" s="115">
        <f xml:space="preserve"> (Regression!$CE$15*6*'In Process Calc.'!$C13^6+Regression!$CD$15*5*'In Process Calc.'!$C13^5+Regression!$CC$15*4*'In Process Calc.'!$C13^3+Regression!$CB$15*3*'In Process Calc.'!$C13^2  + Regression!$CA$15*2*'In Process Calc.'!$C13 + Regression!$BZ$15)/$A13</f>
        <v>6.1191617135623452E-3</v>
      </c>
      <c r="N13" s="115">
        <f xml:space="preserve"> (Regression!$CE$16*6*'In Process Calc.'!$C13^6+Regression!$CD$16*5*'In Process Calc.'!$C13^5+Regression!$CC$16*4*'In Process Calc.'!$C13^3+Regression!$CB$16*3*'In Process Calc.'!$C13^2  + Regression!$CA$16*2*'In Process Calc.'!$C13 + Regression!$BZ$16)/$A13</f>
        <v>5.18333355276236E-4</v>
      </c>
      <c r="O13" s="115">
        <f xml:space="preserve"> (Regression!$CE$17*6*'In Process Calc.'!$C13^6+Regression!$CD$17*5*'In Process Calc.'!$C13^5+Regression!$CC$17*4*'In Process Calc.'!$C13^3+Regression!$CB$17*3*'In Process Calc.'!$C13^2  + Regression!$CA$17*2*'In Process Calc.'!$C13 + Regression!$BZ$17)/$A13</f>
        <v>7.243922815979286E-4</v>
      </c>
      <c r="P13" s="115">
        <f xml:space="preserve"> (Regression!$CE$18*6*'In Process Calc.'!$C13^6+Regression!$CD$18*5*'In Process Calc.'!$C13^5+Regression!$CC$18*4*'In Process Calc.'!$C13^3+Regression!$CB$18*3*'In Process Calc.'!$C13^2  + Regression!$CA$18*2*'In Process Calc.'!$C13 + Regression!$BZ$18)/$A13</f>
        <v>9.0819877605983828E-4</v>
      </c>
      <c r="Q13" s="115">
        <f xml:space="preserve"> (Regression!$CE$19*6*'In Process Calc.'!$C13^5+Regression!$CD$19*5*'In Process Calc.'!$C13^4+Regression!$CC$19*4*'In Process Calc.'!$C13^3 +Regression!$CB$19*3*'In Process Calc.'!$C13^2 + Regression!$CA$19*2*'In Process Calc.'!$C13 + Regression!$BZ$19)/$B13</f>
        <v>-6.8355867380543592E-3</v>
      </c>
      <c r="R13" s="115">
        <f xml:space="preserve"> (Regression!$CE$20*6*'In Process Calc.'!$C13^5+Regression!$CD$20*5*'In Process Calc.'!$C13^4+Regression!$CC$20*4*'In Process Calc.'!$C13^3 +Regression!$CB$20*3*'In Process Calc.'!$C13^2 + Regression!$CA$20*2*'In Process Calc.'!$C13 + Regression!$BZ$20)/$A13</f>
        <v>2.9109187011895836E-3</v>
      </c>
      <c r="S13" s="115">
        <f xml:space="preserve"> (Regression!$CE$21*6*'In Process Calc.'!$C13^5+Regression!$CD$21*5*'In Process Calc.'!$C13^4+Regression!$CC$21*4*'In Process Calc.'!$C13^3 +Regression!$CB$21*3*'In Process Calc.'!$C13^2 + Regression!$CA$21*2*'In Process Calc.'!$C13 + Regression!$BZ$21)/$A13</f>
        <v>2.2443424793877533E-3</v>
      </c>
      <c r="T13" s="115">
        <f xml:space="preserve"> (Regression!$CE$22*6*'In Process Calc.'!$C13^5+Regression!$CD$22*5*'In Process Calc.'!$C13^4+Regression!$CC$22*4*'In Process Calc.'!$C13^3 +Regression!$CB$22*3*'In Process Calc.'!$C13^2 + Regression!$CA$22*2*'In Process Calc.'!$C13 + Regression!$BZ$22)/$A13</f>
        <v>1.6384939639597104E-4</v>
      </c>
      <c r="U13" s="115">
        <f xml:space="preserve"> (Regression!$CE$23*6*'In Process Calc.'!$C13^5+Regression!$CD$23*5*'In Process Calc.'!$C13^4+Regression!$CC$23*4*'In Process Calc.'!$C13^3 +Regression!$CB$23*3*'In Process Calc.'!$C13^2 + Regression!$CA$23*2*'In Process Calc.'!$C13 + Regression!$BZ$23)/$A13</f>
        <v>-4.4460814639508649E-3</v>
      </c>
      <c r="V13" s="115">
        <f xml:space="preserve"> (Regression!$CE$24*6*'In Process Calc.'!$C13^5+Regression!$CD$24*5*'In Process Calc.'!$C13^4+Regression!$CC$24*4*'In Process Calc.'!$C13^3 +Regression!$CB$24*3*'In Process Calc.'!$C13^2 + Regression!$CA$24*2*'In Process Calc.'!$C13 + Regression!$BZ$24)/$A13</f>
        <v>1.0947596168405711E-3</v>
      </c>
      <c r="W13" s="115">
        <f xml:space="preserve"> (Regression!$CE$25*6*'In Process Calc.'!$C13^5+Regression!$CD$25*5*'In Process Calc.'!$C13^4+Regression!$CC$25*4*'In Process Calc.'!$C13^3 +Regression!$CB$25*3*'In Process Calc.'!$C13^2 + Regression!$CA$25*2*'In Process Calc.'!$C13 + Regression!$BZ$25)/$A13</f>
        <v>7.5544823605491686E-4</v>
      </c>
      <c r="X13" s="115">
        <f xml:space="preserve"> (Regression!$CE$26*6*'In Process Calc.'!$C13^5+Regression!$CD$26*5*'In Process Calc.'!$C13^4+Regression!$CC$26*4*'In Process Calc.'!$C13^3 +Regression!$CB$26*3*'In Process Calc.'!$C13^2 + Regression!$CA$26*2*'In Process Calc.'!$C13 + Regression!$BZ$26)/$A13</f>
        <v>1.0541022724398245E-3</v>
      </c>
      <c r="Y13" s="115">
        <f xml:space="preserve"> (Regression!$CE$27*6*'In Process Calc.'!$C13^5+Regression!$CD$27*5*'In Process Calc.'!$C13^4+Regression!$CC$27*4*'In Process Calc.'!$C13^3 +Regression!$CB$27*3*'In Process Calc.'!$C13^2 + Regression!$CA$27*2*'In Process Calc.'!$C13 + Regression!$BZ$27)/$A13</f>
        <v>1.3249208259417165E-3</v>
      </c>
      <c r="Z13" s="115">
        <f xml:space="preserve"> (Regression!$CE$28*6*'In Process Calc.'!$C13^5+Regression!$CD$28*5*'In Process Calc.'!$C13^4+Regression!$CC$28*4*'In Process Calc.'!$C13^3 +Regression!$CB$28*3*'In Process Calc.'!$C13^2 + Regression!$CA$28*2*'In Process Calc.'!$C13 + Regression!$BZ$28)/$A13</f>
        <v>4.9120075901859582E-4</v>
      </c>
      <c r="AA13" s="115">
        <f xml:space="preserve"> (Regression!$CE$29*6*'In Process Calc.'!$C13^5+Regression!$CD$29*5*'In Process Calc.'!$C13^4+Regression!$CC$29*4*'In Process Calc.'!$C13^3 +Regression!$CB$29*3*'In Process Calc.'!$C13^2 + Regression!$CA$29*2*'In Process Calc.'!$C13 + Regression!$BZ$29)/$A13</f>
        <v>5.35312721203211E-4</v>
      </c>
      <c r="AB13" s="115">
        <f xml:space="preserve"> (Regression!$CE$30*6*'In Process Calc.'!$C13^5+Regression!$CD$30*5*'In Process Calc.'!$C13^4+Regression!$CC$30*4*'In Process Calc.'!$C13^3 +Regression!$CB$30*3*'In Process Calc.'!$C13^2 + Regression!$CA$30*2*'In Process Calc.'!$C13 + Regression!$BZ$30)/$A13</f>
        <v>2.5174211832617917E-3</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4.0406910701871399E-2</v>
      </c>
      <c r="AE13" s="115">
        <f xml:space="preserve"> (Regression!$CE$33*6*'In Process Calc.'!$C13^5+Regression!$CD$33*5*'In Process Calc.'!$C13^4+Regression!$CC$33*4*'In Process Calc.'!$C13^3 +Regression!$CB$33*3*'In Process Calc.'!$C13^2 + Regression!$CA$33*2*'In Process Calc.'!$C13 + Regression!$BZ$33)/$A13</f>
        <v>3.5112114280563649E-2</v>
      </c>
      <c r="AF13" s="115">
        <f xml:space="preserve"> (Regression!$CE$34*6*'In Process Calc.'!$C13^5+Regression!$CD$34*5*'In Process Calc.'!$C13^4+Regression!$CC$34*4*'In Process Calc.'!$C13^3 +Regression!$CB$34*3*'In Process Calc.'!$C13^2 + Regression!$CA$34*2*'In Process Calc.'!$C13 + Regression!$BZ$34)/$A13</f>
        <v>0.14172580715355881</v>
      </c>
      <c r="AG13" s="116">
        <f t="shared" si="0"/>
        <v>-0.1892714313314425</v>
      </c>
      <c r="AH13" s="116">
        <f t="shared" si="3"/>
        <v>0</v>
      </c>
      <c r="AI13" s="116">
        <f t="shared" si="1"/>
        <v>1.9204766270702289E-2</v>
      </c>
      <c r="AJ13" s="116">
        <f t="shared" si="2"/>
        <v>-6.4102897107694368</v>
      </c>
      <c r="AK13" s="76">
        <f>'In Process Calc.'!C13</f>
        <v>238.2666666667792</v>
      </c>
      <c r="AL13" s="122">
        <f>((Regression!CL46-Regression!CL47)*1000+'Post Process Calc.'!AL12*'In Process Calc.'!$E13+'In Process Calc.'!$G12*'Measured Data'!AS16+'In Process Calc.'!$F12*'Measured Data'!AS16)/'In Process Calc.'!$J12</f>
        <v>4.9709656925875807</v>
      </c>
      <c r="AM13" s="122">
        <f>((Regression!CM46-Regression!CM47)*1000+'Post Process Calc.'!AM12*'In Process Calc.'!$E13+'In Process Calc.'!$G12*'Measured Data'!AT16+'In Process Calc.'!$F12*'Measured Data'!AT16)/'In Process Calc.'!$J12</f>
        <v>2.9048892578307703</v>
      </c>
      <c r="AN13" s="122">
        <f>((Regression!CN46-Regression!CN47)*1000+'Post Process Calc.'!AN12*'In Process Calc.'!$E13+'In Process Calc.'!$G12*'Measured Data'!AU16+'In Process Calc.'!$F12*'Measured Data'!AU16)/'In Process Calc.'!$J12</f>
        <v>0.59586334179370126</v>
      </c>
      <c r="AO13" s="122">
        <f>((Regression!CO46-Regression!CO47)*1000+'Post Process Calc.'!AO12*'In Process Calc.'!$E13+'In Process Calc.'!$G12*'Measured Data'!AV16+'In Process Calc.'!$F12*'Measured Data'!AV16)/'In Process Calc.'!$J12</f>
        <v>2.4388783393849955</v>
      </c>
      <c r="AP13" s="122">
        <f>((Regression!CP46-Regression!CP47)*1000+'Post Process Calc.'!AP12*'In Process Calc.'!$E13+'In Process Calc.'!$G12*'Measured Data'!AW16+'In Process Calc.'!$F12*'Measured Data'!AW16)/'In Process Calc.'!$J12</f>
        <v>0.13669905898030901</v>
      </c>
      <c r="AQ13" s="122">
        <f>((Regression!CQ46-Regression!CQ47)*1000+'Post Process Calc.'!AQ12*'In Process Calc.'!$E13+'In Process Calc.'!$G12*'Measured Data'!AX16+'In Process Calc.'!$F12*'Measured Data'!AX16)/'In Process Calc.'!$J12</f>
        <v>-0.16598484811730929</v>
      </c>
      <c r="AR13" s="122">
        <f>((Regression!CR46-Regression!CR47)*1000+'Post Process Calc.'!AR12*'In Process Calc.'!$E13+'In Process Calc.'!$G12*'Measured Data'!AY16+'In Process Calc.'!$F12*'Measured Data'!AY16)/'In Process Calc.'!$J12</f>
        <v>5.1951900162474045</v>
      </c>
      <c r="AS13" s="122">
        <f>((Regression!CS46-Regression!CS47)*1000+'Post Process Calc.'!AS12*'In Process Calc.'!$E13+'In Process Calc.'!$G12*'Measured Data'!AZ16+'In Process Calc.'!$F12*'Measured Data'!AZ16)/'In Process Calc.'!$J12</f>
        <v>13.057731079610052</v>
      </c>
      <c r="AT13" s="122">
        <f>((Regression!CT46-Regression!CT47)*1000+'Post Process Calc.'!AT12*'In Process Calc.'!$E13+'In Process Calc.'!$G12*'Measured Data'!BA16+'In Process Calc.'!$F12*'Measured Data'!BA16)/'In Process Calc.'!$J12</f>
        <v>0.8525598221463121</v>
      </c>
      <c r="AU13" s="122">
        <f>((Regression!CU46-Regression!CU47)*1000+'Post Process Calc.'!AU12*'In Process Calc.'!$E13+'In Process Calc.'!$G12*'Measured Data'!BB16+'In Process Calc.'!$F12*'Measured Data'!BB16)/'In Process Calc.'!$J12</f>
        <v>0.80619991543483294</v>
      </c>
      <c r="AV13" s="122">
        <f>((Regression!CV46-Regression!CV47)*1000+'Post Process Calc.'!AV12*'In Process Calc.'!$E13+'In Process Calc.'!$G12*'Measured Data'!BC16+'In Process Calc.'!$F12*'Measured Data'!BC16)/'In Process Calc.'!$J12</f>
        <v>3.3734577371518557</v>
      </c>
      <c r="AW13" s="122">
        <f>((Regression!CW46-Regression!CW47)*1000+'Post Process Calc.'!AW12*'In Process Calc.'!$E13+'In Process Calc.'!$G12*'Measured Data'!BE16+'In Process Calc.'!$F12*'Measured Data'!BE16)/'In Process Calc.'!$J12</f>
        <v>-4.2156591791360443</v>
      </c>
      <c r="AX13" s="122">
        <f>((Regression!CX46-Regression!CX47)*1000+'Post Process Calc.'!AX12*'In Process Calc.'!$E13+'In Process Calc.'!$G12*'Measured Data'!BF16+'In Process Calc.'!$F12*'Measured Data'!BF16)/'In Process Calc.'!$J12</f>
        <v>3.2827083802053032</v>
      </c>
      <c r="AY13" s="122">
        <f>((Regression!CY46-Regression!CY47)*1000+'Post Process Calc.'!AY12*'In Process Calc.'!$E13+'In Process Calc.'!$G12*'Measured Data'!BG16+'In Process Calc.'!$F12*'Measured Data'!BG16)/'In Process Calc.'!$J12</f>
        <v>3.8759032826593294</v>
      </c>
      <c r="AZ13" s="122">
        <f>((Regression!CZ46-Regression!CZ47)*1000+'Post Process Calc.'!AZ12*'In Process Calc.'!$E13+'In Process Calc.'!$G12*'Measured Data'!BI16+'In Process Calc.'!$F12*'Measured Data'!BI16)/'In Process Calc.'!$J12</f>
        <v>4.5368878895946851E-3</v>
      </c>
      <c r="BA13" s="122">
        <f>((Regression!DA46-Regression!DA47)*1000+'Post Process Calc.'!BA12*'In Process Calc.'!$E13+'In Process Calc.'!$G12*'Measured Data'!BJ16+'In Process Calc.'!$F12*'Measured Data'!BJ16)/'In Process Calc.'!$J12</f>
        <v>9.2977224899290931</v>
      </c>
      <c r="BB13" s="122">
        <f>((Regression!DB46-Regression!DB47)*1000+'Post Process Calc.'!BB12*'In Process Calc.'!$E13+'In Process Calc.'!$G12*'Measured Data'!BK16+'In Process Calc.'!$F12*'Measured Data'!BK16)/'In Process Calc.'!$J12</f>
        <v>1.4235408312690416</v>
      </c>
      <c r="BC13" s="122">
        <f>((Regression!DC46-Regression!DC47)*1000+'Post Process Calc.'!BC12*'In Process Calc.'!$E13+'In Process Calc.'!$G12*'Measured Data'!BL16+'In Process Calc.'!$F12*'Measured Data'!BL16)/'In Process Calc.'!$J12</f>
        <v>2.2698421237739792</v>
      </c>
      <c r="BD13" s="122">
        <f>((Regression!DD46-Regression!DD47)*1000+'Post Process Calc.'!BD12*'In Process Calc.'!$E13+'In Process Calc.'!$G12*'Measured Data'!BM16+'In Process Calc.'!$F12*'Measured Data'!BM16)/'In Process Calc.'!$J12</f>
        <v>0.16178650083895385</v>
      </c>
      <c r="BE13" s="122">
        <f>((Regression!DE46-Regression!DE47)*1000+'Post Process Calc.'!BE12*'In Process Calc.'!$E13+'In Process Calc.'!$G12*'Measured Data'!BN16+'In Process Calc.'!$F12*'Measured Data'!BN16)/'In Process Calc.'!$J12</f>
        <v>0.29601386792059087</v>
      </c>
      <c r="BF13" s="122">
        <f>((Regression!DF46-Regression!DF47)*1000+'Post Process Calc.'!BF12*'In Process Calc.'!$E13+'In Process Calc.'!$G12*'Measured Data'!BO16+'In Process Calc.'!$F12*'Measured Data'!BO16)/'In Process Calc.'!$J12</f>
        <v>1.3098494461125185</v>
      </c>
      <c r="BG13" s="122">
        <f>((Regression!DG46-Regression!DG47)*1000+'Post Process Calc.'!BG12*'In Process Calc.'!$E13+'In Process Calc.'!$G12*'Measured Data'!BP16+'In Process Calc.'!$F12*'Measured Data'!BP16)/'In Process Calc.'!$J12</f>
        <v>8.3557374668981776E-2</v>
      </c>
      <c r="BH13" s="122">
        <f>((Regression!DH46-Regression!DH47)*1000+'Post Process Calc.'!BH12*'In Process Calc.'!$E13+'In Process Calc.'!$G12*'Measured Data'!BQ16+'In Process Calc.'!$F12*'Measured Data'!BQ16)/'In Process Calc.'!$J12</f>
        <v>6.0256046914856203</v>
      </c>
    </row>
    <row r="14" spans="1:71">
      <c r="A14" s="115">
        <f>'Measured Data'!H18</f>
        <v>15.682599885559082</v>
      </c>
      <c r="B14" s="115">
        <f>'Measured Data'!H18*'In Process Calc.'!E14/1000</f>
        <v>29.060728843490178</v>
      </c>
      <c r="C14" s="295">
        <f>'Growth Regression'!$P13</f>
        <v>1.5658140435642546E-3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1.6202994325919271</v>
      </c>
      <c r="F14" s="115">
        <f xml:space="preserve"> (Regression!$CE$8*6*'In Process Calc.'!$C14^6+Regression!$CD$8*5*'In Process Calc.'!$C14^5+Regression!$CC$8*4*'In Process Calc.'!$C14^3+Regression!$CB$8*3*'In Process Calc.'!$C14^2  + Regression!$CA$8*2*'In Process Calc.'!$C14 + Regression!$BZ$8)/$A14</f>
        <v>1.7606608390506489E-3</v>
      </c>
      <c r="G14" s="115">
        <f xml:space="preserve"> (Regression!$CE$9*6*'In Process Calc.'!$C14^6+Regression!$CD$9*5*'In Process Calc.'!$C14^5+Regression!$CC$9*4*'In Process Calc.'!$C14^3+Regression!$CB$9*3*'In Process Calc.'!$C14^2  + Regression!$CA$9*2*'In Process Calc.'!$C14 + Regression!$BZ$9)/$B14</f>
        <v>8.22879450273814E-4</v>
      </c>
      <c r="H14" s="115">
        <f xml:space="preserve"> (Regression!$CE$10*6*'In Process Calc.'!$C14^6+Regression!$CD$10*5*'In Process Calc.'!$C14^5+Regression!$CC$10*4*'In Process Calc.'!$C14^3+Regression!$CB$10*3*'In Process Calc.'!$C14^2  + Regression!$CA$10*2*'In Process Calc.'!$C14 + Regression!$BZ$10)/$B14</f>
        <v>2.2929165592122111E-3</v>
      </c>
      <c r="I14" s="115">
        <f xml:space="preserve"> (Regression!$CE$11*6*'In Process Calc.'!$C14^6+Regression!$CD$11*5*'In Process Calc.'!$C14^5+Regression!$CC$11*4*'In Process Calc.'!$C14^3+Regression!$CB$11*3*'In Process Calc.'!$C14^2  + Regression!$CA$11*2*'In Process Calc.'!$C14 + Regression!$BZ$11)/$A14</f>
        <v>1.0835911789715722E-3</v>
      </c>
      <c r="J14" s="115">
        <f>(Regression!$CE$12*6*'In Process Calc.'!$C14^6+Regression!$CD$12*5*'In Process Calc.'!$C14^5+Regression!$CC$12*4*'In Process Calc.'!$C14^3+Regression!$CB$12*3*'In Process Calc.'!$C14^2  + Regression!$CA$12*2*'In Process Calc.'!$C14 + Regression!$BZ$12)/$A14</f>
        <v>1.0947993039859767E-4</v>
      </c>
      <c r="K14" s="115">
        <f xml:space="preserve"> (Regression!$CE$13*6*'In Process Calc.'!$C14^5+Regression!$CD$13*5*'In Process Calc.'!$C14^4+Regression!$CC$13*4*'In Process Calc.'!$C14^3+Regression!$CB$13*3*'In Process Calc.'!$C14^2  + Regression!$CA$13*2*'In Process Calc.'!$C14 + Regression!$BZ$13)/$A14</f>
        <v>3.7909932102069825E-2</v>
      </c>
      <c r="L14" s="115">
        <f xml:space="preserve"> (Regression!$CE$14*6*'In Process Calc.'!$C14^5+Regression!$CD$14*5*'In Process Calc.'!$C14^4+Regression!$CC$14*4*'In Process Calc.'!$C14^3+Regression!$CB$14*3*'In Process Calc.'!$C14^2  + Regression!$CA$14*2*'In Process Calc.'!$C14 + Regression!$BZ$14)/$B14</f>
        <v>3.3639362758156456E-3</v>
      </c>
      <c r="M14" s="115">
        <f xml:space="preserve"> (Regression!$CE$15*6*'In Process Calc.'!$C14^6+Regression!$CD$15*5*'In Process Calc.'!$C14^5+Regression!$CC$15*4*'In Process Calc.'!$C14^3+Regression!$CB$15*3*'In Process Calc.'!$C14^2  + Regression!$CA$15*2*'In Process Calc.'!$C14 + Regression!$BZ$15)/$A14</f>
        <v>9.6328750469324622E-3</v>
      </c>
      <c r="N14" s="115">
        <f xml:space="preserve"> (Regression!$CE$16*6*'In Process Calc.'!$C14^6+Regression!$CD$16*5*'In Process Calc.'!$C14^5+Regression!$CC$16*4*'In Process Calc.'!$C14^3+Regression!$CB$16*3*'In Process Calc.'!$C14^2  + Regression!$CA$16*2*'In Process Calc.'!$C14 + Regression!$BZ$16)/$A14</f>
        <v>1.8386966689654344E-4</v>
      </c>
      <c r="O14" s="115">
        <f xml:space="preserve"> (Regression!$CE$17*6*'In Process Calc.'!$C14^6+Regression!$CD$17*5*'In Process Calc.'!$C14^5+Regression!$CC$17*4*'In Process Calc.'!$C14^3+Regression!$CB$17*3*'In Process Calc.'!$C14^2  + Regression!$CA$17*2*'In Process Calc.'!$C14 + Regression!$BZ$17)/$A14</f>
        <v>6.7090079231028465E-4</v>
      </c>
      <c r="P14" s="115">
        <f xml:space="preserve"> (Regression!$CE$18*6*'In Process Calc.'!$C14^6+Regression!$CD$18*5*'In Process Calc.'!$C14^5+Regression!$CC$18*4*'In Process Calc.'!$C14^3+Regression!$CB$18*3*'In Process Calc.'!$C14^2  + Regression!$CA$18*2*'In Process Calc.'!$C14 + Regression!$BZ$18)/$A14</f>
        <v>1.2418605046917352E-3</v>
      </c>
      <c r="Q14" s="115">
        <f xml:space="preserve"> (Regression!$CE$19*6*'In Process Calc.'!$C14^5+Regression!$CD$19*5*'In Process Calc.'!$C14^4+Regression!$CC$19*4*'In Process Calc.'!$C14^3 +Regression!$CB$19*3*'In Process Calc.'!$C14^2 + Regression!$CA$19*2*'In Process Calc.'!$C14 + Regression!$BZ$19)/$B14</f>
        <v>-6.1209030930378036E-3</v>
      </c>
      <c r="R14" s="115">
        <f xml:space="preserve"> (Regression!$CE$20*6*'In Process Calc.'!$C14^5+Regression!$CD$20*5*'In Process Calc.'!$C14^4+Regression!$CC$20*4*'In Process Calc.'!$C14^3 +Regression!$CB$20*3*'In Process Calc.'!$C14^2 + Regression!$CA$20*2*'In Process Calc.'!$C14 + Regression!$BZ$20)/$A14</f>
        <v>3.3231443486948296E-3</v>
      </c>
      <c r="S14" s="115">
        <f xml:space="preserve"> (Regression!$CE$21*6*'In Process Calc.'!$C14^5+Regression!$CD$21*5*'In Process Calc.'!$C14^4+Regression!$CC$21*4*'In Process Calc.'!$C14^3 +Regression!$CB$21*3*'In Process Calc.'!$C14^2 + Regression!$CA$21*2*'In Process Calc.'!$C14 + Regression!$BZ$21)/$A14</f>
        <v>3.1048576192300166E-3</v>
      </c>
      <c r="T14" s="115">
        <f xml:space="preserve"> (Regression!$CE$22*6*'In Process Calc.'!$C14^5+Regression!$CD$22*5*'In Process Calc.'!$C14^4+Regression!$CC$22*4*'In Process Calc.'!$C14^3 +Regression!$CB$22*3*'In Process Calc.'!$C14^2 + Regression!$CA$22*2*'In Process Calc.'!$C14 + Regression!$BZ$22)/$A14</f>
        <v>-5.6972534533401634E-5</v>
      </c>
      <c r="U14" s="115">
        <f xml:space="preserve"> (Regression!$CE$23*6*'In Process Calc.'!$C14^5+Regression!$CD$23*5*'In Process Calc.'!$C14^4+Regression!$CC$23*4*'In Process Calc.'!$C14^3 +Regression!$CB$23*3*'In Process Calc.'!$C14^2 + Regression!$CA$23*2*'In Process Calc.'!$C14 + Regression!$BZ$23)/$A14</f>
        <v>-3.9672751456954567E-3</v>
      </c>
      <c r="V14" s="115">
        <f xml:space="preserve"> (Regression!$CE$24*6*'In Process Calc.'!$C14^5+Regression!$CD$24*5*'In Process Calc.'!$C14^4+Regression!$CC$24*4*'In Process Calc.'!$C14^3 +Regression!$CB$24*3*'In Process Calc.'!$C14^2 + Regression!$CA$24*2*'In Process Calc.'!$C14 + Regression!$BZ$24)/$A14</f>
        <v>1.4551842014561335E-3</v>
      </c>
      <c r="W14" s="115">
        <f xml:space="preserve"> (Regression!$CE$25*6*'In Process Calc.'!$C14^5+Regression!$CD$25*5*'In Process Calc.'!$C14^4+Regression!$CC$25*4*'In Process Calc.'!$C14^3 +Regression!$CB$25*3*'In Process Calc.'!$C14^2 + Regression!$CA$25*2*'In Process Calc.'!$C14 + Regression!$BZ$25)/$A14</f>
        <v>1.0705020033870582E-4</v>
      </c>
      <c r="X14" s="115">
        <f xml:space="preserve"> (Regression!$CE$26*6*'In Process Calc.'!$C14^5+Regression!$CD$26*5*'In Process Calc.'!$C14^4+Regression!$CC$26*4*'In Process Calc.'!$C14^3 +Regression!$CB$26*3*'In Process Calc.'!$C14^2 + Regression!$CA$26*2*'In Process Calc.'!$C14 + Regression!$BZ$26)/$A14</f>
        <v>5.2245527733571292E-5</v>
      </c>
      <c r="Y14" s="115">
        <f xml:space="preserve"> (Regression!$CE$27*6*'In Process Calc.'!$C14^5+Regression!$CD$27*5*'In Process Calc.'!$C14^4+Regression!$CC$27*4*'In Process Calc.'!$C14^3 +Regression!$CB$27*3*'In Process Calc.'!$C14^2 + Regression!$CA$27*2*'In Process Calc.'!$C14 + Regression!$BZ$27)/$A14</f>
        <v>7.1095596756496184E-4</v>
      </c>
      <c r="Z14" s="115">
        <f xml:space="preserve"> (Regression!$CE$28*6*'In Process Calc.'!$C14^5+Regression!$CD$28*5*'In Process Calc.'!$C14^4+Regression!$CC$28*4*'In Process Calc.'!$C14^3 +Regression!$CB$28*3*'In Process Calc.'!$C14^2 + Regression!$CA$28*2*'In Process Calc.'!$C14 + Regression!$BZ$28)/$A14</f>
        <v>7.7259839525922421E-4</v>
      </c>
      <c r="AA14" s="115">
        <f xml:space="preserve"> (Regression!$CE$29*6*'In Process Calc.'!$C14^5+Regression!$CD$29*5*'In Process Calc.'!$C14^4+Regression!$CC$29*4*'In Process Calc.'!$C14^3 +Regression!$CB$29*3*'In Process Calc.'!$C14^2 + Regression!$CA$29*2*'In Process Calc.'!$C14 + Regression!$BZ$29)/$A14</f>
        <v>1.5664487270953715E-4</v>
      </c>
      <c r="AB14" s="115">
        <f xml:space="preserve"> (Regression!$CE$30*6*'In Process Calc.'!$C14^5+Regression!$CD$30*5*'In Process Calc.'!$C14^4+Regression!$CC$30*4*'In Process Calc.'!$C14^3 +Regression!$CB$30*3*'In Process Calc.'!$C14^2 + Regression!$CA$30*2*'In Process Calc.'!$C14 + Regression!$BZ$30)/$A14</f>
        <v>4.1053377486536483E-3</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5.1858090122209405E-2</v>
      </c>
      <c r="AE14" s="115">
        <f xml:space="preserve"> (Regression!$CE$33*6*'In Process Calc.'!$C14^5+Regression!$CD$33*5*'In Process Calc.'!$C14^4+Regression!$CC$33*4*'In Process Calc.'!$C14^3 +Regression!$CB$33*3*'In Process Calc.'!$C14^2 + Regression!$CA$33*2*'In Process Calc.'!$C14 + Regression!$BZ$33)/$A14</f>
        <v>4.9651475815564609E-2</v>
      </c>
      <c r="AF14" s="115">
        <f xml:space="preserve"> (Regression!$CE$34*6*'In Process Calc.'!$C14^5+Regression!$CD$34*5*'In Process Calc.'!$C14^4+Regression!$CC$34*4*'In Process Calc.'!$C14^3 +Regression!$CB$34*3*'In Process Calc.'!$C14^2 + Regression!$CA$34*2*'In Process Calc.'!$C14 + Regression!$BZ$34)/$A14</f>
        <v>0.17083714075404857</v>
      </c>
      <c r="AG14" s="116">
        <f t="shared" si="0"/>
        <v>-0.16145908878332207</v>
      </c>
      <c r="AH14" s="116">
        <f t="shared" si="3"/>
        <v>0</v>
      </c>
      <c r="AI14" s="116">
        <f t="shared" si="1"/>
        <v>8.8734959133096938E-2</v>
      </c>
      <c r="AJ14" s="116">
        <f t="shared" si="2"/>
        <v>-1.1793550235233041</v>
      </c>
      <c r="AK14" s="76">
        <f>'In Process Calc.'!C14</f>
        <v>261.91666666668607</v>
      </c>
      <c r="AL14" s="122">
        <f>((Regression!CL47-Regression!CL48)*1000+'Post Process Calc.'!AL13*'In Process Calc.'!$E14+'In Process Calc.'!$G13*'Measured Data'!AS17+'In Process Calc.'!$F13*'Measured Data'!AS17)/'In Process Calc.'!$J13</f>
        <v>4.8607326580659773</v>
      </c>
      <c r="AM14" s="122">
        <f>((Regression!CM47-Regression!CM48)*1000+'Post Process Calc.'!AM13*'In Process Calc.'!$E14+'In Process Calc.'!$G13*'Measured Data'!AT17+'In Process Calc.'!$F13*'Measured Data'!AT17)/'In Process Calc.'!$J13</f>
        <v>2.6570210512422352</v>
      </c>
      <c r="AN14" s="122">
        <f>((Regression!CN47-Regression!CN48)*1000+'Post Process Calc.'!AN13*'In Process Calc.'!$E14+'In Process Calc.'!$G13*'Measured Data'!AU17+'In Process Calc.'!$F13*'Measured Data'!AU17)/'In Process Calc.'!$J13</f>
        <v>-0.45636591648378888</v>
      </c>
      <c r="AO14" s="122">
        <f>((Regression!CO47-Regression!CO48)*1000+'Post Process Calc.'!AO13*'In Process Calc.'!$E14+'In Process Calc.'!$G13*'Measured Data'!AV17+'In Process Calc.'!$F13*'Measured Data'!AV17)/'In Process Calc.'!$J13</f>
        <v>2.2355038928434987</v>
      </c>
      <c r="AP14" s="122">
        <f>((Regression!CP47-Regression!CP48)*1000+'Post Process Calc.'!AP13*'In Process Calc.'!$E14+'In Process Calc.'!$G13*'Measured Data'!AW17+'In Process Calc.'!$F13*'Measured Data'!AW17)/'In Process Calc.'!$J13</f>
        <v>9.1488980600395786E-2</v>
      </c>
      <c r="AQ14" s="122">
        <f>((Regression!CQ47-Regression!CQ48)*1000+'Post Process Calc.'!AQ13*'In Process Calc.'!$E14+'In Process Calc.'!$G13*'Measured Data'!AX17+'In Process Calc.'!$F13*'Measured Data'!AX17)/'In Process Calc.'!$J13</f>
        <v>-7.404661405479998</v>
      </c>
      <c r="AR14" s="122">
        <f>((Regression!CR47-Regression!CR48)*1000+'Post Process Calc.'!AR13*'In Process Calc.'!$E14+'In Process Calc.'!$G13*'Measured Data'!AY17+'In Process Calc.'!$F13*'Measured Data'!AY17)/'In Process Calc.'!$J13</f>
        <v>4.4133080522667205</v>
      </c>
      <c r="AS14" s="122">
        <f>((Regression!CS47-Regression!CS48)*1000+'Post Process Calc.'!AS13*'In Process Calc.'!$E14+'In Process Calc.'!$G13*'Measured Data'!AZ17+'In Process Calc.'!$F13*'Measured Data'!AZ17)/'In Process Calc.'!$J13</f>
        <v>11.449874557539363</v>
      </c>
      <c r="AT14" s="122">
        <f>((Regression!CT47-Regression!CT48)*1000+'Post Process Calc.'!AT13*'In Process Calc.'!$E14+'In Process Calc.'!$G13*'Measured Data'!BA17+'In Process Calc.'!$F13*'Measured Data'!BA17)/'In Process Calc.'!$J13</f>
        <v>0.7779976619188782</v>
      </c>
      <c r="AU14" s="122">
        <f>((Regression!CU47-Regression!CU48)*1000+'Post Process Calc.'!AU13*'In Process Calc.'!$E14+'In Process Calc.'!$G13*'Measured Data'!BB17+'In Process Calc.'!$F13*'Measured Data'!BB17)/'In Process Calc.'!$J13</f>
        <v>0.66520039761502303</v>
      </c>
      <c r="AV14" s="122">
        <f>((Regression!CV47-Regression!CV48)*1000+'Post Process Calc.'!AV13*'In Process Calc.'!$E14+'In Process Calc.'!$G13*'Measured Data'!BC17+'In Process Calc.'!$F13*'Measured Data'!BC17)/'In Process Calc.'!$J13</f>
        <v>3.1456752357556983</v>
      </c>
      <c r="AW14" s="122">
        <f>((Regression!CW47-Regression!CW48)*1000+'Post Process Calc.'!AW13*'In Process Calc.'!$E14+'In Process Calc.'!$G13*'Measured Data'!BE17+'In Process Calc.'!$F13*'Measured Data'!BE17)/'In Process Calc.'!$J13</f>
        <v>-1.7760796200420292</v>
      </c>
      <c r="AX14" s="122">
        <f>((Regression!CX47-Regression!CX48)*1000+'Post Process Calc.'!AX13*'In Process Calc.'!$E14+'In Process Calc.'!$G13*'Measured Data'!BF17+'In Process Calc.'!$F13*'Measured Data'!BF17)/'In Process Calc.'!$J13</f>
        <v>2.6558533654545373</v>
      </c>
      <c r="AY14" s="122">
        <f>((Regression!CY47-Regression!CY48)*1000+'Post Process Calc.'!AY13*'In Process Calc.'!$E14+'In Process Calc.'!$G13*'Measured Data'!BG17+'In Process Calc.'!$F13*'Measured Data'!BG17)/'In Process Calc.'!$J13</f>
        <v>3.333274378746121</v>
      </c>
      <c r="AZ14" s="122">
        <f>((Regression!CZ47-Regression!CZ48)*1000+'Post Process Calc.'!AZ13*'In Process Calc.'!$E14+'In Process Calc.'!$G13*'Measured Data'!BI17+'In Process Calc.'!$F13*'Measured Data'!BI17)/'In Process Calc.'!$J13</f>
        <v>-6.2398496874212714E-3</v>
      </c>
      <c r="BA14" s="122">
        <f>((Regression!DA47-Regression!DA48)*1000+'Post Process Calc.'!BA13*'In Process Calc.'!$E14+'In Process Calc.'!$G13*'Measured Data'!BJ17+'In Process Calc.'!$F13*'Measured Data'!BJ17)/'In Process Calc.'!$J13</f>
        <v>10.071609393102785</v>
      </c>
      <c r="BB14" s="122">
        <f>((Regression!DB47-Regression!DB48)*1000+'Post Process Calc.'!BB13*'In Process Calc.'!$E14+'In Process Calc.'!$G13*'Measured Data'!BK17+'In Process Calc.'!$F13*'Measured Data'!BK17)/'In Process Calc.'!$J13</f>
        <v>1.1669983303454736</v>
      </c>
      <c r="BC14" s="122">
        <f>((Regression!DC47-Regression!DC48)*1000+'Post Process Calc.'!BC13*'In Process Calc.'!$E14+'In Process Calc.'!$G13*'Measured Data'!BL17+'In Process Calc.'!$F13*'Measured Data'!BL17)/'In Process Calc.'!$J13</f>
        <v>2.1728040097097363</v>
      </c>
      <c r="BD14" s="122">
        <f>((Regression!DD47-Regression!DD48)*1000+'Post Process Calc.'!BD13*'In Process Calc.'!$E14+'In Process Calc.'!$G13*'Measured Data'!BM17+'In Process Calc.'!$F13*'Measured Data'!BM17)/'In Process Calc.'!$J13</f>
        <v>5.1758124147775302E-2</v>
      </c>
      <c r="BE14" s="122">
        <f>((Regression!DE47-Regression!DE48)*1000+'Post Process Calc.'!BE13*'In Process Calc.'!$E14+'In Process Calc.'!$G13*'Measured Data'!BN17+'In Process Calc.'!$F13*'Measured Data'!BN17)/'In Process Calc.'!$J13</f>
        <v>9.4342547637725066E-2</v>
      </c>
      <c r="BF14" s="122">
        <f>((Regression!DF47-Regression!DF48)*1000+'Post Process Calc.'!BF13*'In Process Calc.'!$E14+'In Process Calc.'!$G13*'Measured Data'!BO17+'In Process Calc.'!$F13*'Measured Data'!BO17)/'In Process Calc.'!$J13</f>
        <v>1.1797624544289231</v>
      </c>
      <c r="BG14" s="122">
        <f>((Regression!DG47-Regression!DG48)*1000+'Post Process Calc.'!BG13*'In Process Calc.'!$E14+'In Process Calc.'!$G13*'Measured Data'!BP17+'In Process Calc.'!$F13*'Measured Data'!BP17)/'In Process Calc.'!$J13</f>
        <v>1.4819531280098733E-2</v>
      </c>
      <c r="BH14" s="122">
        <f>((Regression!DH47-Regression!DH48)*1000+'Post Process Calc.'!BH13*'In Process Calc.'!$E14+'In Process Calc.'!$G13*'Measured Data'!BQ17+'In Process Calc.'!$F13*'Measured Data'!BQ17)/'In Process Calc.'!$J13</f>
        <v>5.3478226028664322</v>
      </c>
    </row>
    <row r="15" spans="1:71">
      <c r="A15" s="115">
        <f>'Measured Data'!H19</f>
        <v>14.457500321960449</v>
      </c>
      <c r="B15" s="115">
        <f>'Measured Data'!H19*'In Process Calc.'!E15/1000</f>
        <v>26.142373359953819</v>
      </c>
      <c r="C15" s="295">
        <f>'Growth Regression'!$P14</f>
        <v>8.7392201529787349E-4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1.7575828068335944</v>
      </c>
      <c r="F15" s="115">
        <f xml:space="preserve"> (Regression!$CE$8*6*'In Process Calc.'!$C15^6+Regression!$CD$8*5*'In Process Calc.'!$C15^5+Regression!$CC$8*4*'In Process Calc.'!$C15^3+Regression!$CB$8*3*'In Process Calc.'!$C15^2  + Regression!$CA$8*2*'In Process Calc.'!$C15 + Regression!$BZ$8)/$A15</f>
        <v>5.2358363026922781E-3</v>
      </c>
      <c r="G15" s="115">
        <f xml:space="preserve"> (Regression!$CE$9*6*'In Process Calc.'!$C15^6+Regression!$CD$9*5*'In Process Calc.'!$C15^5+Regression!$CC$9*4*'In Process Calc.'!$C15^3+Regression!$CB$9*3*'In Process Calc.'!$C15^2  + Regression!$CA$9*2*'In Process Calc.'!$C15 + Regression!$BZ$9)/$B15</f>
        <v>1.3862870741595172E-3</v>
      </c>
      <c r="H15" s="115">
        <f xml:space="preserve"> (Regression!$CE$10*6*'In Process Calc.'!$C15^6+Regression!$CD$10*5*'In Process Calc.'!$C15^5+Regression!$CC$10*4*'In Process Calc.'!$C15^3+Regression!$CB$10*3*'In Process Calc.'!$C15^2  + Regression!$CA$10*2*'In Process Calc.'!$C15 + Regression!$BZ$10)/$B15</f>
        <v>5.9009153747328371E-4</v>
      </c>
      <c r="I15" s="115">
        <f xml:space="preserve"> (Regression!$CE$11*6*'In Process Calc.'!$C15^6+Regression!$CD$11*5*'In Process Calc.'!$C15^5+Regression!$CC$11*4*'In Process Calc.'!$C15^3+Regression!$CB$11*3*'In Process Calc.'!$C15^2  + Regression!$CA$11*2*'In Process Calc.'!$C15 + Regression!$BZ$11)/$A15</f>
        <v>1.1610614637019526E-3</v>
      </c>
      <c r="J15" s="115">
        <f>(Regression!$CE$12*6*'In Process Calc.'!$C15^6+Regression!$CD$12*5*'In Process Calc.'!$C15^5+Regression!$CC$12*4*'In Process Calc.'!$C15^3+Regression!$CB$12*3*'In Process Calc.'!$C15^2  + Regression!$CA$12*2*'In Process Calc.'!$C15 + Regression!$BZ$12)/$A15</f>
        <v>-1.641319141089816E-4</v>
      </c>
      <c r="K15" s="115">
        <f xml:space="preserve"> (Regression!$CE$13*6*'In Process Calc.'!$C15^5+Regression!$CD$13*5*'In Process Calc.'!$C15^4+Regression!$CC$13*4*'In Process Calc.'!$C15^3+Regression!$CB$13*3*'In Process Calc.'!$C15^2  + Regression!$CA$13*2*'In Process Calc.'!$C15 + Regression!$BZ$13)/$A15</f>
        <v>4.4297629416349911E-2</v>
      </c>
      <c r="L15" s="115">
        <f xml:space="preserve"> (Regression!$CE$14*6*'In Process Calc.'!$C15^5+Regression!$CD$14*5*'In Process Calc.'!$C15^4+Regression!$CC$14*4*'In Process Calc.'!$C15^3+Regression!$CB$14*3*'In Process Calc.'!$C15^2  + Regression!$CA$14*2*'In Process Calc.'!$C15 + Regression!$BZ$14)/$B15</f>
        <v>5.3290088709318836E-3</v>
      </c>
      <c r="M15" s="115">
        <f xml:space="preserve"> (Regression!$CE$15*6*'In Process Calc.'!$C15^6+Regression!$CD$15*5*'In Process Calc.'!$C15^5+Regression!$CC$15*4*'In Process Calc.'!$C15^3+Regression!$CB$15*3*'In Process Calc.'!$C15^2  + Regression!$CA$15*2*'In Process Calc.'!$C15 + Regression!$BZ$15)/$A15</f>
        <v>1.4789556669808459E-2</v>
      </c>
      <c r="N15" s="115">
        <f xml:space="preserve"> (Regression!$CE$16*6*'In Process Calc.'!$C15^6+Regression!$CD$16*5*'In Process Calc.'!$C15^5+Regression!$CC$16*4*'In Process Calc.'!$C15^3+Regression!$CB$16*3*'In Process Calc.'!$C15^2  + Regression!$CA$16*2*'In Process Calc.'!$C15 + Regression!$BZ$16)/$A15</f>
        <v>-2.6399050308210844E-4</v>
      </c>
      <c r="O15" s="115">
        <f xml:space="preserve"> (Regression!$CE$17*6*'In Process Calc.'!$C15^6+Regression!$CD$17*5*'In Process Calc.'!$C15^5+Regression!$CC$17*4*'In Process Calc.'!$C15^3+Regression!$CB$17*3*'In Process Calc.'!$C15^2  + Regression!$CA$17*2*'In Process Calc.'!$C15 + Regression!$BZ$17)/$A15</f>
        <v>6.6697774458563048E-4</v>
      </c>
      <c r="P15" s="115">
        <f xml:space="preserve"> (Regression!$CE$18*6*'In Process Calc.'!$C15^6+Regression!$CD$18*5*'In Process Calc.'!$C15^5+Regression!$CC$18*4*'In Process Calc.'!$C15^3+Regression!$CB$18*3*'In Process Calc.'!$C15^2  + Regression!$CA$18*2*'In Process Calc.'!$C15 + Regression!$BZ$18)/$A15</f>
        <v>1.7722528723368579E-3</v>
      </c>
      <c r="Q15" s="115">
        <f xml:space="preserve"> (Regression!$CE$19*6*'In Process Calc.'!$C15^5+Regression!$CD$19*5*'In Process Calc.'!$C15^4+Regression!$CC$19*4*'In Process Calc.'!$C15^3 +Regression!$CB$19*3*'In Process Calc.'!$C15^2 + Regression!$CA$19*2*'In Process Calc.'!$C15 + Regression!$BZ$19)/$B15</f>
        <v>-3.5160782177537792E-3</v>
      </c>
      <c r="R15" s="115">
        <f xml:space="preserve"> (Regression!$CE$20*6*'In Process Calc.'!$C15^5+Regression!$CD$20*5*'In Process Calc.'!$C15^4+Regression!$CC$20*4*'In Process Calc.'!$C15^3 +Regression!$CB$20*3*'In Process Calc.'!$C15^2 + Regression!$CA$20*2*'In Process Calc.'!$C15 + Regression!$BZ$20)/$A15</f>
        <v>4.1728859651056468E-3</v>
      </c>
      <c r="S15" s="115">
        <f xml:space="preserve"> (Regression!$CE$21*6*'In Process Calc.'!$C15^5+Regression!$CD$21*5*'In Process Calc.'!$C15^4+Regression!$CC$21*4*'In Process Calc.'!$C15^3 +Regression!$CB$21*3*'In Process Calc.'!$C15^2 + Regression!$CA$21*2*'In Process Calc.'!$C15 + Regression!$BZ$21)/$A15</f>
        <v>4.488009689259902E-3</v>
      </c>
      <c r="T15" s="115">
        <f xml:space="preserve"> (Regression!$CE$22*6*'In Process Calc.'!$C15^5+Regression!$CD$22*5*'In Process Calc.'!$C15^4+Regression!$CC$22*4*'In Process Calc.'!$C15^3 +Regression!$CB$22*3*'In Process Calc.'!$C15^2 + Regression!$CA$22*2*'In Process Calc.'!$C15 + Regression!$BZ$22)/$A15</f>
        <v>-3.3296714914703287E-4</v>
      </c>
      <c r="U15" s="115">
        <f xml:space="preserve"> (Regression!$CE$23*6*'In Process Calc.'!$C15^5+Regression!$CD$23*5*'In Process Calc.'!$C15^4+Regression!$CC$23*4*'In Process Calc.'!$C15^3 +Regression!$CB$23*3*'In Process Calc.'!$C15^2 + Regression!$CA$23*2*'In Process Calc.'!$C15 + Regression!$BZ$23)/$A15</f>
        <v>-3.8955995950154944E-3</v>
      </c>
      <c r="V15" s="115">
        <f xml:space="preserve"> (Regression!$CE$24*6*'In Process Calc.'!$C15^5+Regression!$CD$24*5*'In Process Calc.'!$C15^4+Regression!$CC$24*4*'In Process Calc.'!$C15^3 +Regression!$CB$24*3*'In Process Calc.'!$C15^2 + Regression!$CA$24*2*'In Process Calc.'!$C15 + Regression!$BZ$24)/$A15</f>
        <v>2.0493446436699362E-3</v>
      </c>
      <c r="W15" s="115">
        <f xml:space="preserve"> (Regression!$CE$25*6*'In Process Calc.'!$C15^5+Regression!$CD$25*5*'In Process Calc.'!$C15^4+Regression!$CC$25*4*'In Process Calc.'!$C15^3 +Regression!$CB$25*3*'In Process Calc.'!$C15^2 + Regression!$CA$25*2*'In Process Calc.'!$C15 + Regression!$BZ$25)/$A15</f>
        <v>-6.671014657257052E-4</v>
      </c>
      <c r="X15" s="115">
        <f xml:space="preserve"> (Regression!$CE$26*6*'In Process Calc.'!$C15^5+Regression!$CD$26*5*'In Process Calc.'!$C15^4+Regression!$CC$26*4*'In Process Calc.'!$C15^3 +Regression!$CB$26*3*'In Process Calc.'!$C15^2 + Regression!$CA$26*2*'In Process Calc.'!$C15 + Regression!$BZ$26)/$A15</f>
        <v>-1.1403545433736216E-3</v>
      </c>
      <c r="Y15" s="115">
        <f xml:space="preserve"> (Regression!$CE$27*6*'In Process Calc.'!$C15^5+Regression!$CD$27*5*'In Process Calc.'!$C15^4+Regression!$CC$27*4*'In Process Calc.'!$C15^3 +Regression!$CB$27*3*'In Process Calc.'!$C15^2 + Regression!$CA$27*2*'In Process Calc.'!$C15 + Regression!$BZ$27)/$A15</f>
        <v>3.2038347349848097E-5</v>
      </c>
      <c r="Z15" s="115">
        <f xml:space="preserve"> (Regression!$CE$28*6*'In Process Calc.'!$C15^5+Regression!$CD$28*5*'In Process Calc.'!$C15^4+Regression!$CC$28*4*'In Process Calc.'!$C15^3 +Regression!$CB$28*3*'In Process Calc.'!$C15^2 + Regression!$CA$28*2*'In Process Calc.'!$C15 + Regression!$BZ$28)/$A15</f>
        <v>1.2035948132056182E-3</v>
      </c>
      <c r="AA15" s="115">
        <f xml:space="preserve"> (Regression!$CE$29*6*'In Process Calc.'!$C15^5+Regression!$CD$29*5*'In Process Calc.'!$C15^4+Regression!$CC$29*4*'In Process Calc.'!$C15^3 +Regression!$CB$29*3*'In Process Calc.'!$C15^2 + Regression!$CA$29*2*'In Process Calc.'!$C15 + Regression!$BZ$29)/$A15</f>
        <v>-2.9450793845180309E-4</v>
      </c>
      <c r="AB15" s="115">
        <f xml:space="preserve"> (Regression!$CE$30*6*'In Process Calc.'!$C15^5+Regression!$CD$30*5*'In Process Calc.'!$C15^4+Regression!$CC$30*4*'In Process Calc.'!$C15^3 +Regression!$CB$30*3*'In Process Calc.'!$C15^2 + Regression!$CA$30*2*'In Process Calc.'!$C15 + Regression!$BZ$30)/$A15</f>
        <v>6.4696157105298222E-3</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7.1354376243269083E-2</v>
      </c>
      <c r="AE15" s="115">
        <f xml:space="preserve"> (Regression!$CE$33*6*'In Process Calc.'!$C15^5+Regression!$CD$33*5*'In Process Calc.'!$C15^4+Regression!$CC$33*4*'In Process Calc.'!$C15^3 +Regression!$CB$33*3*'In Process Calc.'!$C15^2 + Regression!$CA$33*2*'In Process Calc.'!$C15 + Regression!$BZ$33)/$A15</f>
        <v>7.2694612950945869E-2</v>
      </c>
      <c r="AF15" s="115">
        <f xml:space="preserve"> (Regression!$CE$34*6*'In Process Calc.'!$C15^5+Regression!$CD$34*5*'In Process Calc.'!$C15^4+Regression!$CC$34*4*'In Process Calc.'!$C15^3 +Regression!$CB$34*3*'In Process Calc.'!$C15^2 + Regression!$CA$34*2*'In Process Calc.'!$C15 + Regression!$BZ$34)/$A15</f>
        <v>0.22338407839655361</v>
      </c>
      <c r="AG15" s="116">
        <f t="shared" si="0"/>
        <v>-7.937395892467379E-2</v>
      </c>
      <c r="AH15" s="116">
        <f t="shared" si="3"/>
        <v>0</v>
      </c>
      <c r="AI15" s="116">
        <f t="shared" si="1"/>
        <v>0.12030009147543656</v>
      </c>
      <c r="AJ15" s="116">
        <f t="shared" si="2"/>
        <v>-0.73101766001269031</v>
      </c>
      <c r="AK15" s="76">
        <f>'In Process Calc.'!C15</f>
        <v>284.91666666674428</v>
      </c>
      <c r="AL15" s="122">
        <f>((Regression!CL48-Regression!CL49)*1000+'Post Process Calc.'!AL14*'In Process Calc.'!$E15+'In Process Calc.'!$G14*'Measured Data'!AS18+'In Process Calc.'!$F14*'Measured Data'!AS18)/'In Process Calc.'!$J14</f>
        <v>4.1109362866900279</v>
      </c>
      <c r="AM15" s="122">
        <f>((Regression!CM48-Regression!CM49)*1000+'Post Process Calc.'!AM14*'In Process Calc.'!$E15+'In Process Calc.'!$G14*'Measured Data'!AT18+'In Process Calc.'!$F14*'Measured Data'!AT18)/'In Process Calc.'!$J14</f>
        <v>2.2212118291307323</v>
      </c>
      <c r="AN15" s="122">
        <f>((Regression!CN48-Regression!CN49)*1000+'Post Process Calc.'!AN14*'In Process Calc.'!$E15+'In Process Calc.'!$G14*'Measured Data'!AU18+'In Process Calc.'!$F14*'Measured Data'!AU18)/'In Process Calc.'!$J14</f>
        <v>-0.98108749386528937</v>
      </c>
      <c r="AO15" s="122">
        <f>((Regression!CO48-Regression!CO49)*1000+'Post Process Calc.'!AO14*'In Process Calc.'!$E15+'In Process Calc.'!$G14*'Measured Data'!AV18+'In Process Calc.'!$F14*'Measured Data'!AV18)/'In Process Calc.'!$J14</f>
        <v>1.9661529709910384</v>
      </c>
      <c r="AP15" s="122">
        <f>((Regression!CP48-Regression!CP49)*1000+'Post Process Calc.'!AP14*'In Process Calc.'!$E15+'In Process Calc.'!$G14*'Measured Data'!AW18+'In Process Calc.'!$F14*'Measured Data'!AW18)/'In Process Calc.'!$J14</f>
        <v>9.2594637213290434E-2</v>
      </c>
      <c r="AQ15" s="122">
        <f>((Regression!CQ48-Regression!CQ49)*1000+'Post Process Calc.'!AQ14*'In Process Calc.'!$E15+'In Process Calc.'!$G14*'Measured Data'!AX18+'In Process Calc.'!$F14*'Measured Data'!AX18)/'In Process Calc.'!$J14</f>
        <v>-14.891291339150083</v>
      </c>
      <c r="AR15" s="122">
        <f>((Regression!CR48-Regression!CR49)*1000+'Post Process Calc.'!AR14*'In Process Calc.'!$E15+'In Process Calc.'!$G14*'Measured Data'!AY18+'In Process Calc.'!$F14*'Measured Data'!AY18)/'In Process Calc.'!$J14</f>
        <v>2.7704373295443108</v>
      </c>
      <c r="AS15" s="122">
        <f>((Regression!CS48-Regression!CS49)*1000+'Post Process Calc.'!AS14*'In Process Calc.'!$E15+'In Process Calc.'!$G14*'Measured Data'!AZ18+'In Process Calc.'!$F14*'Measured Data'!AZ18)/'In Process Calc.'!$J14</f>
        <v>8.9142263928735588</v>
      </c>
      <c r="AT15" s="122">
        <f>((Regression!CT48-Regression!CT49)*1000+'Post Process Calc.'!AT14*'In Process Calc.'!$E15+'In Process Calc.'!$G14*'Measured Data'!BA18+'In Process Calc.'!$F14*'Measured Data'!BA18)/'In Process Calc.'!$J14</f>
        <v>0.76303913105793331</v>
      </c>
      <c r="AU15" s="122">
        <f>((Regression!CU48-Regression!CU49)*1000+'Post Process Calc.'!AU14*'In Process Calc.'!$E15+'In Process Calc.'!$G14*'Measured Data'!BB18+'In Process Calc.'!$F14*'Measured Data'!BB18)/'In Process Calc.'!$J14</f>
        <v>0.52349076747052281</v>
      </c>
      <c r="AV15" s="122">
        <f>((Regression!CV48-Regression!CV49)*1000+'Post Process Calc.'!AV14*'In Process Calc.'!$E15+'In Process Calc.'!$G14*'Measured Data'!BC18+'In Process Calc.'!$F14*'Measured Data'!BC18)/'In Process Calc.'!$J14</f>
        <v>2.7902532621295277</v>
      </c>
      <c r="AW15" s="122">
        <f>((Regression!CW48-Regression!CW49)*1000+'Post Process Calc.'!AW14*'In Process Calc.'!$E15+'In Process Calc.'!$G14*'Measured Data'!BE18+'In Process Calc.'!$F14*'Measured Data'!BE18)/'In Process Calc.'!$J14</f>
        <v>2.6117940440283614E-2</v>
      </c>
      <c r="AX15" s="122">
        <f>((Regression!CX48-Regression!CX49)*1000+'Post Process Calc.'!AX14*'In Process Calc.'!$E15+'In Process Calc.'!$G14*'Measured Data'!BF18+'In Process Calc.'!$F14*'Measured Data'!BF18)/'In Process Calc.'!$J14</f>
        <v>1.8940741497181792</v>
      </c>
      <c r="AY15" s="122">
        <f>((Regression!CY48-Regression!CY49)*1000+'Post Process Calc.'!AY14*'In Process Calc.'!$E15+'In Process Calc.'!$G14*'Measured Data'!BG18+'In Process Calc.'!$F14*'Measured Data'!BG18)/'In Process Calc.'!$J14</f>
        <v>2.5496210595343882</v>
      </c>
      <c r="AZ15" s="122">
        <f>((Regression!CZ48-Regression!CZ49)*1000+'Post Process Calc.'!AZ14*'In Process Calc.'!$E15+'In Process Calc.'!$G14*'Measured Data'!BI18+'In Process Calc.'!$F14*'Measured Data'!BI18)/'In Process Calc.'!$J14</f>
        <v>2.8673905511724124E-2</v>
      </c>
      <c r="BA15" s="122">
        <f>((Regression!DA48-Regression!DA49)*1000+'Post Process Calc.'!BA14*'In Process Calc.'!$E15+'In Process Calc.'!$G14*'Measured Data'!BJ18+'In Process Calc.'!$F14*'Measured Data'!BJ18)/'In Process Calc.'!$J14</f>
        <v>10.564674043860432</v>
      </c>
      <c r="BB15" s="122">
        <f>((Regression!DB48-Regression!DB49)*1000+'Post Process Calc.'!BB14*'In Process Calc.'!$E15+'In Process Calc.'!$G14*'Measured Data'!BK18+'In Process Calc.'!$F14*'Measured Data'!BK18)/'In Process Calc.'!$J14</f>
        <v>0.81397687659588336</v>
      </c>
      <c r="BC15" s="122">
        <f>((Regression!DC48-Regression!DC49)*1000+'Post Process Calc.'!BC14*'In Process Calc.'!$E15+'In Process Calc.'!$G14*'Measured Data'!BL18+'In Process Calc.'!$F14*'Measured Data'!BL18)/'In Process Calc.'!$J14</f>
        <v>2.1677768671060411</v>
      </c>
      <c r="BD15" s="122">
        <f>((Regression!DD48-Regression!DD49)*1000+'Post Process Calc.'!BD14*'In Process Calc.'!$E15+'In Process Calc.'!$G14*'Measured Data'!BM18+'In Process Calc.'!$F14*'Measured Data'!BM18)/'In Process Calc.'!$J14</f>
        <v>0.14506996446180254</v>
      </c>
      <c r="BE15" s="122">
        <f>((Regression!DE48-Regression!DE49)*1000+'Post Process Calc.'!BE14*'In Process Calc.'!$E15+'In Process Calc.'!$G14*'Measured Data'!BN18+'In Process Calc.'!$F14*'Measured Data'!BN18)/'In Process Calc.'!$J14</f>
        <v>1.7887708732380821E-2</v>
      </c>
      <c r="BF15" s="122">
        <f>((Regression!DF48-Regression!DF49)*1000+'Post Process Calc.'!BF14*'In Process Calc.'!$E15+'In Process Calc.'!$G14*'Measured Data'!BO18+'In Process Calc.'!$F14*'Measured Data'!BO18)/'In Process Calc.'!$J14</f>
        <v>0.96876832506256327</v>
      </c>
      <c r="BG15" s="122">
        <f>((Regression!DG48-Regression!DG49)*1000+'Post Process Calc.'!BG14*'In Process Calc.'!$E15+'In Process Calc.'!$G14*'Measured Data'!BP18+'In Process Calc.'!$F14*'Measured Data'!BP18)/'In Process Calc.'!$J14</f>
        <v>2.4376726727124789E-2</v>
      </c>
      <c r="BH15" s="122">
        <f>((Regression!DH48-Regression!DH49)*1000+'Post Process Calc.'!BH14*'In Process Calc.'!$E15+'In Process Calc.'!$G14*'Measured Data'!BQ18+'In Process Calc.'!$F14*'Measured Data'!BQ18)/'In Process Calc.'!$J14</f>
        <v>4.242007717590961</v>
      </c>
    </row>
    <row r="16" spans="1:71">
      <c r="A16" s="115">
        <f>'Measured Data'!H20</f>
        <v>13.934400422668457</v>
      </c>
      <c r="B16" s="115">
        <f>'Measured Data'!H20*'In Process Calc.'!E16/1000</f>
        <v>25.115208495146266</v>
      </c>
      <c r="C16" s="295">
        <f>'Growth Regression'!$P15</f>
        <v>4.7150661224136737E-4</v>
      </c>
      <c r="D16" s="115">
        <f>IF('Measured Data'!O20&gt;0,'Measured Data'!O20, (Regression!$CE$6*6*'In Process Calc.'!$C16^6+Regression!$CD$6*5*'In Process Calc.'!$C16^5+Regression!$CC$6*4*'In Process Calc.'!$C16^3+Regression!$CB$6*3*'In Process Calc.'!$C16^2  + Regression!$CA$6*2*'In Process Calc.'!$C16 + Regression!$BZ$6)/$A16)</f>
        <v>0</v>
      </c>
      <c r="E16" s="115">
        <f>(Regression!$CE$7*6*'In Process Calc.'!$C16^6+Regression!$CD$7*5*'In Process Calc.'!$C16^5+Regression!$CC$7*4*'In Process Calc.'!$C16^3+Regression!$CB$7*3*'In Process Calc.'!$C16^2  + Regression!$CA$7*2*'In Process Calc.'!$C16 + Regression!$BZ$7)/$A16</f>
        <v>1.78111769102361</v>
      </c>
      <c r="F16" s="115">
        <f xml:space="preserve"> (Regression!$CE$8*6*'In Process Calc.'!$C16^6+Regression!$CD$8*5*'In Process Calc.'!$C16^5+Regression!$CC$8*4*'In Process Calc.'!$C16^3+Regression!$CB$8*3*'In Process Calc.'!$C16^2  + Regression!$CA$8*2*'In Process Calc.'!$C16 + Regression!$BZ$8)/$A16</f>
        <v>9.6624218897375311E-3</v>
      </c>
      <c r="G16" s="115">
        <f xml:space="preserve"> (Regression!$CE$9*6*'In Process Calc.'!$C16^6+Regression!$CD$9*5*'In Process Calc.'!$C16^5+Regression!$CC$9*4*'In Process Calc.'!$C16^3+Regression!$CB$9*3*'In Process Calc.'!$C16^2  + Regression!$CA$9*2*'In Process Calc.'!$C16 + Regression!$BZ$9)/$B16</f>
        <v>2.0243402511178335E-3</v>
      </c>
      <c r="H16" s="115">
        <f xml:space="preserve"> (Regression!$CE$10*6*'In Process Calc.'!$C16^6+Regression!$CD$10*5*'In Process Calc.'!$C16^5+Regression!$CC$10*4*'In Process Calc.'!$C16^3+Regression!$CB$10*3*'In Process Calc.'!$C16^2  + Regression!$CA$10*2*'In Process Calc.'!$C16 + Regression!$BZ$10)/$B16</f>
        <v>-2.6692039361311997E-3</v>
      </c>
      <c r="I16" s="115">
        <f xml:space="preserve"> (Regression!$CE$11*6*'In Process Calc.'!$C16^6+Regression!$CD$11*5*'In Process Calc.'!$C16^5+Regression!$CC$11*4*'In Process Calc.'!$C16^3+Regression!$CB$11*3*'In Process Calc.'!$C16^2  + Regression!$CA$11*2*'In Process Calc.'!$C16 + Regression!$BZ$11)/$A16</f>
        <v>7.1740331519524515E-4</v>
      </c>
      <c r="J16" s="115">
        <f>(Regression!$CE$12*6*'In Process Calc.'!$C16^6+Regression!$CD$12*5*'In Process Calc.'!$C16^5+Regression!$CC$12*4*'In Process Calc.'!$C16^3+Regression!$CB$12*3*'In Process Calc.'!$C16^2  + Regression!$CA$12*2*'In Process Calc.'!$C16 + Regression!$BZ$12)/$A16</f>
        <v>-5.2948193189598957E-4</v>
      </c>
      <c r="K16" s="115">
        <f xml:space="preserve"> (Regression!$CE$13*6*'In Process Calc.'!$C16^5+Regression!$CD$13*5*'In Process Calc.'!$C16^4+Regression!$CC$13*4*'In Process Calc.'!$C16^3+Regression!$CB$13*3*'In Process Calc.'!$C16^2  + Regression!$CA$13*2*'In Process Calc.'!$C16 + Regression!$BZ$13)/$A16</f>
        <v>4.9252557578227649E-2</v>
      </c>
      <c r="L16" s="115">
        <f xml:space="preserve"> (Regression!$CE$14*6*'In Process Calc.'!$C16^5+Regression!$CD$14*5*'In Process Calc.'!$C16^4+Regression!$CC$14*4*'In Process Calc.'!$C16^3+Regression!$CB$14*3*'In Process Calc.'!$C16^2  + Regression!$CA$14*2*'In Process Calc.'!$C16 + Regression!$BZ$14)/$B16</f>
        <v>2.9734576302321947E-3</v>
      </c>
      <c r="M16" s="115">
        <f xml:space="preserve"> (Regression!$CE$15*6*'In Process Calc.'!$C16^6+Regression!$CD$15*5*'In Process Calc.'!$C16^5+Regression!$CC$15*4*'In Process Calc.'!$C16^3+Regression!$CB$15*3*'In Process Calc.'!$C16^2  + Regression!$CA$15*2*'In Process Calc.'!$C16 + Regression!$BZ$15)/$A16</f>
        <v>2.0440164219838252E-2</v>
      </c>
      <c r="N16" s="115">
        <f xml:space="preserve"> (Regression!$CE$16*6*'In Process Calc.'!$C16^6+Regression!$CD$16*5*'In Process Calc.'!$C16^5+Regression!$CC$16*4*'In Process Calc.'!$C16^3+Regression!$CB$16*3*'In Process Calc.'!$C16^2  + Regression!$CA$16*2*'In Process Calc.'!$C16 + Regression!$BZ$16)/$A16</f>
        <v>-9.1315464445094476E-4</v>
      </c>
      <c r="O16" s="115">
        <f xml:space="preserve"> (Regression!$CE$17*6*'In Process Calc.'!$C16^6+Regression!$CD$17*5*'In Process Calc.'!$C16^5+Regression!$CC$17*4*'In Process Calc.'!$C16^3+Regression!$CB$17*3*'In Process Calc.'!$C16^2  + Regression!$CA$17*2*'In Process Calc.'!$C16 + Regression!$BZ$17)/$A16</f>
        <v>5.917873141216165E-4</v>
      </c>
      <c r="P16" s="115">
        <f xml:space="preserve"> (Regression!$CE$18*6*'In Process Calc.'!$C16^6+Regression!$CD$18*5*'In Process Calc.'!$C16^5+Regression!$CC$18*4*'In Process Calc.'!$C16^3+Regression!$CB$18*3*'In Process Calc.'!$C16^2  + Regression!$CA$18*2*'In Process Calc.'!$C16 + Regression!$BZ$18)/$A16</f>
        <v>2.3370017983361524E-3</v>
      </c>
      <c r="Q16" s="115">
        <f xml:space="preserve"> (Regression!$CE$19*6*'In Process Calc.'!$C16^5+Regression!$CD$19*5*'In Process Calc.'!$C16^4+Regression!$CC$19*4*'In Process Calc.'!$C16^3 +Regression!$CB$19*3*'In Process Calc.'!$C16^2 + Regression!$CA$19*2*'In Process Calc.'!$C16 + Regression!$BZ$19)/$B16</f>
        <v>3.8379280228994965E-3</v>
      </c>
      <c r="R16" s="115">
        <f xml:space="preserve"> (Regression!$CE$20*6*'In Process Calc.'!$C16^5+Regression!$CD$20*5*'In Process Calc.'!$C16^4+Regression!$CC$20*4*'In Process Calc.'!$C16^3 +Regression!$CB$20*3*'In Process Calc.'!$C16^2 + Regression!$CA$20*2*'In Process Calc.'!$C16 + Regression!$BZ$20)/$A16</f>
        <v>4.96286626367723E-3</v>
      </c>
      <c r="S16" s="115">
        <f xml:space="preserve"> (Regression!$CE$21*6*'In Process Calc.'!$C16^5+Regression!$CD$21*5*'In Process Calc.'!$C16^4+Regression!$CC$21*4*'In Process Calc.'!$C16^3 +Regression!$CB$21*3*'In Process Calc.'!$C16^2 + Regression!$CA$21*2*'In Process Calc.'!$C16 + Regression!$BZ$21)/$A16</f>
        <v>5.9962478155001263E-3</v>
      </c>
      <c r="T16" s="115">
        <f xml:space="preserve"> (Regression!$CE$22*6*'In Process Calc.'!$C16^5+Regression!$CD$22*5*'In Process Calc.'!$C16^4+Regression!$CC$22*4*'In Process Calc.'!$C16^3 +Regression!$CB$22*3*'In Process Calc.'!$C16^2 + Regression!$CA$22*2*'In Process Calc.'!$C16 + Regression!$BZ$22)/$A16</f>
        <v>-6.850869926210934E-4</v>
      </c>
      <c r="U16" s="115">
        <f xml:space="preserve"> (Regression!$CE$23*6*'In Process Calc.'!$C16^5+Regression!$CD$23*5*'In Process Calc.'!$C16^4+Regression!$CC$23*4*'In Process Calc.'!$C16^3 +Regression!$CB$23*3*'In Process Calc.'!$C16^2 + Regression!$CA$23*2*'In Process Calc.'!$C16 + Regression!$BZ$23)/$A16</f>
        <v>-3.5229542992114417E-3</v>
      </c>
      <c r="V16" s="115">
        <f xml:space="preserve"> (Regression!$CE$24*6*'In Process Calc.'!$C16^5+Regression!$CD$24*5*'In Process Calc.'!$C16^4+Regression!$CC$24*4*'In Process Calc.'!$C16^3 +Regression!$CB$24*3*'In Process Calc.'!$C16^2 + Regression!$CA$24*2*'In Process Calc.'!$C16 + Regression!$BZ$24)/$A16</f>
        <v>2.6846864024997101E-3</v>
      </c>
      <c r="W16" s="115">
        <f xml:space="preserve"> (Regression!$CE$25*6*'In Process Calc.'!$C16^5+Regression!$CD$25*5*'In Process Calc.'!$C16^4+Regression!$CC$25*4*'In Process Calc.'!$C16^3 +Regression!$CB$25*3*'In Process Calc.'!$C16^2 + Regression!$CA$25*2*'In Process Calc.'!$C16 + Regression!$BZ$25)/$A16</f>
        <v>-1.6727921928573501E-3</v>
      </c>
      <c r="X16" s="115">
        <f xml:space="preserve"> (Regression!$CE$26*6*'In Process Calc.'!$C16^5+Regression!$CD$26*5*'In Process Calc.'!$C16^4+Regression!$CC$26*4*'In Process Calc.'!$C16^3 +Regression!$CB$26*3*'In Process Calc.'!$C16^2 + Regression!$CA$26*2*'In Process Calc.'!$C16 + Regression!$BZ$26)/$A16</f>
        <v>-2.6653367958112129E-3</v>
      </c>
      <c r="Y16" s="115">
        <f xml:space="preserve"> (Regression!$CE$27*6*'In Process Calc.'!$C16^5+Regression!$CD$27*5*'In Process Calc.'!$C16^4+Regression!$CC$27*4*'In Process Calc.'!$C16^3 +Regression!$CB$27*3*'In Process Calc.'!$C16^2 + Regression!$CA$27*2*'In Process Calc.'!$C16 + Regression!$BZ$27)/$A16</f>
        <v>-9.1542745266656777E-4</v>
      </c>
      <c r="Z16" s="115">
        <f xml:space="preserve"> (Regression!$CE$28*6*'In Process Calc.'!$C16^5+Regression!$CD$28*5*'In Process Calc.'!$C16^4+Regression!$CC$28*4*'In Process Calc.'!$C16^3 +Regression!$CB$28*3*'In Process Calc.'!$C16^2 + Regression!$CA$28*2*'In Process Calc.'!$C16 + Regression!$BZ$28)/$A16</f>
        <v>1.6954151849706946E-3</v>
      </c>
      <c r="AA16" s="115">
        <f xml:space="preserve"> (Regression!$CE$29*6*'In Process Calc.'!$C16^5+Regression!$CD$29*5*'In Process Calc.'!$C16^4+Regression!$CC$29*4*'In Process Calc.'!$C16^3 +Regression!$CB$29*3*'In Process Calc.'!$C16^2 + Regression!$CA$29*2*'In Process Calc.'!$C16 + Regression!$BZ$29)/$A16</f>
        <v>-8.9731651658683548E-4</v>
      </c>
      <c r="AB16" s="115">
        <f xml:space="preserve"> (Regression!$CE$30*6*'In Process Calc.'!$C16^5+Regression!$CD$30*5*'In Process Calc.'!$C16^4+Regression!$CC$30*4*'In Process Calc.'!$C16^3 +Regression!$CB$30*3*'In Process Calc.'!$C16^2 + Regression!$CA$30*2*'In Process Calc.'!$C16 + Regression!$BZ$30)/$A16</f>
        <v>9.1437807243482157E-3</v>
      </c>
      <c r="AC16" s="115">
        <f xml:space="preserve"> (Regression!$CE$31*6*'In Process Calc.'!$C16^5+Regression!$CD$31*5*'In Process Calc.'!$C16^4+Regression!$CC$31*4*'In Process Calc.'!$C16^3 +Regression!$CB$31*3*'In Process Calc.'!$C16^2 + Regression!$CA$31*2*'In Process Calc.'!$C16 + Regression!$BZ$31)/$A16</f>
        <v>0</v>
      </c>
      <c r="AD16" s="115">
        <f xml:space="preserve"> (Regression!$CE$32*6*'In Process Calc.'!$C16^5+Regression!$CD$32*5*'In Process Calc.'!$C16^4+Regression!$CC$32*4*'In Process Calc.'!$C16^3 +Regression!$CB$32*3*'In Process Calc.'!$C16^2 + Regression!$CA$32*2*'In Process Calc.'!$C16 + Regression!$BZ$32)/$A16</f>
        <v>9.1846650277064845E-2</v>
      </c>
      <c r="AE16" s="115">
        <f xml:space="preserve"> (Regression!$CE$33*6*'In Process Calc.'!$C16^5+Regression!$CD$33*5*'In Process Calc.'!$C16^4+Regression!$CC$33*4*'In Process Calc.'!$C16^3 +Regression!$CB$33*3*'In Process Calc.'!$C16^2 + Regression!$CA$33*2*'In Process Calc.'!$C16 + Regression!$BZ$33)/$A16</f>
        <v>9.7986117867590955E-2</v>
      </c>
      <c r="AF16" s="115">
        <f xml:space="preserve"> (Regression!$CE$34*6*'In Process Calc.'!$C16^5+Regression!$CD$34*5*'In Process Calc.'!$C16^4+Regression!$CC$34*4*'In Process Calc.'!$C16^3 +Regression!$CB$34*3*'In Process Calc.'!$C16^2 + Regression!$CA$34*2*'In Process Calc.'!$C16 + Regression!$BZ$34)/$A16</f>
        <v>0.27473663854921532</v>
      </c>
      <c r="AG16" s="116">
        <f t="shared" si="0"/>
        <v>7.7923425941967175E-2</v>
      </c>
      <c r="AH16" s="116">
        <f t="shared" si="3"/>
        <v>0</v>
      </c>
      <c r="AI16" s="116">
        <f t="shared" si="1"/>
        <v>6.0371639087157314E-2</v>
      </c>
      <c r="AJ16" s="116">
        <f t="shared" si="2"/>
        <v>-1.184800571359188</v>
      </c>
      <c r="AK16" s="76"/>
    </row>
    <row r="17" spans="1:61">
      <c r="A17" s="115">
        <f>'Measured Data'!H21</f>
        <v>13.162699563598633</v>
      </c>
      <c r="B17" s="115">
        <f>'Measured Data'!H21*'In Process Calc.'!E17/1000</f>
        <v>23.695784258825007</v>
      </c>
      <c r="C17" s="295">
        <f>'Growth Regression'!$P16</f>
        <v>2.4916065630882679E-4</v>
      </c>
      <c r="D17" s="115">
        <f>IF('Measured Data'!O21&gt;0,'Measured Data'!O21, (Regression!$CE$6*6*'In Process Calc.'!$C17^6+Regression!$CD$6*5*'In Process Calc.'!$C17^5+Regression!$CC$6*4*'In Process Calc.'!$C17^3+Regression!$CB$6*3*'In Process Calc.'!$C17^2  + Regression!$CA$6*2*'In Process Calc.'!$C17 + Regression!$BZ$6)/$A17)</f>
        <v>0</v>
      </c>
      <c r="E17" s="115">
        <f>(Regression!$CE$7*6*'In Process Calc.'!$C17^6+Regression!$CD$7*5*'In Process Calc.'!$C17^5+Regression!$CC$7*4*'In Process Calc.'!$C17^3+Regression!$CB$7*3*'In Process Calc.'!$C17^2  + Regression!$CA$7*2*'In Process Calc.'!$C17 + Regression!$BZ$7)/$A17</f>
        <v>1.7924232017740962</v>
      </c>
      <c r="F17" s="115">
        <f xml:space="preserve"> (Regression!$CE$8*6*'In Process Calc.'!$C17^6+Regression!$CD$8*5*'In Process Calc.'!$C17^5+Regression!$CC$8*4*'In Process Calc.'!$C17^3+Regression!$CB$8*3*'In Process Calc.'!$C17^2  + Regression!$CA$8*2*'In Process Calc.'!$C17 + Regression!$BZ$8)/$A17</f>
        <v>1.553193621611932E-2</v>
      </c>
      <c r="G17" s="115">
        <f xml:space="preserve"> (Regression!$CE$9*6*'In Process Calc.'!$C17^6+Regression!$CD$9*5*'In Process Calc.'!$C17^5+Regression!$CC$9*4*'In Process Calc.'!$C17^3+Regression!$CB$9*3*'In Process Calc.'!$C17^2  + Regression!$CA$9*2*'In Process Calc.'!$C17 + Regression!$BZ$9)/$B17</f>
        <v>2.8561807345904812E-3</v>
      </c>
      <c r="H17" s="115">
        <f xml:space="preserve"> (Regression!$CE$10*6*'In Process Calc.'!$C17^6+Regression!$CD$10*5*'In Process Calc.'!$C17^5+Regression!$CC$10*4*'In Process Calc.'!$C17^3+Regression!$CB$10*3*'In Process Calc.'!$C17^2  + Regression!$CA$10*2*'In Process Calc.'!$C17 + Regression!$BZ$10)/$B17</f>
        <v>-7.9007957299269179E-3</v>
      </c>
      <c r="I17" s="115">
        <f xml:space="preserve"> (Regression!$CE$11*6*'In Process Calc.'!$C17^6+Regression!$CD$11*5*'In Process Calc.'!$C17^5+Regression!$CC$11*4*'In Process Calc.'!$C17^3+Regression!$CB$11*3*'In Process Calc.'!$C17^2  + Regression!$CA$11*2*'In Process Calc.'!$C17 + Regression!$BZ$11)/$A17</f>
        <v>-4.2644277684159146E-4</v>
      </c>
      <c r="J17" s="115">
        <f>(Regression!$CE$12*6*'In Process Calc.'!$C17^6+Regression!$CD$12*5*'In Process Calc.'!$C17^5+Regression!$CC$12*4*'In Process Calc.'!$C17^3+Regression!$CB$12*3*'In Process Calc.'!$C17^2  + Regression!$CA$12*2*'In Process Calc.'!$C17 + Regression!$BZ$12)/$A17</f>
        <v>-1.0102664216605911E-3</v>
      </c>
      <c r="K17" s="115">
        <f xml:space="preserve"> (Regression!$CE$13*6*'In Process Calc.'!$C17^5+Regression!$CD$13*5*'In Process Calc.'!$C17^4+Regression!$CC$13*4*'In Process Calc.'!$C17^3+Regression!$CB$13*3*'In Process Calc.'!$C17^2  + Regression!$CA$13*2*'In Process Calc.'!$C17 + Regression!$BZ$13)/$A17</f>
        <v>5.5565061907294058E-2</v>
      </c>
      <c r="L17" s="115">
        <f xml:space="preserve"> (Regression!$CE$14*6*'In Process Calc.'!$C17^5+Regression!$CD$14*5*'In Process Calc.'!$C17^4+Regression!$CC$14*4*'In Process Calc.'!$C17^3+Regression!$CB$14*3*'In Process Calc.'!$C17^2  + Regression!$CA$14*2*'In Process Calc.'!$C17 + Regression!$BZ$14)/$B17</f>
        <v>-9.1248312900920111E-3</v>
      </c>
      <c r="M17" s="115">
        <f xml:space="preserve"> (Regression!$CE$15*6*'In Process Calc.'!$C17^6+Regression!$CD$15*5*'In Process Calc.'!$C17^5+Regression!$CC$15*4*'In Process Calc.'!$C17^3+Regression!$CB$15*3*'In Process Calc.'!$C17^2  + Regression!$CA$15*2*'In Process Calc.'!$C17 + Regression!$BZ$15)/$A17</f>
        <v>2.7626848862007225E-2</v>
      </c>
      <c r="N17" s="115">
        <f xml:space="preserve"> (Regression!$CE$16*6*'In Process Calc.'!$C17^6+Regression!$CD$16*5*'In Process Calc.'!$C17^5+Regression!$CC$16*4*'In Process Calc.'!$C17^3+Regression!$CB$16*3*'In Process Calc.'!$C17^2  + Regression!$CA$16*2*'In Process Calc.'!$C17 + Regression!$BZ$16)/$A17</f>
        <v>-1.814984597250229E-3</v>
      </c>
      <c r="O17" s="115">
        <f xml:space="preserve"> (Regression!$CE$17*6*'In Process Calc.'!$C17^6+Regression!$CD$17*5*'In Process Calc.'!$C17^5+Regression!$CC$17*4*'In Process Calc.'!$C17^3+Regression!$CB$17*3*'In Process Calc.'!$C17^2  + Regression!$CA$17*2*'In Process Calc.'!$C17 + Regression!$BZ$17)/$A17</f>
        <v>4.7925438508676627E-4</v>
      </c>
      <c r="P17" s="115">
        <f xml:space="preserve"> (Regression!$CE$18*6*'In Process Calc.'!$C17^6+Regression!$CD$18*5*'In Process Calc.'!$C17^5+Regression!$CC$18*4*'In Process Calc.'!$C17^3+Regression!$CB$18*3*'In Process Calc.'!$C17^2  + Regression!$CA$18*2*'In Process Calc.'!$C17 + Regression!$BZ$18)/$A17</f>
        <v>3.0586280460886965E-3</v>
      </c>
      <c r="Q17" s="115">
        <f xml:space="preserve"> (Regression!$CE$19*6*'In Process Calc.'!$C17^5+Regression!$CD$19*5*'In Process Calc.'!$C17^4+Regression!$CC$19*4*'In Process Calc.'!$C17^3 +Regression!$CB$19*3*'In Process Calc.'!$C17^2 + Regression!$CA$19*2*'In Process Calc.'!$C17 + Regression!$BZ$19)/$B17</f>
        <v>1.7781059056384815E-2</v>
      </c>
      <c r="R17" s="115">
        <f xml:space="preserve"> (Regression!$CE$20*6*'In Process Calc.'!$C17^5+Regression!$CD$20*5*'In Process Calc.'!$C17^4+Regression!$CC$20*4*'In Process Calc.'!$C17^3 +Regression!$CB$20*3*'In Process Calc.'!$C17^2 + Regression!$CA$20*2*'In Process Calc.'!$C17 + Regression!$BZ$20)/$A17</f>
        <v>5.9638582476273308E-3</v>
      </c>
      <c r="S17" s="115">
        <f xml:space="preserve"> (Regression!$CE$21*6*'In Process Calc.'!$C17^5+Regression!$CD$21*5*'In Process Calc.'!$C17^4+Regression!$CC$21*4*'In Process Calc.'!$C17^3 +Regression!$CB$21*3*'In Process Calc.'!$C17^2 + Regression!$CA$21*2*'In Process Calc.'!$C17 + Regression!$BZ$21)/$A17</f>
        <v>7.9476828534299597E-3</v>
      </c>
      <c r="T17" s="115">
        <f xml:space="preserve"> (Regression!$CE$22*6*'In Process Calc.'!$C17^5+Regression!$CD$22*5*'In Process Calc.'!$C17^4+Regression!$CC$22*4*'In Process Calc.'!$C17^3 +Regression!$CB$22*3*'In Process Calc.'!$C17^2 + Regression!$CA$22*2*'In Process Calc.'!$C17 + Regression!$BZ$22)/$A17</f>
        <v>-1.1460787846034968E-3</v>
      </c>
      <c r="U17" s="115">
        <f xml:space="preserve"> (Regression!$CE$23*6*'In Process Calc.'!$C17^5+Regression!$CD$23*5*'In Process Calc.'!$C17^4+Regression!$CC$23*4*'In Process Calc.'!$C17^3 +Regression!$CB$23*3*'In Process Calc.'!$C17^2 + Regression!$CA$23*2*'In Process Calc.'!$C17 + Regression!$BZ$23)/$A17</f>
        <v>-3.0788279076996534E-3</v>
      </c>
      <c r="V17" s="115">
        <f xml:space="preserve"> (Regression!$CE$24*6*'In Process Calc.'!$C17^5+Regression!$CD$24*5*'In Process Calc.'!$C17^4+Regression!$CC$24*4*'In Process Calc.'!$C17^3 +Regression!$CB$24*3*'In Process Calc.'!$C17^2 + Regression!$CA$24*2*'In Process Calc.'!$C17 + Regression!$BZ$24)/$A17</f>
        <v>3.5041117901221143E-3</v>
      </c>
      <c r="W17" s="115">
        <f xml:space="preserve"> (Regression!$CE$25*6*'In Process Calc.'!$C17^5+Regression!$CD$25*5*'In Process Calc.'!$C17^4+Regression!$CC$25*4*'In Process Calc.'!$C17^3 +Regression!$CB$25*3*'In Process Calc.'!$C17^2 + Regression!$CA$25*2*'In Process Calc.'!$C17 + Regression!$BZ$25)/$A17</f>
        <v>-2.9857153388818869E-3</v>
      </c>
      <c r="X17" s="115">
        <f xml:space="preserve"> (Regression!$CE$26*6*'In Process Calc.'!$C17^5+Regression!$CD$26*5*'In Process Calc.'!$C17^4+Regression!$CC$26*4*'In Process Calc.'!$C17^3 +Regression!$CB$26*3*'In Process Calc.'!$C17^2 + Regression!$CA$26*2*'In Process Calc.'!$C17 + Regression!$BZ$26)/$A17</f>
        <v>-4.6419057504626686E-3</v>
      </c>
      <c r="Y17" s="115">
        <f xml:space="preserve"> (Regression!$CE$27*6*'In Process Calc.'!$C17^5+Regression!$CD$27*5*'In Process Calc.'!$C17^4+Regression!$CC$27*4*'In Process Calc.'!$C17^3 +Regression!$CB$27*3*'In Process Calc.'!$C17^2 + Regression!$CA$27*2*'In Process Calc.'!$C17 + Regression!$BZ$27)/$A17</f>
        <v>-2.1664870706073346E-3</v>
      </c>
      <c r="Z17" s="115">
        <f xml:space="preserve"> (Regression!$CE$28*6*'In Process Calc.'!$C17^5+Regression!$CD$28*5*'In Process Calc.'!$C17^4+Regression!$CC$28*4*'In Process Calc.'!$C17^3 +Regression!$CB$28*3*'In Process Calc.'!$C17^2 + Regression!$CA$28*2*'In Process Calc.'!$C17 + Regression!$BZ$28)/$A17</f>
        <v>2.3375814783963612E-3</v>
      </c>
      <c r="AA17" s="115">
        <f xml:space="preserve"> (Regression!$CE$29*6*'In Process Calc.'!$C17^5+Regression!$CD$29*5*'In Process Calc.'!$C17^4+Regression!$CC$29*4*'In Process Calc.'!$C17^3 +Regression!$CB$29*3*'In Process Calc.'!$C17^2 + Regression!$CA$29*2*'In Process Calc.'!$C17 + Regression!$BZ$29)/$A17</f>
        <v>-1.6928053438647851E-3</v>
      </c>
      <c r="AB17" s="115">
        <f xml:space="preserve"> (Regression!$CE$30*6*'In Process Calc.'!$C17^5+Regression!$CD$30*5*'In Process Calc.'!$C17^4+Regression!$CC$30*4*'In Process Calc.'!$C17^3 +Regression!$CB$30*3*'In Process Calc.'!$C17^2 + Regression!$CA$30*2*'In Process Calc.'!$C17 + Regression!$BZ$30)/$A17</f>
        <v>1.2602590746952901E-2</v>
      </c>
      <c r="AC17" s="115">
        <f xml:space="preserve"> (Regression!$CE$31*6*'In Process Calc.'!$C17^5+Regression!$CD$31*5*'In Process Calc.'!$C17^4+Regression!$CC$31*4*'In Process Calc.'!$C17^3 +Regression!$CB$31*3*'In Process Calc.'!$C17^2 + Regression!$CA$31*2*'In Process Calc.'!$C17 + Regression!$BZ$31)/$A17</f>
        <v>0</v>
      </c>
      <c r="AD17" s="115">
        <f xml:space="preserve"> (Regression!$CE$32*6*'In Process Calc.'!$C17^5+Regression!$CD$32*5*'In Process Calc.'!$C17^4+Regression!$CC$32*4*'In Process Calc.'!$C17^3 +Regression!$CB$32*3*'In Process Calc.'!$C17^2 + Regression!$CA$32*2*'In Process Calc.'!$C17 + Regression!$BZ$32)/$A17</f>
        <v>0.11825308268189523</v>
      </c>
      <c r="AE17" s="115">
        <f xml:space="preserve"> (Regression!$CE$33*6*'In Process Calc.'!$C17^5+Regression!$CD$33*5*'In Process Calc.'!$C17^4+Regression!$CC$33*4*'In Process Calc.'!$C17^3 +Regression!$CB$33*3*'In Process Calc.'!$C17^2 + Regression!$CA$33*2*'In Process Calc.'!$C17 + Regression!$BZ$33)/$A17</f>
        <v>0.13070619099031491</v>
      </c>
      <c r="AF17" s="115">
        <f xml:space="preserve"> (Regression!$CE$34*6*'In Process Calc.'!$C17^5+Regression!$CD$34*5*'In Process Calc.'!$C17^4+Regression!$CC$34*4*'In Process Calc.'!$C17^3 +Regression!$CB$34*3*'In Process Calc.'!$C17^2 + Regression!$CA$34*2*'In Process Calc.'!$C17 + Regression!$BZ$34)/$A17</f>
        <v>0.3395810023763684</v>
      </c>
      <c r="AG17" s="116">
        <f t="shared" si="0"/>
        <v>0.32000430569214727</v>
      </c>
      <c r="AH17" s="116">
        <f t="shared" si="3"/>
        <v>0</v>
      </c>
      <c r="AI17" s="116">
        <f t="shared" si="1"/>
        <v>-0.16421886302072469</v>
      </c>
      <c r="AJ17" s="116">
        <f t="shared" si="2"/>
        <v>0.33741203643323553</v>
      </c>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703</v>
      </c>
      <c r="B19" s="511" t="s">
        <v>706</v>
      </c>
      <c r="C19" s="511" t="s">
        <v>99</v>
      </c>
      <c r="D19" s="511" t="s">
        <v>252</v>
      </c>
      <c r="E19" s="511" t="s">
        <v>247</v>
      </c>
      <c r="F19" s="511" t="s">
        <v>245</v>
      </c>
      <c r="G19" s="511" t="s">
        <v>246</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0.34624999408721924</v>
      </c>
      <c r="B20" s="119">
        <f>('Measured Data'!H7*'In Process Calc.'!J3+'In Process Calc.'!E4*'Measured Data'!H8)/2/1000</f>
        <v>0.66674998864746093</v>
      </c>
      <c r="C20" s="118">
        <f xml:space="preserve"> (Regression!$CE$13*6*'Growth Regression'!S2^5+Regression!$CD$13*5*'Growth Regression'!S2^4+Regression!$CC$13*4*'Growth Regression'!S2^3+Regression!$CB$13*3*'Growth Regression'!S2^2  + Regression!$CA$13*2*'Growth Regression'!S2 + Regression!$BZ$13)/$A20</f>
        <v>-3.1743132469760522E-2</v>
      </c>
      <c r="D20" s="117">
        <f xml:space="preserve"> (Regression!$CE$19*6*'Growth Regression'!S2^5+Regression!$CD$19*5*'Growth Regression'!S2^4+Regression!$CC$19*4*'Growth Regression'!S2^3 +Regression!$CB$19*3*'Growth Regression'!S2^2 + Regression!$CA$19*2*'Growth Regression'!S2 + Regression!$BZ$19)/$B20</f>
        <v>-7.6275798642896547E-2</v>
      </c>
      <c r="E20" s="117">
        <f xml:space="preserve"> (Regression!$CE$14*6*'Growth Regression'!S2^5+Regression!$CD$14*5*'Growth Regression'!S2^4+Regression!$CC$14*4*'Growth Regression'!S2^3+Regression!$CB$14*3*'Growth Regression'!S2^2  + Regression!$CA$14*2*'Growth Regression'!S2 + Regression!$BZ$14)/$B20</f>
        <v>-1.6363427720700739E-2</v>
      </c>
      <c r="F20" s="117">
        <f xml:space="preserve"> (Regression!$CE$10*6*'Growth Regression'!S2^6+Regression!$CD$10*5*'Growth Regression'!S2^5+Regression!$CC$10*4*'Growth Regression'!S2^3+Regression!$CB$10*3*'Growth Regression'!S2^2  + Regression!$CA$10*2*'Growth Regression'!S2 + Regression!$BZ$10)/$B20</f>
        <v>6.8210324291244198E-2</v>
      </c>
      <c r="G20" s="117">
        <f xml:space="preserve"> (Regression!$CE$11*6*'Growth Regression'!S2^6+Regression!$CD$11*5*'Growth Regression'!S2^5+Regression!$CC$11*4*'Growth Regression'!S2^3+Regression!$CB$11*3*'Growth Regression'!S2^2  + Regression!$CA$11*2*'Growth Regression'!S2 + Regression!$BZ$11)/$B20</f>
        <v>6.9559044570637413E-2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0.63624999408721916</v>
      </c>
      <c r="B21" s="119">
        <f>('Measured Data'!H8*'In Process Calc.'!J4+'In Process Calc.'!E5*'Measured Data'!H9)/2/1000</f>
        <v>1.2152999886474609</v>
      </c>
      <c r="C21" s="118">
        <f xml:space="preserve"> (Regression!$CE$13*6*'Growth Regression'!S3^5+Regression!$CD$13*5*'Growth Regression'!S3^4+Regression!$CC$13*4*'Growth Regression'!S3^3+Regression!$CB$13*3*'Growth Regression'!S3^2  + Regression!$CA$13*2*'Growth Regression'!S3 + Regression!$BZ$13)/$A21</f>
        <v>8.6618527994357999E-2</v>
      </c>
      <c r="D21" s="117">
        <f xml:space="preserve"> (Regression!$CE$19*6*'Growth Regression'!S3^5+Regression!$CD$19*5*'Growth Regression'!S3^4+Regression!$CC$19*4*'Growth Regression'!S3^3 +Regression!$CB$19*3*'Growth Regression'!S3^2 + Regression!$CA$19*2*'Growth Regression'!S3 + Regression!$BZ$19)/$B21</f>
        <v>6.7525886130626642E-2</v>
      </c>
      <c r="E21" s="117">
        <f xml:space="preserve"> (Regression!$CE$14*6*'Growth Regression'!S3^5+Regression!$CD$14*5*'Growth Regression'!S3^4+Regression!$CC$14*4*'Growth Regression'!S3^3+Regression!$CB$14*3*'Growth Regression'!S3^2  + Regression!$CA$14*2*'Growth Regression'!S3 + Regression!$BZ$14)/$B21</f>
        <v>-1.4165038298557255E-2</v>
      </c>
      <c r="F21" s="117">
        <f xml:space="preserve"> (Regression!$CE$10*6*'Growth Regression'!S3^6+Regression!$CD$10*5*'Growth Regression'!S3^5+Regression!$CC$10*4*'Growth Regression'!S3^3+Regression!$CB$10*3*'Growth Regression'!S3^2  + Regression!$CA$10*2*'Growth Regression'!S3 + Regression!$BZ$10)/$B21</f>
        <v>9.5480416362657642E-3</v>
      </c>
      <c r="G21" s="117">
        <f xml:space="preserve"> (Regression!$CE$11*6*'Growth Regression'!S3^6+Regression!$CD$11*5*'Growth Regression'!S3^5+Regression!$CC$11*4*'Growth Regression'!S3^3+Regression!$CB$11*3*'Growth Regression'!S3^2  + Regression!$CA$11*2*'Growth Regression'!S3 + Regression!$BZ$11)/$B21</f>
        <v>1.0469630871844358E-2</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1.1636500108718872</v>
      </c>
      <c r="B22" s="119">
        <f>('Measured Data'!H9*'In Process Calc.'!J5+'In Process Calc.'!E6*'Measured Data'!H10)/2/1000</f>
        <v>2.1951874203956603</v>
      </c>
      <c r="C22" s="118">
        <f xml:space="preserve"> (Regression!$CE$13*6*'Growth Regression'!S4^5+Regression!$CD$13*5*'Growth Regression'!S4^4+Regression!$CC$13*4*'Growth Regression'!S4^3+Regression!$CB$13*3*'Growth Regression'!S4^2  + Regression!$CA$13*2*'Growth Regression'!S4 + Regression!$BZ$13)/$A22</f>
        <v>0.10474980475284927</v>
      </c>
      <c r="D22" s="117">
        <f xml:space="preserve"> (Regression!$CE$19*6*'Growth Regression'!S4^5+Regression!$CD$19*5*'Growth Regression'!S4^4+Regression!$CC$19*4*'Growth Regression'!S4^3 +Regression!$CB$19*3*'Growth Regression'!S4^2 + Regression!$CA$19*2*'Growth Regression'!S4 + Regression!$BZ$19)/$B22</f>
        <v>7.3787039022381137E-2</v>
      </c>
      <c r="E22" s="117">
        <f xml:space="preserve"> (Regression!$CE$14*6*'Growth Regression'!S4^5+Regression!$CD$14*5*'Growth Regression'!S4^4+Regression!$CC$14*4*'Growth Regression'!S4^3+Regression!$CB$14*3*'Growth Regression'!S4^2  + Regression!$CA$14*2*'Growth Regression'!S4 + Regression!$BZ$14)/$B22</f>
        <v>-3.8057943766748909E-3</v>
      </c>
      <c r="F22" s="117">
        <f xml:space="preserve"> (Regression!$CE$10*6*'Growth Regression'!S4^6+Regression!$CD$10*5*'Growth Regression'!S4^5+Regression!$CC$10*4*'Growth Regression'!S4^3+Regression!$CB$10*3*'Growth Regression'!S4^2  + Regression!$CA$10*2*'Growth Regression'!S4 + Regression!$BZ$10)/$B22</f>
        <v>-3.5288505103937384E-4</v>
      </c>
      <c r="G22" s="117">
        <f xml:space="preserve"> (Regression!$CE$11*6*'Growth Regression'!S4^6+Regression!$CD$11*5*'Growth Regression'!S4^5+Regression!$CC$11*4*'Growth Regression'!S4^3+Regression!$CB$11*3*'Growth Regression'!S4^2  + Regression!$CA$11*2*'Growth Regression'!S4 + Regression!$BZ$11)/$B22</f>
        <v>-4.6196812616518933E-3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2.0973000360488894</v>
      </c>
      <c r="B23" s="119">
        <f>('Measured Data'!H10*'In Process Calc.'!J6+'In Process Calc.'!E7*'Measured Data'!H11)/2/1000</f>
        <v>3.9142301172500615</v>
      </c>
      <c r="C23" s="118">
        <f xml:space="preserve"> (Regression!$CE$13*6*'Growth Regression'!S5^5+Regression!$CD$13*5*'Growth Regression'!S5^4+Regression!$CC$13*4*'Growth Regression'!S5^3+Regression!$CB$13*3*'Growth Regression'!S5^2  + Regression!$CA$13*2*'Growth Regression'!S5 + Regression!$BZ$13)/$A23</f>
        <v>8.7354887472543288E-2</v>
      </c>
      <c r="D23" s="117">
        <f xml:space="preserve"> (Regression!$CE$19*6*'Growth Regression'!S5^5+Regression!$CD$19*5*'Growth Regression'!S5^4+Regression!$CC$19*4*'Growth Regression'!S5^3 +Regression!$CB$19*3*'Growth Regression'!S5^2 + Regression!$CA$19*2*'Growth Regression'!S5 + Regression!$BZ$19)/$B23</f>
        <v>4.7908332507792757E-2</v>
      </c>
      <c r="E23" s="117">
        <f xml:space="preserve"> (Regression!$CE$14*6*'Growth Regression'!S5^5+Regression!$CD$14*5*'Growth Regression'!S5^4+Regression!$CC$14*4*'Growth Regression'!S5^3+Regression!$CB$14*3*'Growth Regression'!S5^2  + Regression!$CA$14*2*'Growth Regression'!S5 + Regression!$BZ$14)/$B23</f>
        <v>-2.8531310213022183E-3</v>
      </c>
      <c r="F23" s="117">
        <f xml:space="preserve"> (Regression!$CE$10*6*'Growth Regression'!S5^6+Regression!$CD$10*5*'Growth Regression'!S5^5+Regression!$CC$10*4*'Growth Regression'!S5^3+Regression!$CB$10*3*'Growth Regression'!S5^2  + Regression!$CA$10*2*'Growth Regression'!S5 + Regression!$BZ$10)/$B23</f>
        <v>9.976109249474369E-4</v>
      </c>
      <c r="G23" s="117">
        <f xml:space="preserve"> (Regression!$CE$11*6*'Growth Regression'!S5^6+Regression!$CD$11*5*'Growth Regression'!S5^5+Regression!$CC$11*4*'Growth Regression'!S5^3+Regression!$CB$11*3*'Growth Regression'!S5^2  + Regression!$CA$11*2*'Growth Regression'!S5 + Regression!$BZ$11)/$B23</f>
        <v>-5.6642413545730441E-3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3.365450008010864</v>
      </c>
      <c r="B24" s="119">
        <f>('Measured Data'!H11*'In Process Calc.'!J7+'In Process Calc.'!E8*'Measured Data'!H12)/2/1000</f>
        <v>6.2862009091555704</v>
      </c>
      <c r="C24" s="118">
        <f xml:space="preserve"> (Regression!$CE$13*6*'Growth Regression'!S6^5+Regression!$CD$13*5*'Growth Regression'!S6^4+Regression!$CC$13*4*'Growth Regression'!S6^3+Regression!$CB$13*3*'Growth Regression'!S6^2  + Regression!$CA$13*2*'Growth Regression'!S6 + Regression!$BZ$13)/$A24</f>
        <v>7.1390025950854183E-2</v>
      </c>
      <c r="D24" s="117">
        <f xml:space="preserve"> (Regression!$CE$19*6*'Growth Regression'!S6^5+Regression!$CD$19*5*'Growth Regression'!S6^4+Regression!$CC$19*4*'Growth Regression'!S6^3 +Regression!$CB$19*3*'Growth Regression'!S6^2 + Regression!$CA$19*2*'Growth Regression'!S6 + Regression!$BZ$19)/$B24</f>
        <v>2.7446987826710532E-2</v>
      </c>
      <c r="E24" s="117">
        <f xml:space="preserve"> (Regression!$CE$14*6*'Growth Regression'!S6^5+Regression!$CD$14*5*'Growth Regression'!S6^4+Regression!$CC$14*4*'Growth Regression'!S6^3+Regression!$CB$14*3*'Growth Regression'!S6^2  + Regression!$CA$14*2*'Growth Regression'!S6 + Regression!$BZ$14)/$B24</f>
        <v>-4.7602498468785771E-3</v>
      </c>
      <c r="F24" s="117">
        <f xml:space="preserve"> (Regression!$CE$10*6*'Growth Regression'!S6^6+Regression!$CD$10*5*'Growth Regression'!S6^5+Regression!$CC$10*4*'Growth Regression'!S6^3+Regression!$CB$10*3*'Growth Regression'!S6^2  + Regression!$CA$10*2*'Growth Regression'!S6 + Regression!$BZ$10)/$B24</f>
        <v>2.9977965914798912E-3</v>
      </c>
      <c r="G24" s="117">
        <f xml:space="preserve"> (Regression!$CE$11*6*'Growth Regression'!S6^6+Regression!$CD$11*5*'Growth Regression'!S6^5+Regression!$CC$11*4*'Growth Regression'!S6^3+Regression!$CB$11*3*'Growth Regression'!S6^2  + Regression!$CA$11*2*'Growth Regression'!S6 + Regression!$BZ$11)/$B24</f>
        <v>-4.221465410686521E-3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1" t="s">
        <v>478</v>
      </c>
      <c r="AM24" s="542"/>
      <c r="AN24" s="542"/>
      <c r="AO24" s="542"/>
      <c r="AP24" s="542"/>
      <c r="AQ24" s="542"/>
      <c r="AR24" s="542"/>
      <c r="AS24" s="542"/>
      <c r="AT24" s="542"/>
      <c r="AU24" s="542"/>
      <c r="AV24" s="542"/>
      <c r="AW24" s="542"/>
      <c r="AX24" s="542"/>
      <c r="AY24" s="542"/>
      <c r="AZ24" s="542"/>
      <c r="BA24" s="542"/>
      <c r="BB24" s="542"/>
      <c r="BC24" s="542"/>
      <c r="BD24" s="542"/>
      <c r="BE24" s="542"/>
      <c r="BF24" s="542"/>
      <c r="BG24" s="542"/>
      <c r="BH24" s="543"/>
      <c r="BI24" s="65"/>
    </row>
    <row r="25" spans="1:61" ht="64">
      <c r="A25" s="117">
        <f>AVERAGE('Measured Data'!H12:H13)</f>
        <v>5.2894500328063963</v>
      </c>
      <c r="B25" s="119">
        <f>('Measured Data'!H12*'In Process Calc.'!J8+'In Process Calc.'!E9*'Measured Data'!H13)/2/1000</f>
        <v>9.9414225397716525</v>
      </c>
      <c r="C25" s="118">
        <f xml:space="preserve"> (Regression!$CE$13*6*'Growth Regression'!S7^5+Regression!$CD$13*5*'Growth Regression'!S7^4+Regression!$CC$13*4*'Growth Regression'!S7^3+Regression!$CB$13*3*'Growth Regression'!S7^2  + Regression!$CA$13*2*'Growth Regression'!S7 + Regression!$BZ$13)/$A25</f>
        <v>5.6083032292987202E-2</v>
      </c>
      <c r="D25" s="117">
        <f xml:space="preserve"> (Regression!$CE$19*6*'Growth Regression'!S7^5+Regression!$CD$19*5*'Growth Regression'!S7^4+Regression!$CC$19*4*'Growth Regression'!S7^3 +Regression!$CB$19*3*'Growth Regression'!S7^2 + Regression!$CA$19*2*'Growth Regression'!S7 + Regression!$BZ$19)/$B25</f>
        <v>1.2622392982086726E-2</v>
      </c>
      <c r="E25" s="117">
        <f xml:space="preserve"> (Regression!$CE$14*6*'Growth Regression'!S7^5+Regression!$CD$14*5*'Growth Regression'!S7^4+Regression!$CC$14*4*'Growth Regression'!S7^3+Regression!$CB$14*3*'Growth Regression'!S7^2  + Regression!$CA$14*2*'Growth Regression'!S7 + Regression!$BZ$14)/$B25</f>
        <v>-5.9778023863321372E-3</v>
      </c>
      <c r="F25" s="117">
        <f xml:space="preserve"> (Regression!$CE$10*6*'Growth Regression'!S7^6+Regression!$CD$10*5*'Growth Regression'!S7^5+Regression!$CC$10*4*'Growth Regression'!S7^3+Regression!$CB$10*3*'Growth Regression'!S7^2  + Regression!$CA$10*2*'Growth Regression'!S7 + Regression!$BZ$10)/$B25</f>
        <v>4.0465603951615999E-3</v>
      </c>
      <c r="G25" s="117">
        <f xml:space="preserve"> (Regression!$CE$11*6*'Growth Regression'!S7^6+Regression!$CD$11*5*'Growth Regression'!S7^5+Regression!$CC$11*4*'Growth Regression'!S7^3+Regression!$CB$11*3*'Growth Regression'!S7^2  + Regression!$CA$11*2*'Growth Regression'!S7 + Regression!$BZ$11)/$B25</f>
        <v>-2.547840897639867E-3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366</v>
      </c>
      <c r="AL25" s="257" t="s">
        <v>17</v>
      </c>
      <c r="AM25" s="257" t="s">
        <v>36</v>
      </c>
      <c r="AN25" s="257" t="s">
        <v>13</v>
      </c>
      <c r="AO25" s="257" t="s">
        <v>11</v>
      </c>
      <c r="AP25" s="258" t="s">
        <v>340</v>
      </c>
      <c r="AQ25" s="257" t="s">
        <v>7</v>
      </c>
      <c r="AR25" s="257" t="s">
        <v>34</v>
      </c>
      <c r="AS25" s="257" t="s">
        <v>12</v>
      </c>
      <c r="AT25" s="257" t="s">
        <v>16</v>
      </c>
      <c r="AU25" s="257" t="s">
        <v>15</v>
      </c>
      <c r="AV25" s="257" t="s">
        <v>38</v>
      </c>
      <c r="AW25" s="257" t="s">
        <v>8</v>
      </c>
      <c r="AX25" s="257" t="s">
        <v>39</v>
      </c>
      <c r="AY25" s="257" t="s">
        <v>40</v>
      </c>
      <c r="AZ25" s="257" t="s">
        <v>19</v>
      </c>
      <c r="BA25" s="257" t="s">
        <v>408</v>
      </c>
      <c r="BB25" s="257" t="s">
        <v>412</v>
      </c>
      <c r="BC25" s="258" t="s">
        <v>341</v>
      </c>
      <c r="BD25" s="257" t="s">
        <v>14</v>
      </c>
      <c r="BE25" s="257" t="s">
        <v>35</v>
      </c>
      <c r="BF25" s="258" t="s">
        <v>342</v>
      </c>
      <c r="BG25" s="257" t="s">
        <v>18</v>
      </c>
      <c r="BH25" s="257" t="s">
        <v>37</v>
      </c>
      <c r="BI25" s="293"/>
    </row>
    <row r="26" spans="1:61">
      <c r="A26" s="117">
        <f>AVERAGE('Measured Data'!H13:H14)</f>
        <v>7.9951501918792722</v>
      </c>
      <c r="B26" s="119">
        <f>('Measured Data'!H13*'In Process Calc.'!J9+'In Process Calc.'!E10*'Measured Data'!H14)/2/1000</f>
        <v>15.117870985388269</v>
      </c>
      <c r="C26" s="118">
        <f xml:space="preserve"> (Regression!$CE$13*6*'Growth Regression'!S8^5+Regression!$CD$13*5*'Growth Regression'!S8^4+Regression!$CC$13*4*'Growth Regression'!S8^3+Regression!$CB$13*3*'Growth Regression'!S8^2  + Regression!$CA$13*2*'Growth Regression'!S8 + Regression!$BZ$13)/$A26</f>
        <v>4.4434012533676057E-2</v>
      </c>
      <c r="D26" s="117">
        <f xml:space="preserve"> (Regression!$CE$19*6*'Growth Regression'!S8^5+Regression!$CD$19*5*'Growth Regression'!S8^4+Regression!$CC$19*4*'Growth Regression'!S8^3 +Regression!$CB$19*3*'Growth Regression'!S8^2 + Regression!$CA$19*2*'Growth Regression'!S8 + Regression!$BZ$19)/$B26</f>
        <v>3.3292085502942058E-3</v>
      </c>
      <c r="E26" s="117">
        <f xml:space="preserve"> (Regression!$CE$14*6*'Growth Regression'!S8^5+Regression!$CD$14*5*'Growth Regression'!S8^4+Regression!$CC$14*4*'Growth Regression'!S8^3+Regression!$CB$14*3*'Growth Regression'!S8^2  + Regression!$CA$14*2*'Growth Regression'!S8 + Regression!$BZ$14)/$B26</f>
        <v>-5.8790187776064391E-3</v>
      </c>
      <c r="F26" s="117">
        <f xml:space="preserve"> (Regression!$CE$10*6*'Growth Regression'!S8^6+Regression!$CD$10*5*'Growth Regression'!S8^5+Regression!$CC$10*4*'Growth Regression'!S8^3+Regression!$CB$10*3*'Growth Regression'!S8^2  + Regression!$CA$10*2*'Growth Regression'!S8 + Regression!$BZ$10)/$B26</f>
        <v>4.3137949991245341E-3</v>
      </c>
      <c r="G26" s="117">
        <f xml:space="preserve"> (Regression!$CE$11*6*'Growth Regression'!S8^6+Regression!$CD$11*5*'Growth Regression'!S8^5+Regression!$CC$11*4*'Growth Regression'!S8^3+Regression!$CB$11*3*'Growth Regression'!S8^2  + Regression!$CA$11*2*'Growth Regression'!S8 + Regression!$BZ$11)/$B26</f>
        <v>-1.2852282678583935E-3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0.61666666675591841</v>
      </c>
      <c r="AL26" s="290">
        <f>'Measured Data'!U7</f>
        <v>6.5000000000000002E-2</v>
      </c>
      <c r="AM26" s="290">
        <f>'Measured Data'!V7</f>
        <v>2.2170000000000001</v>
      </c>
      <c r="AN26" s="290">
        <f>'Measured Data'!W7</f>
        <v>6.718</v>
      </c>
      <c r="AO26" s="290">
        <f>'Measured Data'!X7</f>
        <v>1.8839999999999999</v>
      </c>
      <c r="AP26" s="290">
        <f>'Measured Data'!Y7</f>
        <v>1.123</v>
      </c>
      <c r="AQ26" s="290">
        <f>'Measured Data'!Z7</f>
        <v>34.08157374719687</v>
      </c>
      <c r="AR26" s="290">
        <f>'Measured Data'!AA7</f>
        <v>0</v>
      </c>
      <c r="AS26" s="290">
        <f>'Measured Data'!AB7</f>
        <v>2.4990000000000001</v>
      </c>
      <c r="AT26" s="290">
        <f>'Measured Data'!AC7</f>
        <v>0.21199999999999999</v>
      </c>
      <c r="AU26" s="290">
        <f>'Measured Data'!AD7</f>
        <v>1.3089999999999999</v>
      </c>
      <c r="AV26" s="290">
        <f>'Measured Data'!AE7</f>
        <v>2.9790000000000001</v>
      </c>
      <c r="AW26" s="290">
        <f>'Measured Data'!AF7</f>
        <v>0.6660746003552398</v>
      </c>
      <c r="AX26" s="290">
        <f>'Measured Data'!AG7</f>
        <v>4.5869999999999997</v>
      </c>
      <c r="AY26" s="290">
        <f>'Measured Data'!AH7</f>
        <v>3.5350000000000001</v>
      </c>
      <c r="AZ26" s="290">
        <f>'Measured Data'!AI7</f>
        <v>0.83099999999999996</v>
      </c>
      <c r="BA26" s="290">
        <f>'Measured Data'!AJ7</f>
        <v>0.64</v>
      </c>
      <c r="BB26" s="290">
        <f>'Measured Data'!AK7</f>
        <v>1.357</v>
      </c>
      <c r="BC26" s="290">
        <f>'Measured Data'!AL7</f>
        <v>5.3029999999999999</v>
      </c>
      <c r="BD26" s="290">
        <f>'Measured Data'!AM7</f>
        <v>5.1929999999999996</v>
      </c>
      <c r="BE26" s="290">
        <f>'Measured Data'!AN7</f>
        <v>3.2669999999999999</v>
      </c>
      <c r="BF26" s="290">
        <f>'Measured Data'!AO7</f>
        <v>1.141</v>
      </c>
      <c r="BG26" s="290">
        <f>'Measured Data'!AP7</f>
        <v>1.5580000000000001</v>
      </c>
      <c r="BH26" s="290">
        <f>'Measured Data'!AQ7</f>
        <v>3.2669999999999999</v>
      </c>
      <c r="BI26" s="65"/>
    </row>
    <row r="27" spans="1:61">
      <c r="A27" s="117">
        <f>AVERAGE('Measured Data'!H14:H15)</f>
        <v>10.724650247192383</v>
      </c>
      <c r="B27" s="119">
        <f>('Measured Data'!H14*'In Process Calc.'!J10+'In Process Calc.'!E11*'Measured Data'!H15)/2/1000</f>
        <v>20.483019523130572</v>
      </c>
      <c r="C27" s="118">
        <f xml:space="preserve"> (Regression!$CE$13*6*'Growth Regression'!S9^5+Regression!$CD$13*5*'Growth Regression'!S9^4+Regression!$CC$13*4*'Growth Regression'!S9^3+Regression!$CB$13*3*'Growth Regression'!S9^2  + Regression!$CA$13*2*'Growth Regression'!S9 + Regression!$BZ$13)/$A27</f>
        <v>3.8333657341907759E-2</v>
      </c>
      <c r="D27" s="117">
        <f xml:space="preserve"> (Regression!$CE$19*6*'Growth Regression'!S9^5+Regression!$CD$19*5*'Growth Regression'!S9^4+Regression!$CC$19*4*'Growth Regression'!S9^3 +Regression!$CB$19*3*'Growth Regression'!S9^2 + Regression!$CA$19*2*'Growth Regression'!S9 + Regression!$BZ$19)/$B27</f>
        <v>-1.7208527208989754E-3</v>
      </c>
      <c r="E27" s="117">
        <f xml:space="preserve"> (Regression!$CE$14*6*'Growth Regression'!S9^5+Regression!$CD$14*5*'Growth Regression'!S9^4+Regression!$CC$14*4*'Growth Regression'!S9^3+Regression!$CB$14*3*'Growth Regression'!S9^2  + Regression!$CA$14*2*'Growth Regression'!S9 + Regression!$BZ$14)/$B27</f>
        <v>-4.8486266753161615E-3</v>
      </c>
      <c r="F27" s="117">
        <f xml:space="preserve"> (Regression!$CE$10*6*'Growth Regression'!S9^6+Regression!$CD$10*5*'Growth Regression'!S9^5+Regression!$CC$10*4*'Growth Regression'!S9^3+Regression!$CB$10*3*'Growth Regression'!S9^2  + Regression!$CA$10*2*'Growth Regression'!S9 + Regression!$BZ$10)/$B27</f>
        <v>4.2431568526381368E-3</v>
      </c>
      <c r="G27" s="117">
        <f xml:space="preserve"> (Regression!$CE$11*6*'Growth Regression'!S9^6+Regression!$CD$11*5*'Growth Regression'!S9^5+Regression!$CC$11*4*'Growth Regression'!S9^3+Regression!$CB$11*3*'Growth Regression'!S9^2  + Regression!$CA$11*2*'Growth Regression'!S9 + Regression!$BZ$11)/$B27</f>
        <v>-5.2406622778602887E-4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21.28333333338378</v>
      </c>
      <c r="AL27" s="290">
        <f>'Measured Data'!U8</f>
        <v>7.2999999999999995E-2</v>
      </c>
      <c r="AM27" s="290">
        <f>'Measured Data'!V8</f>
        <v>2.133</v>
      </c>
      <c r="AN27" s="290">
        <f>'Measured Data'!W8</f>
        <v>6.3630000000000004</v>
      </c>
      <c r="AO27" s="290">
        <f>'Measured Data'!X8</f>
        <v>1.9319999999999999</v>
      </c>
      <c r="AP27" s="290">
        <f>'Measured Data'!Y8</f>
        <v>1.19</v>
      </c>
      <c r="AQ27" s="290">
        <f>'Measured Data'!Z8</f>
        <v>32.860409867004151</v>
      </c>
      <c r="AR27" s="290">
        <f>'Measured Data'!AA8</f>
        <v>0</v>
      </c>
      <c r="AS27" s="290">
        <f>'Measured Data'!AB8</f>
        <v>2.5510000000000002</v>
      </c>
      <c r="AT27" s="290">
        <f>'Measured Data'!AC8</f>
        <v>0.27300000000000002</v>
      </c>
      <c r="AU27" s="290">
        <f>'Measured Data'!AD8</f>
        <v>1.6679999999999999</v>
      </c>
      <c r="AV27" s="290">
        <f>'Measured Data'!AE8</f>
        <v>2.9820000000000002</v>
      </c>
      <c r="AW27" s="290">
        <f>'Measured Data'!AF8</f>
        <v>1.3321492007104796</v>
      </c>
      <c r="AX27" s="290">
        <f>'Measured Data'!AG8</f>
        <v>4.5999999999999996</v>
      </c>
      <c r="AY27" s="290">
        <f>'Measured Data'!AH8</f>
        <v>3.6219999999999999</v>
      </c>
      <c r="AZ27" s="290">
        <f>'Measured Data'!AI8</f>
        <v>0.82199999999999995</v>
      </c>
      <c r="BA27" s="290">
        <f>'Measured Data'!AJ8</f>
        <v>0.8</v>
      </c>
      <c r="BB27" s="290">
        <f>'Measured Data'!AK8</f>
        <v>1.3779999999999999</v>
      </c>
      <c r="BC27" s="290">
        <f>'Measured Data'!AL8</f>
        <v>5.3490000000000002</v>
      </c>
      <c r="BD27" s="290">
        <f>'Measured Data'!AM8</f>
        <v>5.1020000000000003</v>
      </c>
      <c r="BE27" s="290">
        <f>'Measured Data'!AN8</f>
        <v>3.33</v>
      </c>
      <c r="BF27" s="290">
        <f>'Measured Data'!AO8</f>
        <v>1.153</v>
      </c>
      <c r="BG27" s="290">
        <f>'Measured Data'!AP8</f>
        <v>1.5720000000000001</v>
      </c>
      <c r="BH27" s="290">
        <f>'Measured Data'!AQ8</f>
        <v>3.302</v>
      </c>
      <c r="BI27" s="65"/>
    </row>
    <row r="28" spans="1:61">
      <c r="A28" s="117">
        <f>AVERAGE('Measured Data'!H15:H16)</f>
        <v>13.233850343322754</v>
      </c>
      <c r="B28" s="119">
        <f>('Measured Data'!H15*'In Process Calc.'!J11+'In Process Calc.'!E12*'Measured Data'!H16)/2/1000</f>
        <v>25.406145430293051</v>
      </c>
      <c r="C28" s="118">
        <f xml:space="preserve"> (Regression!$CE$13*6*'Growth Regression'!S10^5+Regression!$CD$13*5*'Growth Regression'!S10^4+Regression!$CC$13*4*'Growth Regression'!S10^3+Regression!$CB$13*3*'Growth Regression'!S10^2  + Regression!$CA$13*2*'Growth Regression'!S10 + Regression!$BZ$13)/$A28</f>
        <v>3.5178794970848686E-2</v>
      </c>
      <c r="D28" s="117">
        <f xml:space="preserve"> (Regression!$CE$19*6*'Growth Regression'!S10^5+Regression!$CD$19*5*'Growth Regression'!S10^4+Regression!$CC$19*4*'Growth Regression'!S10^3 +Regression!$CB$19*3*'Growth Regression'!S10^2 + Regression!$CA$19*2*'Growth Regression'!S10 + Regression!$BZ$19)/$B28</f>
        <v>-4.6124712350458638E-3</v>
      </c>
      <c r="E28" s="117">
        <f xml:space="preserve"> (Regression!$CE$14*6*'Growth Regression'!S10^5+Regression!$CD$14*5*'Growth Regression'!S10^4+Regression!$CC$14*4*'Growth Regression'!S10^3+Regression!$CB$14*3*'Growth Regression'!S10^2  + Regression!$CA$14*2*'Growth Regression'!S10 + Regression!$BZ$14)/$B28</f>
        <v>-3.0764671126485782E-3</v>
      </c>
      <c r="F28" s="117">
        <f xml:space="preserve"> (Regression!$CE$10*6*'Growth Regression'!S10^6+Regression!$CD$10*5*'Growth Regression'!S10^5+Regression!$CC$10*4*'Growth Regression'!S10^3+Regression!$CB$10*3*'Growth Regression'!S10^2  + Regression!$CA$10*2*'Growth Regression'!S10 + Regression!$BZ$10)/$B28</f>
        <v>3.967046310082694E-3</v>
      </c>
      <c r="G28" s="117">
        <f xml:space="preserve"> (Regression!$CE$11*6*'Growth Regression'!S10^6+Regression!$CD$11*5*'Growth Regression'!S10^5+Regression!$CC$11*4*'Growth Regression'!S10^3+Regression!$CB$11*3*'Growth Regression'!S10^2  + Regression!$CA$11*2*'Growth Regression'!S10 + Regression!$BZ$11)/$B28</f>
        <v>-3.4304008925336641E-5</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48.550000000046566</v>
      </c>
      <c r="AL28" s="290">
        <f>'Measured Data'!U9</f>
        <v>6.8000000000000005E-2</v>
      </c>
      <c r="AM28" s="290">
        <f>'Measured Data'!V9</f>
        <v>1.657</v>
      </c>
      <c r="AN28" s="290">
        <f>'Measured Data'!W9</f>
        <v>5.1859999999999999</v>
      </c>
      <c r="AO28" s="290">
        <f>'Measured Data'!X9</f>
        <v>1.8180000000000001</v>
      </c>
      <c r="AP28" s="290">
        <f>'Measured Data'!Y9</f>
        <v>1.083</v>
      </c>
      <c r="AQ28" s="290">
        <f>'Measured Data'!Z9</f>
        <v>32.083305579608783</v>
      </c>
      <c r="AR28" s="290">
        <f>'Measured Data'!AA9</f>
        <v>0.33200000000000002</v>
      </c>
      <c r="AS28" s="290">
        <f>'Measured Data'!AB9</f>
        <v>2.355</v>
      </c>
      <c r="AT28" s="290">
        <f>'Measured Data'!AC9</f>
        <v>0.38600000000000001</v>
      </c>
      <c r="AU28" s="290">
        <f>'Measured Data'!AD9</f>
        <v>1.4370000000000001</v>
      </c>
      <c r="AV28" s="290">
        <f>'Measured Data'!AE9</f>
        <v>2.6389999999999998</v>
      </c>
      <c r="AW28" s="290">
        <f>'Measured Data'!AF9</f>
        <v>2.5532859680284195</v>
      </c>
      <c r="AX28" s="290">
        <f>'Measured Data'!AG9</f>
        <v>4.0759999999999996</v>
      </c>
      <c r="AY28" s="290">
        <f>'Measured Data'!AH9</f>
        <v>3.2919999999999998</v>
      </c>
      <c r="AZ28" s="290">
        <f>'Measured Data'!AI9</f>
        <v>0.73199999999999998</v>
      </c>
      <c r="BA28" s="290">
        <f>'Measured Data'!AJ9</f>
        <v>1.26</v>
      </c>
      <c r="BB28" s="290">
        <f>'Measured Data'!AK9</f>
        <v>1.228</v>
      </c>
      <c r="BC28" s="290">
        <f>'Measured Data'!AL9</f>
        <v>4.8490000000000002</v>
      </c>
      <c r="BD28" s="290">
        <f>'Measured Data'!AM9</f>
        <v>4.431</v>
      </c>
      <c r="BE28" s="290">
        <f>'Measured Data'!AN9</f>
        <v>3.0129999999999999</v>
      </c>
      <c r="BF28" s="290">
        <f>'Measured Data'!AO9</f>
        <v>1.014</v>
      </c>
      <c r="BG28" s="290">
        <f>'Measured Data'!AP9</f>
        <v>1.454</v>
      </c>
      <c r="BH28" s="290">
        <f>'Measured Data'!AQ9</f>
        <v>2.9649999999999999</v>
      </c>
      <c r="BI28" s="65"/>
    </row>
    <row r="29" spans="1:61">
      <c r="A29" s="117">
        <f>AVERAGE('Measured Data'!H16:H17)</f>
        <v>14.780900342559814</v>
      </c>
      <c r="B29" s="119">
        <f>('Measured Data'!H16*'In Process Calc.'!J12+'In Process Calc.'!E13*'Measured Data'!H17)/2/1000</f>
        <v>27.938638487563516</v>
      </c>
      <c r="C29" s="118">
        <f xml:space="preserve"> (Regression!$CE$13*6*'Growth Regression'!S11^5+Regression!$CD$13*5*'Growth Regression'!S11^4+Regression!$CC$13*4*'Growth Regression'!S11^3+Regression!$CB$13*3*'Growth Regression'!S11^2  + Regression!$CA$13*2*'Growth Regression'!S11 + Regression!$BZ$13)/$A29</f>
        <v>3.5112543937471381E-2</v>
      </c>
      <c r="D29" s="117">
        <f xml:space="preserve"> (Regression!$CE$19*6*'Growth Regression'!S11^5+Regression!$CD$19*5*'Growth Regression'!S11^4+Regression!$CC$19*4*'Growth Regression'!S11^3 +Regression!$CB$19*3*'Growth Regression'!S11^2 + Regression!$CA$19*2*'Growth Regression'!S11 + Regression!$BZ$19)/$B29</f>
        <v>-6.3486445780171772E-3</v>
      </c>
      <c r="E29" s="117">
        <f xml:space="preserve"> (Regression!$CE$14*6*'Growth Regression'!S11^5+Regression!$CD$14*5*'Growth Regression'!S11^4+Regression!$CC$14*4*'Growth Regression'!S11^3+Regression!$CB$14*3*'Growth Regression'!S11^2  + Regression!$CA$14*2*'Growth Regression'!S11 + Regression!$BZ$14)/$B29</f>
        <v>-7.3909260901879319E-4</v>
      </c>
      <c r="F29" s="117">
        <f xml:space="preserve"> (Regression!$CE$10*6*'Growth Regression'!S11^6+Regression!$CD$10*5*'Growth Regression'!S11^5+Regression!$CC$10*4*'Growth Regression'!S11^3+Regression!$CB$10*3*'Growth Regression'!S11^2  + Regression!$CA$10*2*'Growth Regression'!S11 + Regression!$BZ$10)/$B29</f>
        <v>3.6323570338097954E-3</v>
      </c>
      <c r="G29" s="117">
        <f xml:space="preserve"> (Regression!$CE$11*6*'Growth Regression'!S11^6+Regression!$CD$11*5*'Growth Regression'!S11^5+Regression!$CC$11*4*'Growth Regression'!S11^3+Regression!$CB$11*3*'Growth Regression'!S11^2  + Regression!$CA$11*2*'Growth Regression'!S11 + Regression!$BZ$11)/$B29</f>
        <v>3.0244009854577393E-4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71.050000000046566</v>
      </c>
      <c r="AL29" s="290">
        <f>'Measured Data'!U10</f>
        <v>0.10199999999999999</v>
      </c>
      <c r="AM29" s="290">
        <f>'Measured Data'!V10</f>
        <v>1.6890000000000001</v>
      </c>
      <c r="AN29" s="290">
        <f>'Measured Data'!W10</f>
        <v>4.5129999999999999</v>
      </c>
      <c r="AO29" s="290">
        <f>'Measured Data'!X10</f>
        <v>1.6950000000000001</v>
      </c>
      <c r="AP29" s="290">
        <f>'Measured Data'!Y10</f>
        <v>0.96799999999999997</v>
      </c>
      <c r="AQ29" s="290">
        <f>'Measured Data'!Z10</f>
        <v>29.807500166522345</v>
      </c>
      <c r="AR29" s="290">
        <f>'Measured Data'!AA10</f>
        <v>0.35599999999999998</v>
      </c>
      <c r="AS29" s="290">
        <f>'Measured Data'!AB10</f>
        <v>2.2269999999999999</v>
      </c>
      <c r="AT29" s="290">
        <f>'Measured Data'!AC10</f>
        <v>0.53200000000000003</v>
      </c>
      <c r="AU29" s="290">
        <f>'Measured Data'!AD10</f>
        <v>0.97699999999999998</v>
      </c>
      <c r="AV29" s="290">
        <f>'Measured Data'!AE10</f>
        <v>2.4089999999999998</v>
      </c>
      <c r="AW29" s="290">
        <f>'Measured Data'!AF10</f>
        <v>3.4413854351687392</v>
      </c>
      <c r="AX29" s="290">
        <f>'Measured Data'!AG10</f>
        <v>3.72</v>
      </c>
      <c r="AY29" s="290">
        <f>'Measured Data'!AH10</f>
        <v>3.0379999999999998</v>
      </c>
      <c r="AZ29" s="290">
        <f>'Measured Data'!AI10</f>
        <v>0.64900000000000002</v>
      </c>
      <c r="BA29" s="290">
        <f>'Measured Data'!AJ10</f>
        <v>1.8</v>
      </c>
      <c r="BB29" s="290">
        <f>'Measured Data'!AK10</f>
        <v>1.123</v>
      </c>
      <c r="BC29" s="290">
        <f>'Measured Data'!AL10</f>
        <v>4.5590000000000002</v>
      </c>
      <c r="BD29" s="290">
        <f>'Measured Data'!AM10</f>
        <v>3.9089999999999998</v>
      </c>
      <c r="BE29" s="290">
        <f>'Measured Data'!AN10</f>
        <v>2.7930000000000001</v>
      </c>
      <c r="BF29" s="290">
        <f>'Measured Data'!AO10</f>
        <v>0.90500000000000003</v>
      </c>
      <c r="BG29" s="290">
        <f>'Measured Data'!AP10</f>
        <v>1.35</v>
      </c>
      <c r="BH29" s="290">
        <f>'Measured Data'!AQ10</f>
        <v>2.7189999999999999</v>
      </c>
      <c r="BI29" s="65"/>
    </row>
    <row r="30" spans="1:61">
      <c r="A30" s="117">
        <f>AVERAGE('Measured Data'!H17:H18)</f>
        <v>15.395500047302246</v>
      </c>
      <c r="B30" s="119">
        <f>('Measured Data'!H17*'In Process Calc.'!J13+'In Process Calc.'!E14*'Measured Data'!H18)/2/1000</f>
        <v>28.602370344228344</v>
      </c>
      <c r="C30" s="118">
        <f xml:space="preserve"> (Regression!$CE$13*6*'Growth Regression'!S12^5+Regression!$CD$13*5*'Growth Regression'!S12^4+Regression!$CC$13*4*'Growth Regression'!S12^3+Regression!$CB$13*3*'Growth Regression'!S12^2  + Regression!$CA$13*2*'Growth Regression'!S12 + Regression!$BZ$13)/$A30</f>
        <v>3.704314696601755E-2</v>
      </c>
      <c r="D30" s="117">
        <f xml:space="preserve"> (Regression!$CE$19*6*'Growth Regression'!S12^5+Regression!$CD$19*5*'Growth Regression'!S12^4+Regression!$CC$19*4*'Growth Regression'!S12^3 +Regression!$CB$19*3*'Growth Regression'!S12^2 + Regression!$CA$19*2*'Growth Regression'!S12 + Regression!$BZ$19)/$B30</f>
        <v>-6.7497745704583811E-3</v>
      </c>
      <c r="E30" s="117">
        <f xml:space="preserve"> (Regression!$CE$14*6*'Growth Regression'!S12^5+Regression!$CD$14*5*'Growth Regression'!S12^4+Regression!$CC$14*4*'Growth Regression'!S12^3+Regression!$CB$14*3*'Growth Regression'!S12^2  + Regression!$CA$14*2*'Growth Regression'!S12 + Regression!$BZ$14)/$B30</f>
        <v>2.0918688210202433E-3</v>
      </c>
      <c r="F30" s="117">
        <f xml:space="preserve"> (Regression!$CE$10*6*'Growth Regression'!S12^6+Regression!$CD$10*5*'Growth Regression'!S12^5+Regression!$CC$10*4*'Growth Regression'!S12^3+Regression!$CB$10*3*'Growth Regression'!S12^2  + Regression!$CA$10*2*'Growth Regression'!S12 + Regression!$BZ$10)/$B30</f>
        <v>2.9216592443821444E-3</v>
      </c>
      <c r="G30" s="117">
        <f xml:space="preserve"> (Regression!$CE$11*6*'Growth Regression'!S12^6+Regression!$CD$11*5*'Growth Regression'!S12^5+Regression!$CC$11*4*'Growth Regression'!S12^3+Regression!$CB$11*3*'Growth Regression'!S12^2  + Regression!$CA$11*2*'Growth Regression'!S12 + Regression!$BZ$11)/$B30</f>
        <v>5.3087905010688018E-4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95.53333333338378</v>
      </c>
      <c r="AL30" s="290">
        <f>'Measured Data'!U11</f>
        <v>0.26300000000000001</v>
      </c>
      <c r="AM30" s="290">
        <f>'Measured Data'!V11</f>
        <v>2.105</v>
      </c>
      <c r="AN30" s="290">
        <f>'Measured Data'!W11</f>
        <v>5.7670000000000003</v>
      </c>
      <c r="AO30" s="290">
        <f>'Measured Data'!X11</f>
        <v>1.629</v>
      </c>
      <c r="AP30" s="290">
        <f>'Measured Data'!Y11</f>
        <v>0.85899999999999999</v>
      </c>
      <c r="AQ30" s="290">
        <f>'Measured Data'!Z11</f>
        <v>33.193454561602174</v>
      </c>
      <c r="AR30" s="290">
        <f>'Measured Data'!AA11</f>
        <v>0.63500000000000001</v>
      </c>
      <c r="AS30" s="290">
        <f>'Measured Data'!AB11</f>
        <v>6.34</v>
      </c>
      <c r="AT30" s="290">
        <f>'Measured Data'!AC11</f>
        <v>0.876</v>
      </c>
      <c r="AU30" s="290">
        <f>'Measured Data'!AD11</f>
        <v>1.446</v>
      </c>
      <c r="AV30" s="290">
        <f>'Measured Data'!AE11</f>
        <v>2.9390000000000001</v>
      </c>
      <c r="AW30" s="290">
        <f>'Measured Data'!AF11</f>
        <v>5.1065719360568389</v>
      </c>
      <c r="AX30" s="290">
        <f>'Measured Data'!AG11</f>
        <v>4.2590000000000003</v>
      </c>
      <c r="AY30" s="290">
        <f>'Measured Data'!AH11</f>
        <v>3.6549999999999998</v>
      </c>
      <c r="AZ30" s="290">
        <f>'Measured Data'!AI11</f>
        <v>0.56699999999999995</v>
      </c>
      <c r="BA30" s="290">
        <f>'Measured Data'!AJ11</f>
        <v>2.83</v>
      </c>
      <c r="BB30" s="290">
        <f>'Measured Data'!AK11</f>
        <v>1.399</v>
      </c>
      <c r="BC30" s="290">
        <f>'Measured Data'!AL11</f>
        <v>4.3029999999999999</v>
      </c>
      <c r="BD30" s="290">
        <f>'Measured Data'!AM11</f>
        <v>3.3769999999999998</v>
      </c>
      <c r="BE30" s="290">
        <f>'Measured Data'!AN11</f>
        <v>2.57</v>
      </c>
      <c r="BF30" s="290">
        <f>'Measured Data'!AO11</f>
        <v>1.097</v>
      </c>
      <c r="BG30" s="290">
        <f>'Measured Data'!AP11</f>
        <v>1.194</v>
      </c>
      <c r="BH30" s="290">
        <f>'Measured Data'!AQ11</f>
        <v>3.96</v>
      </c>
      <c r="BI30" s="65"/>
    </row>
    <row r="31" spans="1:61">
      <c r="A31" s="117">
        <f>AVERAGE('Measured Data'!H18:H19)</f>
        <v>15.070050103759765</v>
      </c>
      <c r="B31" s="119">
        <f>('Measured Data'!H18*'In Process Calc.'!J14+'In Process Calc.'!E15*'Measured Data'!H19)/2/1000</f>
        <v>27.601551101721999</v>
      </c>
      <c r="C31" s="118">
        <f xml:space="preserve"> (Regression!$CE$13*6*'Growth Regression'!S13^5+Regression!$CD$13*5*'Growth Regression'!S13^4+Regression!$CC$13*4*'Growth Regression'!S13^3+Regression!$CB$13*3*'Growth Regression'!S13^2  + Regression!$CA$13*2*'Growth Regression'!S13 + Regression!$BZ$13)/$A31</f>
        <v>4.0987311746449075E-2</v>
      </c>
      <c r="D31" s="117">
        <f xml:space="preserve"> (Regression!$CE$19*6*'Growth Regression'!S13^5+Regression!$CD$19*5*'Growth Regression'!S13^4+Regression!$CC$19*4*'Growth Regression'!S13^3 +Regression!$CB$19*3*'Growth Regression'!S13^2 + Regression!$CA$19*2*'Growth Regression'!S13 + Regression!$BZ$19)/$B31</f>
        <v>-5.258941973475104E-3</v>
      </c>
      <c r="E31" s="117">
        <f xml:space="preserve"> (Regression!$CE$14*6*'Growth Regression'!S13^5+Regression!$CD$14*5*'Growth Regression'!S13^4+Regression!$CC$14*4*'Growth Regression'!S13^3+Regression!$CB$14*3*'Growth Regression'!S13^2  + Regression!$CA$14*2*'Growth Regression'!S13 + Regression!$BZ$14)/$B31</f>
        <v>4.5778928441207985E-3</v>
      </c>
      <c r="F31" s="117">
        <f xml:space="preserve"> (Regression!$CE$10*6*'Growth Regression'!S13^6+Regression!$CD$10*5*'Growth Regression'!S13^5+Regression!$CC$10*4*'Growth Regression'!S13^3+Regression!$CB$10*3*'Growth Regression'!S13^2  + Regression!$CA$10*2*'Growth Regression'!S13 + Regression!$BZ$10)/$B31</f>
        <v>1.6025433594633494E-3</v>
      </c>
      <c r="G31" s="117">
        <f xml:space="preserve"> (Regression!$CE$11*6*'Growth Regression'!S13^6+Regression!$CD$11*5*'Growth Regression'!S13^5+Regression!$CC$11*4*'Growth Regression'!S13^3+Regression!$CB$11*3*'Growth Regression'!S13^2  + Regression!$CA$11*2*'Growth Regression'!S13 + Regression!$BZ$11)/$B31</f>
        <v>6.3656338977181968E-4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115.96666666679084</v>
      </c>
      <c r="AL31" s="290">
        <f>'Measured Data'!U12</f>
        <v>0.63800000000000001</v>
      </c>
      <c r="AM31" s="290">
        <f>'Measured Data'!V12</f>
        <v>2.734</v>
      </c>
      <c r="AN31" s="290">
        <f>'Measured Data'!W12</f>
        <v>7.375</v>
      </c>
      <c r="AO31" s="290">
        <f>'Measured Data'!X12</f>
        <v>1.895</v>
      </c>
      <c r="AP31" s="290">
        <f>'Measured Data'!Y12</f>
        <v>0.86599999999999999</v>
      </c>
      <c r="AQ31" s="290">
        <f>'Measured Data'!Z12</f>
        <v>34.470125890894558</v>
      </c>
      <c r="AR31" s="290">
        <f>'Measured Data'!AA12</f>
        <v>1.071</v>
      </c>
      <c r="AS31" s="290">
        <f>'Measured Data'!AB12</f>
        <v>10.302</v>
      </c>
      <c r="AT31" s="290">
        <f>'Measured Data'!AC12</f>
        <v>1.272</v>
      </c>
      <c r="AU31" s="290">
        <f>'Measured Data'!AD12</f>
        <v>1.825</v>
      </c>
      <c r="AV31" s="290">
        <f>'Measured Data'!AE12</f>
        <v>3.6859999999999999</v>
      </c>
      <c r="AW31" s="290">
        <f>'Measured Data'!AF12</f>
        <v>6.9937833037300177</v>
      </c>
      <c r="AX31" s="290">
        <f>'Measured Data'!AG12</f>
        <v>5.1260000000000003</v>
      </c>
      <c r="AY31" s="290">
        <f>'Measured Data'!AH12</f>
        <v>4.5430000000000001</v>
      </c>
      <c r="AZ31" s="290">
        <f>'Measured Data'!AI12</f>
        <v>0.57399999999999995</v>
      </c>
      <c r="BA31" s="290">
        <f>'Measured Data'!AJ12</f>
        <v>4.03</v>
      </c>
      <c r="BB31" s="290">
        <f>'Measured Data'!AK12</f>
        <v>1.772</v>
      </c>
      <c r="BC31" s="290">
        <f>'Measured Data'!AL12</f>
        <v>4.516</v>
      </c>
      <c r="BD31" s="290">
        <f>'Measured Data'!AM12</f>
        <v>3.21</v>
      </c>
      <c r="BE31" s="290">
        <f>'Measured Data'!AN12</f>
        <v>2.609</v>
      </c>
      <c r="BF31" s="290">
        <f>'Measured Data'!AO12</f>
        <v>1.3720000000000001</v>
      </c>
      <c r="BG31" s="290">
        <f>'Measured Data'!AP12</f>
        <v>1.2350000000000001</v>
      </c>
      <c r="BH31" s="290">
        <f>'Measured Data'!AQ12</f>
        <v>5.4749999999999996</v>
      </c>
      <c r="BI31" s="65"/>
    </row>
    <row r="32" spans="1:61">
      <c r="A32" s="117">
        <f>AVERAGE('Measured Data'!H19:H20)</f>
        <v>14.195950372314453</v>
      </c>
      <c r="B32" s="119">
        <f>('Measured Data'!H19*'In Process Calc.'!J15+'In Process Calc.'!E16*'Measured Data'!H20)/2/1000</f>
        <v>25.628790927550043</v>
      </c>
      <c r="C32" s="118">
        <f xml:space="preserve"> (Regression!$CE$13*6*'Growth Regression'!S14^5+Regression!$CD$13*5*'Growth Regression'!S14^4+Regression!$CC$13*4*'Growth Regression'!S14^3+Regression!$CB$13*3*'Growth Regression'!S14^2  + Regression!$CA$13*2*'Growth Regression'!S14 + Regression!$BZ$13)/$A32</f>
        <v>4.6744666543993868E-2</v>
      </c>
      <c r="D32" s="117">
        <f xml:space="preserve"> (Regression!$CE$19*6*'Growth Regression'!S14^5+Regression!$CD$19*5*'Growth Regression'!S14^4+Regression!$CC$19*4*'Growth Regression'!S14^3 +Regression!$CB$19*3*'Growth Regression'!S14^2 + Regression!$CA$19*2*'Growth Regression'!S14 + Regression!$BZ$19)/$B32</f>
        <v>-4.6880977643818836E-4</v>
      </c>
      <c r="E32" s="117">
        <f xml:space="preserve"> (Regression!$CE$14*6*'Growth Regression'!S14^5+Regression!$CD$14*5*'Growth Regression'!S14^4+Regression!$CC$14*4*'Growth Regression'!S14^3+Regression!$CB$14*3*'Growth Regression'!S14^2  + Regression!$CA$14*2*'Growth Regression'!S14 + Regression!$BZ$14)/$B32</f>
        <v>4.9341781718456254E-3</v>
      </c>
      <c r="F32" s="117">
        <f xml:space="preserve"> (Regression!$CE$10*6*'Growth Regression'!S14^6+Regression!$CD$10*5*'Growth Regression'!S14^5+Regression!$CC$10*4*'Growth Regression'!S14^3+Regression!$CB$10*3*'Growth Regression'!S14^2  + Regression!$CA$10*2*'Growth Regression'!S14 + Regression!$BZ$10)/$B32</f>
        <v>-8.4931508461067926E-4</v>
      </c>
      <c r="G32" s="117">
        <f xml:space="preserve"> (Regression!$CE$11*6*'Growth Regression'!S14^6+Regression!$CD$11*5*'Growth Regression'!S14^5+Regression!$CC$11*4*'Growth Regression'!S14^3+Regression!$CB$11*3*'Growth Regression'!S14^2  + Regression!$CA$11*2*'Growth Regression'!S14 + Regression!$BZ$11)/$B32</f>
        <v>5.5922984321057673E-4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141.16666666668607</v>
      </c>
      <c r="AL32" s="290">
        <f>'Measured Data'!U13</f>
        <v>1.401</v>
      </c>
      <c r="AM32" s="290">
        <f>'Measured Data'!V13</f>
        <v>2.83</v>
      </c>
      <c r="AN32" s="290">
        <f>'Measured Data'!W13</f>
        <v>6.423</v>
      </c>
      <c r="AO32" s="290">
        <f>'Measured Data'!X13</f>
        <v>2.17</v>
      </c>
      <c r="AP32" s="290">
        <f>'Measured Data'!Y13</f>
        <v>0.68700000000000006</v>
      </c>
      <c r="AQ32" s="290">
        <f>'Measured Data'!Z13</f>
        <v>33.859543950798198</v>
      </c>
      <c r="AR32" s="290">
        <f>'Measured Data'!AA13</f>
        <v>1.6120000000000001</v>
      </c>
      <c r="AS32" s="290">
        <f>'Measured Data'!AB13</f>
        <v>12.943</v>
      </c>
      <c r="AT32" s="290">
        <f>'Measured Data'!AC13</f>
        <v>1.409</v>
      </c>
      <c r="AU32" s="290">
        <f>'Measured Data'!AD13</f>
        <v>1.7829999999999999</v>
      </c>
      <c r="AV32" s="290">
        <f>'Measured Data'!AE13</f>
        <v>3.835</v>
      </c>
      <c r="AW32" s="290">
        <f>'Measured Data'!AF13</f>
        <v>9.8801065719360572</v>
      </c>
      <c r="AX32" s="290">
        <f>'Measured Data'!AG13</f>
        <v>5.0880000000000001</v>
      </c>
      <c r="AY32" s="290">
        <f>'Measured Data'!AH13</f>
        <v>4.702</v>
      </c>
      <c r="AZ32" s="290">
        <f>'Measured Data'!AI13</f>
        <v>0.41199999999999998</v>
      </c>
      <c r="BA32" s="290">
        <f>'Measured Data'!AJ13</f>
        <v>5.77</v>
      </c>
      <c r="BB32" s="290">
        <f>'Measured Data'!AK13</f>
        <v>1.859</v>
      </c>
      <c r="BC32" s="290">
        <f>'Measured Data'!AL13</f>
        <v>3.871</v>
      </c>
      <c r="BD32" s="290">
        <f>'Measured Data'!AM13</f>
        <v>2.4510000000000001</v>
      </c>
      <c r="BE32" s="290">
        <f>'Measured Data'!AN13</f>
        <v>2.0830000000000002</v>
      </c>
      <c r="BF32" s="290">
        <f>'Measured Data'!AO13</f>
        <v>1.4339999999999999</v>
      </c>
      <c r="BG32" s="290">
        <f>'Measured Data'!AP13</f>
        <v>0.94</v>
      </c>
      <c r="BH32" s="290">
        <f>'Measured Data'!AQ13</f>
        <v>6.1710000000000003</v>
      </c>
      <c r="BI32" s="65"/>
    </row>
    <row r="33" spans="1:61">
      <c r="A33" s="117">
        <f>AVERAGE('Measured Data'!H20:H21)</f>
        <v>13.548549993133545</v>
      </c>
      <c r="B33" s="119">
        <f>('Measured Data'!H20*'In Process Calc.'!J16+'In Process Calc.'!E17*'Measured Data'!H21)/2/1000</f>
        <v>24.405496376985635</v>
      </c>
      <c r="C33" s="118">
        <f xml:space="preserve"> (Regression!$CE$13*6*'Growth Regression'!S15^5+Regression!$CD$13*5*'Growth Regression'!S15^4+Regression!$CC$13*4*'Growth Regression'!S15^3+Regression!$CB$13*3*'Growth Regression'!S15^2  + Regression!$CA$13*2*'Growth Regression'!S15 + Regression!$BZ$13)/$A33</f>
        <v>5.2335567084138945E-2</v>
      </c>
      <c r="D33" s="117">
        <f xml:space="preserve"> (Regression!$CE$19*6*'Growth Regression'!S15^5+Regression!$CD$19*5*'Growth Regression'!S15^4+Regression!$CC$19*4*'Growth Regression'!S15^3 +Regression!$CB$19*3*'Growth Regression'!S15^2 + Regression!$CA$19*2*'Growth Regression'!S15 + Regression!$BZ$19)/$B33</f>
        <v>9.8429248909746633E-3</v>
      </c>
      <c r="E33" s="117">
        <f xml:space="preserve"> (Regression!$CE$14*6*'Growth Regression'!S15^5+Regression!$CD$14*5*'Growth Regression'!S15^4+Regression!$CC$14*4*'Growth Regression'!S15^3+Regression!$CB$14*3*'Growth Regression'!S15^2  + Regression!$CA$14*2*'Growth Regression'!S15 + Regression!$BZ$14)/$B33</f>
        <v>-1.3789976439136284E-3</v>
      </c>
      <c r="F33" s="117">
        <f xml:space="preserve"> (Regression!$CE$10*6*'Growth Regression'!S15^6+Regression!$CD$10*5*'Growth Regression'!S15^5+Regression!$CC$10*4*'Growth Regression'!S15^3+Regression!$CB$10*3*'Growth Regression'!S15^2  + Regression!$CA$10*2*'Growth Regression'!S15 + Regression!$BZ$10)/$B33</f>
        <v>-5.0098020991669661E-3</v>
      </c>
      <c r="G33" s="117">
        <f xml:space="preserve"> (Regression!$CE$11*6*'Growth Regression'!S15^6+Regression!$CD$11*5*'Growth Regression'!S15^5+Regression!$CC$11*4*'Growth Regression'!S15^3+Regression!$CB$11*3*'Growth Regression'!S15^2  + Regression!$CA$11*2*'Growth Regression'!S15 + Regression!$BZ$11)/$B33</f>
        <v>1.3931788620839654E-4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164.81666666676756</v>
      </c>
      <c r="AL33" s="290">
        <f>'Measured Data'!U14</f>
        <v>2.7759999999999998</v>
      </c>
      <c r="AM33" s="290">
        <f>'Measured Data'!V14</f>
        <v>3.3650000000000002</v>
      </c>
      <c r="AN33" s="290">
        <f>'Measured Data'!W14</f>
        <v>5.5940000000000003</v>
      </c>
      <c r="AO33" s="290">
        <f>'Measured Data'!X14</f>
        <v>2.8159999999999998</v>
      </c>
      <c r="AP33" s="290">
        <f>'Measured Data'!Y14</f>
        <v>0.59099999999999997</v>
      </c>
      <c r="AQ33" s="290">
        <f>'Measured Data'!Z14</f>
        <v>31.417216190412752</v>
      </c>
      <c r="AR33" s="290">
        <f>'Measured Data'!AA14</f>
        <v>2.5329999999999999</v>
      </c>
      <c r="AS33" s="290">
        <f>'Measured Data'!AB14</f>
        <v>15.664</v>
      </c>
      <c r="AT33" s="290">
        <f>'Measured Data'!AC14</f>
        <v>1.454</v>
      </c>
      <c r="AU33" s="290">
        <f>'Measured Data'!AD14</f>
        <v>1.306</v>
      </c>
      <c r="AV33" s="290">
        <f>'Measured Data'!AE14</f>
        <v>4.1989999999999998</v>
      </c>
      <c r="AW33" s="290">
        <f>'Measured Data'!AF14</f>
        <v>11.434280639431616</v>
      </c>
      <c r="AX33" s="290">
        <f>'Measured Data'!AG14</f>
        <v>5.2859999999999996</v>
      </c>
      <c r="AY33" s="290">
        <f>'Measured Data'!AH14</f>
        <v>5.0880000000000001</v>
      </c>
      <c r="AZ33" s="290">
        <f>'Measured Data'!AI14</f>
        <v>0.30199999999999999</v>
      </c>
      <c r="BA33" s="290">
        <f>'Measured Data'!AJ14</f>
        <v>7.52</v>
      </c>
      <c r="BB33" s="290">
        <f>'Measured Data'!AK14</f>
        <v>2.0329999999999999</v>
      </c>
      <c r="BC33" s="290">
        <f>'Measured Data'!AL14</f>
        <v>3.5409999999999999</v>
      </c>
      <c r="BD33" s="290">
        <f>'Measured Data'!AM14</f>
        <v>1.758</v>
      </c>
      <c r="BE33" s="290">
        <f>'Measured Data'!AN14</f>
        <v>1.6850000000000001</v>
      </c>
      <c r="BF33" s="290">
        <f>'Measured Data'!AO14</f>
        <v>1.585</v>
      </c>
      <c r="BG33" s="290">
        <f>'Measured Data'!AP14</f>
        <v>0.73299999999999998</v>
      </c>
      <c r="BH33" s="290">
        <f>'Measured Data'!AQ14</f>
        <v>7.18</v>
      </c>
      <c r="BI33" s="65"/>
    </row>
    <row r="34" spans="1:61">
      <c r="A34" s="117">
        <f>AVERAGE('Measured Data'!H21:H22)</f>
        <v>13.162699563598633</v>
      </c>
      <c r="B34" s="119">
        <f>('Measured Data'!H21*'In Process Calc.'!J17+'In Process Calc.'!E18*'Measured Data'!H22)/2/1000</f>
        <v>11.847892129412504</v>
      </c>
      <c r="C34" s="118">
        <f xml:space="preserve"> (Regression!$CE$13*6*'Growth Regression'!S16^5+Regression!$CD$13*5*'Growth Regression'!S16^4+Regression!$CC$13*4*'Growth Regression'!S16^3+Regression!$CB$13*3*'Growth Regression'!S16^2  + Regression!$CA$13*2*'Growth Regression'!S16 + Regression!$BZ$13)/$A34</f>
        <v>-3.1736463330655734E-3</v>
      </c>
      <c r="D34" s="117">
        <f xml:space="preserve"> (Regression!$CE$19*6*'Growth Regression'!S16^5+Regression!$CD$19*5*'Growth Regression'!S16^4+Regression!$CC$19*4*'Growth Regression'!S16^3 +Regression!$CB$19*3*'Growth Regression'!S16^2 + Regression!$CA$19*2*'Growth Regression'!S16 + Regression!$BZ$19)/$B34</f>
        <v>-1.1018417584221781E-2</v>
      </c>
      <c r="E34" s="117">
        <f xml:space="preserve"> (Regression!$CE$14*6*'Growth Regression'!S16^5+Regression!$CD$14*5*'Growth Regression'!S16^4+Regression!$CC$14*4*'Growth Regression'!S16^3+Regression!$CB$14*3*'Growth Regression'!S16^2  + Regression!$CA$14*2*'Growth Regression'!S16 + Regression!$BZ$14)/$B34</f>
        <v>8.2580978467444504E-4</v>
      </c>
      <c r="F34" s="117">
        <f xml:space="preserve"> (Regression!$CE$10*6*'Growth Regression'!S16^6+Regression!$CD$10*5*'Growth Regression'!S16^5+Regression!$CC$10*4*'Growth Regression'!S16^3+Regression!$CB$10*3*'Growth Regression'!S16^2  + Regression!$CA$10*2*'Growth Regression'!S16 + Regression!$BZ$10)/$B34</f>
        <v>5.8660560658678447E-3</v>
      </c>
      <c r="G34" s="117">
        <f xml:space="preserve"> (Regression!$CE$11*6*'Growth Regression'!S16^6+Regression!$CD$11*5*'Growth Regression'!S16^5+Regression!$CC$11*4*'Growth Regression'!S16^3+Regression!$CB$11*3*'Growth Regression'!S16^2  + Regression!$CA$11*2*'Growth Regression'!S16 + Regression!$BZ$11)/$B34</f>
        <v>5.5736543335243825E-3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189.19999999995343</v>
      </c>
      <c r="AL34" s="290">
        <f>'Measured Data'!U15</f>
        <v>4.8159999999999998</v>
      </c>
      <c r="AM34" s="290">
        <f>'Measured Data'!V15</f>
        <v>3.2389999999999999</v>
      </c>
      <c r="AN34" s="290">
        <f>'Measured Data'!W15</f>
        <v>1.5249999999999999</v>
      </c>
      <c r="AO34" s="290">
        <f>'Measured Data'!X15</f>
        <v>3.581</v>
      </c>
      <c r="AP34" s="290">
        <f>'Measured Data'!Y15</f>
        <v>0.44800000000000001</v>
      </c>
      <c r="AQ34" s="290">
        <f>'Measured Data'!Z15</f>
        <v>22.313994538067004</v>
      </c>
      <c r="AR34" s="290">
        <f>'Measured Data'!AA15</f>
        <v>3.907</v>
      </c>
      <c r="AS34" s="290">
        <f>'Measured Data'!AB15</f>
        <v>15.13</v>
      </c>
      <c r="AT34" s="290">
        <f>'Measured Data'!AC15</f>
        <v>1.069</v>
      </c>
      <c r="AU34" s="290">
        <f>'Measured Data'!AD15</f>
        <v>1.077</v>
      </c>
      <c r="AV34" s="290">
        <f>'Measured Data'!AE15</f>
        <v>3.863</v>
      </c>
      <c r="AW34" s="290">
        <f>'Measured Data'!AF15</f>
        <v>11.545293072824157</v>
      </c>
      <c r="AX34" s="290">
        <f>'Measured Data'!AG15</f>
        <v>4.5259999999999998</v>
      </c>
      <c r="AY34" s="290">
        <f>'Measured Data'!AH15</f>
        <v>4.742</v>
      </c>
      <c r="AZ34" s="290">
        <f>'Measured Data'!AI15</f>
        <v>0.16900000000000001</v>
      </c>
      <c r="BA34" s="290">
        <f>'Measured Data'!AJ15</f>
        <v>8.86</v>
      </c>
      <c r="BB34" s="290">
        <f>'Measured Data'!AK15</f>
        <v>1.829</v>
      </c>
      <c r="BC34" s="290">
        <f>'Measured Data'!AL15</f>
        <v>3.0219999999999998</v>
      </c>
      <c r="BD34" s="290">
        <f>'Measured Data'!AM15</f>
        <v>1.3180000000000001</v>
      </c>
      <c r="BE34" s="290">
        <f>'Measured Data'!AN15</f>
        <v>1.085</v>
      </c>
      <c r="BF34" s="290">
        <f>'Measured Data'!AO15</f>
        <v>1.5229999999999999</v>
      </c>
      <c r="BG34" s="290">
        <f>'Measured Data'!AP15</f>
        <v>0.46300000000000002</v>
      </c>
      <c r="BH34" s="290">
        <f>'Measured Data'!AQ15</f>
        <v>6.8979999999999997</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213.14999999996508</v>
      </c>
      <c r="AL35" s="290">
        <f>'Measured Data'!U16</f>
        <v>6.258</v>
      </c>
      <c r="AM35" s="290">
        <f>'Measured Data'!V16</f>
        <v>2.8069999999999999</v>
      </c>
      <c r="AN35" s="290">
        <f>'Measured Data'!W16</f>
        <v>0.06</v>
      </c>
      <c r="AO35" s="290">
        <f>'Measured Data'!X16</f>
        <v>3.1160000000000001</v>
      </c>
      <c r="AP35" s="290">
        <f>'Measured Data'!Y16</f>
        <v>0.26900000000000002</v>
      </c>
      <c r="AQ35" s="290">
        <f>'Measured Data'!Z16</f>
        <v>10.87946002353516</v>
      </c>
      <c r="AR35" s="290">
        <f>'Measured Data'!AA16</f>
        <v>5.0679999999999996</v>
      </c>
      <c r="AS35" s="290">
        <f>'Measured Data'!AB16</f>
        <v>12.262</v>
      </c>
      <c r="AT35" s="290">
        <f>'Measured Data'!AC16</f>
        <v>0.47899999999999998</v>
      </c>
      <c r="AU35" s="290">
        <f>'Measured Data'!AD16</f>
        <v>0.878</v>
      </c>
      <c r="AV35" s="290">
        <f>'Measured Data'!AE16</f>
        <v>3.1509999999999998</v>
      </c>
      <c r="AW35" s="290">
        <f>'Measured Data'!AF16</f>
        <v>7.7708703374777972</v>
      </c>
      <c r="AX35" s="290">
        <f>'Measured Data'!AG16</f>
        <v>3.3370000000000002</v>
      </c>
      <c r="AY35" s="290">
        <f>'Measured Data'!AH16</f>
        <v>3.988</v>
      </c>
      <c r="AZ35" s="290">
        <f>'Measured Data'!AI16</f>
        <v>0</v>
      </c>
      <c r="BA35" s="290">
        <f>'Measured Data'!AJ16</f>
        <v>7.16</v>
      </c>
      <c r="BB35" s="290">
        <f>'Measured Data'!AK16</f>
        <v>1.4390000000000001</v>
      </c>
      <c r="BC35" s="290">
        <f>'Measured Data'!AL16</f>
        <v>2.403</v>
      </c>
      <c r="BD35" s="290">
        <f>'Measured Data'!AM16</f>
        <v>0.16900000000000001</v>
      </c>
      <c r="BE35" s="290">
        <f>'Measured Data'!AN16</f>
        <v>0.42399999999999999</v>
      </c>
      <c r="BF35" s="290">
        <f>'Measured Data'!AO16</f>
        <v>1.333</v>
      </c>
      <c r="BG35" s="290">
        <f>'Measured Data'!AP16</f>
        <v>0.11700000000000001</v>
      </c>
      <c r="BH35" s="290">
        <f>'Measured Data'!AQ16</f>
        <v>5.843</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238.2666666667792</v>
      </c>
      <c r="AL36" s="290">
        <f>'Measured Data'!U17</f>
        <v>6.4829999999999997</v>
      </c>
      <c r="AM36" s="290">
        <f>'Measured Data'!V17</f>
        <v>2.6680000000000001</v>
      </c>
      <c r="AN36" s="290">
        <f>'Measured Data'!W17</f>
        <v>7.1999999999999995E-2</v>
      </c>
      <c r="AO36" s="290">
        <f>'Measured Data'!X17</f>
        <v>2.4220000000000002</v>
      </c>
      <c r="AP36" s="290">
        <f>'Measured Data'!Y17</f>
        <v>0.155</v>
      </c>
      <c r="AQ36" s="290">
        <f>'Measured Data'!Z17</f>
        <v>5.6617598081662557</v>
      </c>
      <c r="AR36" s="290">
        <f>'Measured Data'!AA17</f>
        <v>5.8840000000000003</v>
      </c>
      <c r="AS36" s="290">
        <f>'Measured Data'!AB17</f>
        <v>9.2409999999999997</v>
      </c>
      <c r="AT36" s="290">
        <f>'Measured Data'!AC17</f>
        <v>0.39600000000000002</v>
      </c>
      <c r="AU36" s="290">
        <f>'Measured Data'!AD17</f>
        <v>0.84099999999999997</v>
      </c>
      <c r="AV36" s="290">
        <f>'Measured Data'!AE17</f>
        <v>2.9380000000000002</v>
      </c>
      <c r="AW36" s="290">
        <f>'Measured Data'!AF17</f>
        <v>3.4413854351687392</v>
      </c>
      <c r="AX36" s="290">
        <f>'Measured Data'!AG17</f>
        <v>2.8330000000000002</v>
      </c>
      <c r="AY36" s="290">
        <f>'Measured Data'!AH17</f>
        <v>3.7189999999999999</v>
      </c>
      <c r="AZ36" s="290">
        <f>'Measured Data'!AI17</f>
        <v>0</v>
      </c>
      <c r="BA36" s="290">
        <f>'Measured Data'!AJ17</f>
        <v>6.91</v>
      </c>
      <c r="BB36" s="290">
        <f>'Measured Data'!AK17</f>
        <v>1.2949999999999999</v>
      </c>
      <c r="BC36" s="290">
        <f>'Measured Data'!AL17</f>
        <v>2.3780000000000001</v>
      </c>
      <c r="BD36" s="290">
        <f>'Measured Data'!AM17</f>
        <v>0.29099999999999998</v>
      </c>
      <c r="BE36" s="290">
        <f>'Measured Data'!AN17</f>
        <v>0.28299999999999997</v>
      </c>
      <c r="BF36" s="290">
        <f>'Measured Data'!AO17</f>
        <v>1.2629999999999999</v>
      </c>
      <c r="BG36" s="290">
        <f>'Measured Data'!AP17</f>
        <v>6.4000000000000001E-2</v>
      </c>
      <c r="BH36" s="290">
        <f>'Measured Data'!AQ17</f>
        <v>5.3680000000000003</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261.91666666668607</v>
      </c>
      <c r="AL37" s="290">
        <f>'Measured Data'!U18</f>
        <v>4.9409999999999998</v>
      </c>
      <c r="AM37" s="290">
        <f>'Measured Data'!V18</f>
        <v>2.3540000000000001</v>
      </c>
      <c r="AN37" s="290">
        <f>'Measured Data'!W18</f>
        <v>7.6999999999999999E-2</v>
      </c>
      <c r="AO37" s="290">
        <f>'Measured Data'!X18</f>
        <v>2.5569999999999999</v>
      </c>
      <c r="AP37" s="290">
        <f>'Measured Data'!Y18</f>
        <v>9.6000000000000002E-2</v>
      </c>
      <c r="AQ37" s="290">
        <f>'Measured Data'!Z18</f>
        <v>6.605386442860631</v>
      </c>
      <c r="AR37" s="290">
        <f>'Measured Data'!AA18</f>
        <v>4.4249999999999998</v>
      </c>
      <c r="AS37" s="290">
        <f>'Measured Data'!AB18</f>
        <v>6.9820000000000002</v>
      </c>
      <c r="AT37" s="290">
        <f>'Measured Data'!AC18</f>
        <v>0.10199999999999999</v>
      </c>
      <c r="AU37" s="290">
        <f>'Measured Data'!AD18</f>
        <v>0.73699999999999999</v>
      </c>
      <c r="AV37" s="290">
        <f>'Measured Data'!AE18</f>
        <v>2.7440000000000002</v>
      </c>
      <c r="AW37" s="290">
        <f>'Measured Data'!AF18</f>
        <v>3.2193605683836588</v>
      </c>
      <c r="AX37" s="290">
        <f>'Measured Data'!AG18</f>
        <v>2.0430000000000001</v>
      </c>
      <c r="AY37" s="290">
        <f>'Measured Data'!AH18</f>
        <v>2.9729999999999999</v>
      </c>
      <c r="AZ37" s="290">
        <f>'Measured Data'!AI18</f>
        <v>0</v>
      </c>
      <c r="BA37" s="290">
        <f>'Measured Data'!AJ18</f>
        <v>10.28</v>
      </c>
      <c r="BB37" s="290">
        <f>'Measured Data'!AK18</f>
        <v>0.94799999999999995</v>
      </c>
      <c r="BC37" s="290">
        <f>'Measured Data'!AL18</f>
        <v>2.4529999999999998</v>
      </c>
      <c r="BD37" s="290">
        <f>'Measured Data'!AM18</f>
        <v>0.28899999999999998</v>
      </c>
      <c r="BE37" s="290">
        <f>'Measured Data'!AN18</f>
        <v>0.155</v>
      </c>
      <c r="BF37" s="290">
        <f>'Measured Data'!AO18</f>
        <v>1.093</v>
      </c>
      <c r="BG37" s="290">
        <f>'Measured Data'!AP18</f>
        <v>0</v>
      </c>
      <c r="BH37" s="290">
        <f>'Measured Data'!AQ18</f>
        <v>4.3899999999999997</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284.91666666674428</v>
      </c>
      <c r="AL38" s="290">
        <f>'Measured Data'!U19</f>
        <v>3.782</v>
      </c>
      <c r="AM38" s="290">
        <f>'Measured Data'!V19</f>
        <v>1.83</v>
      </c>
      <c r="AN38" s="290">
        <f>'Measured Data'!W19</f>
        <v>7.5999999999999998E-2</v>
      </c>
      <c r="AO38" s="290">
        <f>'Measured Data'!X19</f>
        <v>2.4289999999999998</v>
      </c>
      <c r="AP38" s="290">
        <f>'Measured Data'!Y19</f>
        <v>0.115</v>
      </c>
      <c r="AQ38" s="290">
        <f>'Measured Data'!Z19</f>
        <v>7.2714758320566615</v>
      </c>
      <c r="AR38" s="290">
        <f>'Measured Data'!AA19</f>
        <v>2.4260000000000002</v>
      </c>
      <c r="AS38" s="290">
        <f>'Measured Data'!AB19</f>
        <v>4.9569999999999999</v>
      </c>
      <c r="AT38" s="290">
        <f>'Measured Data'!AC19</f>
        <v>0.126</v>
      </c>
      <c r="AU38" s="290">
        <f>'Measured Data'!AD19</f>
        <v>0.60699999999999998</v>
      </c>
      <c r="AV38" s="290">
        <f>'Measured Data'!AE19</f>
        <v>2.4630000000000001</v>
      </c>
      <c r="AW38" s="290">
        <f>'Measured Data'!AF19</f>
        <v>3.4413854351687392</v>
      </c>
      <c r="AX38" s="290">
        <f>'Measured Data'!AG19</f>
        <v>1.2569999999999999</v>
      </c>
      <c r="AY38" s="290">
        <f>'Measured Data'!AH19</f>
        <v>2.0619999999999998</v>
      </c>
      <c r="AZ38" s="290">
        <f>'Measured Data'!AI19</f>
        <v>6.7000000000000004E-2</v>
      </c>
      <c r="BA38" s="290">
        <f>'Measured Data'!AJ19</f>
        <v>10.91</v>
      </c>
      <c r="BB38" s="290">
        <f>'Measured Data'!AK19</f>
        <v>0.54200000000000004</v>
      </c>
      <c r="BC38" s="290">
        <f>'Measured Data'!AL19</f>
        <v>2.4889999999999999</v>
      </c>
      <c r="BD38" s="290">
        <f>'Measured Data'!AM19</f>
        <v>0.48199999999999998</v>
      </c>
      <c r="BE38" s="290">
        <f>'Measured Data'!AN19</f>
        <v>9.2999999999999999E-2</v>
      </c>
      <c r="BF38" s="290">
        <f>'Measured Data'!AO19</f>
        <v>0.86399999999999999</v>
      </c>
      <c r="BG38" s="290">
        <f>'Measured Data'!AP19</f>
        <v>0.06</v>
      </c>
      <c r="BH38" s="290">
        <f>'Measured Data'!AQ19</f>
        <v>3.2240000000000002</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112</v>
      </c>
      <c r="B1" t="s">
        <v>507</v>
      </c>
      <c r="C1" t="s">
        <v>509</v>
      </c>
      <c r="D1" t="s">
        <v>514</v>
      </c>
      <c r="E1" t="s">
        <v>515</v>
      </c>
      <c r="F1" t="s">
        <v>516</v>
      </c>
      <c r="G1" t="s">
        <v>517</v>
      </c>
      <c r="H1" t="s">
        <v>518</v>
      </c>
      <c r="I1" t="s">
        <v>519</v>
      </c>
      <c r="J1" t="s">
        <v>520</v>
      </c>
      <c r="K1" t="s">
        <v>521</v>
      </c>
      <c r="L1" t="s">
        <v>522</v>
      </c>
      <c r="M1" t="s">
        <v>523</v>
      </c>
      <c r="N1" t="s">
        <v>524</v>
      </c>
      <c r="O1" t="s">
        <v>525</v>
      </c>
      <c r="P1" t="s">
        <v>526</v>
      </c>
      <c r="Q1" t="s">
        <v>527</v>
      </c>
      <c r="R1" t="s">
        <v>528</v>
      </c>
      <c r="S1" t="s">
        <v>529</v>
      </c>
      <c r="T1" t="s">
        <v>530</v>
      </c>
      <c r="U1" t="s">
        <v>531</v>
      </c>
      <c r="V1" t="s">
        <v>532</v>
      </c>
      <c r="W1" t="s">
        <v>533</v>
      </c>
      <c r="X1" t="s">
        <v>534</v>
      </c>
      <c r="Y1" t="s">
        <v>535</v>
      </c>
      <c r="Z1" t="s">
        <v>536</v>
      </c>
      <c r="AA1" t="s">
        <v>537</v>
      </c>
      <c r="AB1" t="s">
        <v>538</v>
      </c>
      <c r="AC1" t="s">
        <v>539</v>
      </c>
      <c r="AD1" t="s">
        <v>540</v>
      </c>
      <c r="AE1" t="s">
        <v>541</v>
      </c>
      <c r="AF1" t="s">
        <v>542</v>
      </c>
      <c r="AG1" t="s">
        <v>543</v>
      </c>
      <c r="AH1" t="s">
        <v>544</v>
      </c>
      <c r="AI1" t="s">
        <v>545</v>
      </c>
      <c r="AJ1" t="s">
        <v>546</v>
      </c>
      <c r="AK1" t="s">
        <v>547</v>
      </c>
      <c r="AL1" t="s">
        <v>548</v>
      </c>
      <c r="AM1" t="s">
        <v>549</v>
      </c>
      <c r="AN1" t="s">
        <v>550</v>
      </c>
      <c r="AO1" t="s">
        <v>551</v>
      </c>
      <c r="AP1" t="s">
        <v>552</v>
      </c>
      <c r="AQ1" t="s">
        <v>553</v>
      </c>
      <c r="AR1" t="s">
        <v>554</v>
      </c>
      <c r="AS1" t="s">
        <v>555</v>
      </c>
      <c r="AT1" t="s">
        <v>556</v>
      </c>
      <c r="AU1" t="s">
        <v>557</v>
      </c>
      <c r="AV1" t="s">
        <v>558</v>
      </c>
      <c r="AW1" t="s">
        <v>559</v>
      </c>
      <c r="AX1" t="s">
        <v>560</v>
      </c>
      <c r="AY1" t="s">
        <v>561</v>
      </c>
      <c r="AZ1" t="s">
        <v>562</v>
      </c>
      <c r="BA1" t="s">
        <v>563</v>
      </c>
      <c r="BB1" t="s">
        <v>564</v>
      </c>
      <c r="BC1" t="s">
        <v>565</v>
      </c>
      <c r="BD1" t="s">
        <v>566</v>
      </c>
      <c r="BE1" t="s">
        <v>567</v>
      </c>
      <c r="BF1" t="s">
        <v>568</v>
      </c>
      <c r="BG1" t="s">
        <v>569</v>
      </c>
      <c r="BH1" t="s">
        <v>570</v>
      </c>
      <c r="BI1" t="s">
        <v>571</v>
      </c>
      <c r="BJ1" t="s">
        <v>572</v>
      </c>
      <c r="BK1" t="s">
        <v>573</v>
      </c>
      <c r="BL1" t="s">
        <v>574</v>
      </c>
      <c r="BM1" t="s">
        <v>575</v>
      </c>
      <c r="BN1" t="s">
        <v>576</v>
      </c>
      <c r="BO1" t="s">
        <v>587</v>
      </c>
      <c r="BP1" t="s">
        <v>588</v>
      </c>
      <c r="BQ1" t="s">
        <v>577</v>
      </c>
      <c r="BR1" t="s">
        <v>709</v>
      </c>
    </row>
    <row r="2" spans="1:70">
      <c r="A2" t="s">
        <v>580</v>
      </c>
      <c r="B2" t="s">
        <v>585</v>
      </c>
      <c r="C2" t="s">
        <v>513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580</v>
      </c>
      <c r="B3" t="s">
        <v>585</v>
      </c>
      <c r="C3" t="s">
        <v>511</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580</v>
      </c>
      <c r="B4" t="s">
        <v>585</v>
      </c>
      <c r="C4" t="s">
        <v>512</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578</v>
      </c>
      <c r="B5" t="s">
        <v>585</v>
      </c>
      <c r="C5" t="s">
        <v>513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578</v>
      </c>
      <c r="B6" t="s">
        <v>585</v>
      </c>
      <c r="C6" t="s">
        <v>511</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578</v>
      </c>
      <c r="B7" t="s">
        <v>585</v>
      </c>
      <c r="C7" t="s">
        <v>512</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579</v>
      </c>
      <c r="B8" t="s">
        <v>585</v>
      </c>
      <c r="C8" t="s">
        <v>513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579</v>
      </c>
      <c r="B9" t="s">
        <v>585</v>
      </c>
      <c r="C9" t="s">
        <v>511</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579</v>
      </c>
      <c r="B10" t="s">
        <v>585</v>
      </c>
      <c r="C10" t="s">
        <v>512</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481</v>
      </c>
      <c r="B11" t="s">
        <v>510</v>
      </c>
      <c r="C11" t="s">
        <v>513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481</v>
      </c>
      <c r="B12" t="s">
        <v>510</v>
      </c>
      <c r="C12" t="s">
        <v>511</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481</v>
      </c>
      <c r="B13" t="s">
        <v>510</v>
      </c>
      <c r="C13" t="s">
        <v>512</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485</v>
      </c>
      <c r="B14" t="s">
        <v>510</v>
      </c>
      <c r="C14" t="s">
        <v>513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485</v>
      </c>
      <c r="B15" t="s">
        <v>510</v>
      </c>
      <c r="C15" t="s">
        <v>511</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485</v>
      </c>
      <c r="B16" t="s">
        <v>510</v>
      </c>
      <c r="C16" t="s">
        <v>512</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581</v>
      </c>
      <c r="B17" t="s">
        <v>510</v>
      </c>
      <c r="C17" t="s">
        <v>513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581</v>
      </c>
      <c r="B18" t="s">
        <v>510</v>
      </c>
      <c r="C18" t="s">
        <v>511</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581</v>
      </c>
      <c r="B19" t="s">
        <v>510</v>
      </c>
      <c r="C19" t="s">
        <v>512</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582</v>
      </c>
      <c r="B20" t="s">
        <v>586</v>
      </c>
      <c r="C20" t="s">
        <v>513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582</v>
      </c>
      <c r="B21" t="s">
        <v>586</v>
      </c>
      <c r="C21" t="s">
        <v>511</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582</v>
      </c>
      <c r="B22" t="s">
        <v>586</v>
      </c>
      <c r="C22" t="s">
        <v>512</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583</v>
      </c>
      <c r="B23" t="s">
        <v>586</v>
      </c>
      <c r="C23" t="s">
        <v>513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583</v>
      </c>
      <c r="B24" t="s">
        <v>586</v>
      </c>
      <c r="C24" t="s">
        <v>511</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583</v>
      </c>
      <c r="B25" t="s">
        <v>586</v>
      </c>
      <c r="C25" t="s">
        <v>512</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584</v>
      </c>
      <c r="B26" t="s">
        <v>586</v>
      </c>
      <c r="C26" t="s">
        <v>513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584</v>
      </c>
      <c r="B27" t="s">
        <v>586</v>
      </c>
      <c r="C27" t="s">
        <v>511</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584</v>
      </c>
      <c r="B28" t="s">
        <v>586</v>
      </c>
      <c r="C28" t="s">
        <v>512</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I24" sqref="I24"/>
    </sheetView>
  </sheetViews>
  <sheetFormatPr baseColWidth="10" defaultColWidth="8.83203125" defaultRowHeight="13"/>
  <cols>
    <col min="2" max="2" width="29.5" customWidth="1"/>
    <col min="9" max="9" width="11.5" bestFit="1" customWidth="1"/>
  </cols>
  <sheetData>
    <row r="1" spans="1:103">
      <c r="A1" t="str">
        <f>'Measured Data'!A6</f>
        <v>SAMPLE #</v>
      </c>
      <c r="B1" t="s">
        <v>112</v>
      </c>
      <c r="C1" t="s">
        <v>507</v>
      </c>
      <c r="D1" t="s">
        <v>508</v>
      </c>
      <c r="E1" t="s">
        <v>710</v>
      </c>
      <c r="F1" t="s">
        <v>606</v>
      </c>
      <c r="G1" t="s">
        <v>509</v>
      </c>
      <c r="H1" t="str">
        <f>'Measured Data'!B6</f>
        <v>Day</v>
      </c>
      <c r="I1" t="str">
        <f>'Measured Data'!C6</f>
        <v>RUN TIME (HOURS)</v>
      </c>
      <c r="J1" t="str">
        <f>'In Process Calc.'!B2</f>
        <v>RUN TIME (DAYS)</v>
      </c>
      <c r="K1" t="str">
        <f>'In Process Calc.'!C2</f>
        <v>RUN TIME (HOURS)</v>
      </c>
      <c r="L1" t="s">
        <v>489</v>
      </c>
      <c r="M1" t="s">
        <v>491</v>
      </c>
      <c r="N1" t="s">
        <v>490</v>
      </c>
      <c r="O1" t="s">
        <v>492</v>
      </c>
      <c r="P1" t="s">
        <v>493</v>
      </c>
      <c r="Q1" s="323" t="s">
        <v>494</v>
      </c>
      <c r="R1" s="323" t="s">
        <v>711</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495</v>
      </c>
      <c r="Z1" t="s">
        <v>496</v>
      </c>
      <c r="AA1" t="s">
        <v>497</v>
      </c>
      <c r="AB1" t="s">
        <v>498</v>
      </c>
      <c r="AC1" t="s">
        <v>499</v>
      </c>
      <c r="AD1" t="s">
        <v>500</v>
      </c>
      <c r="AE1" t="s">
        <v>501</v>
      </c>
      <c r="AF1" t="s">
        <v>502</v>
      </c>
      <c r="AG1" t="s">
        <v>503</v>
      </c>
      <c r="AH1" t="s">
        <v>504</v>
      </c>
      <c r="AI1" t="s">
        <v>505</v>
      </c>
      <c r="AJ1" t="s">
        <v>506</v>
      </c>
      <c r="AK1" t="s">
        <v>514</v>
      </c>
      <c r="AL1" t="s">
        <v>515</v>
      </c>
      <c r="AM1" t="s">
        <v>516</v>
      </c>
      <c r="AN1" t="s">
        <v>517</v>
      </c>
      <c r="AO1" t="s">
        <v>518</v>
      </c>
      <c r="AP1" t="s">
        <v>519</v>
      </c>
      <c r="AQ1" t="s">
        <v>520</v>
      </c>
      <c r="AR1" t="s">
        <v>521</v>
      </c>
      <c r="AS1" t="s">
        <v>522</v>
      </c>
      <c r="AT1" t="s">
        <v>523</v>
      </c>
      <c r="AU1" t="s">
        <v>524</v>
      </c>
      <c r="AV1" t="s">
        <v>525</v>
      </c>
      <c r="AW1" t="s">
        <v>526</v>
      </c>
      <c r="AX1" t="s">
        <v>527</v>
      </c>
      <c r="AY1" t="s">
        <v>528</v>
      </c>
      <c r="AZ1" t="s">
        <v>529</v>
      </c>
      <c r="BA1" t="s">
        <v>530</v>
      </c>
      <c r="BB1" t="s">
        <v>531</v>
      </c>
      <c r="BC1" t="s">
        <v>532</v>
      </c>
      <c r="BD1" t="s">
        <v>533</v>
      </c>
      <c r="BE1" t="s">
        <v>534</v>
      </c>
      <c r="BF1" t="s">
        <v>535</v>
      </c>
      <c r="BG1" t="s">
        <v>536</v>
      </c>
      <c r="BH1" t="s">
        <v>537</v>
      </c>
      <c r="BI1" t="s">
        <v>538</v>
      </c>
      <c r="BJ1" t="s">
        <v>539</v>
      </c>
      <c r="BK1" t="s">
        <v>540</v>
      </c>
      <c r="BL1" t="s">
        <v>541</v>
      </c>
      <c r="BM1" t="s">
        <v>542</v>
      </c>
      <c r="BN1" t="s">
        <v>543</v>
      </c>
      <c r="BO1" t="s">
        <v>544</v>
      </c>
      <c r="BP1" t="s">
        <v>545</v>
      </c>
      <c r="BQ1" t="s">
        <v>546</v>
      </c>
      <c r="BR1" t="s">
        <v>547</v>
      </c>
      <c r="BS1" t="s">
        <v>548</v>
      </c>
      <c r="BT1" t="s">
        <v>549</v>
      </c>
      <c r="BU1" t="s">
        <v>550</v>
      </c>
      <c r="BV1" t="s">
        <v>551</v>
      </c>
      <c r="BW1" t="s">
        <v>552</v>
      </c>
      <c r="BX1" t="s">
        <v>553</v>
      </c>
      <c r="BY1" t="s">
        <v>554</v>
      </c>
      <c r="BZ1" t="s">
        <v>555</v>
      </c>
      <c r="CA1" t="s">
        <v>556</v>
      </c>
      <c r="CB1" t="s">
        <v>557</v>
      </c>
      <c r="CC1" t="s">
        <v>558</v>
      </c>
      <c r="CD1" t="s">
        <v>559</v>
      </c>
      <c r="CE1" t="s">
        <v>560</v>
      </c>
      <c r="CF1" t="s">
        <v>561</v>
      </c>
      <c r="CG1" t="s">
        <v>562</v>
      </c>
      <c r="CH1" t="s">
        <v>563</v>
      </c>
      <c r="CI1" t="s">
        <v>564</v>
      </c>
      <c r="CJ1" t="s">
        <v>565</v>
      </c>
      <c r="CK1" t="s">
        <v>566</v>
      </c>
      <c r="CL1" t="s">
        <v>567</v>
      </c>
      <c r="CM1" t="s">
        <v>568</v>
      </c>
      <c r="CN1" t="s">
        <v>569</v>
      </c>
      <c r="CO1" t="s">
        <v>570</v>
      </c>
      <c r="CP1" t="s">
        <v>571</v>
      </c>
      <c r="CQ1" t="s">
        <v>572</v>
      </c>
      <c r="CR1" t="s">
        <v>573</v>
      </c>
      <c r="CS1" t="s">
        <v>574</v>
      </c>
      <c r="CT1" t="s">
        <v>575</v>
      </c>
      <c r="CU1" t="s">
        <v>576</v>
      </c>
      <c r="CV1" t="s">
        <v>587</v>
      </c>
      <c r="CW1" t="s">
        <v>588</v>
      </c>
      <c r="CX1" t="s">
        <v>577</v>
      </c>
      <c r="CY1" t="s">
        <v>709</v>
      </c>
    </row>
    <row r="2" spans="1:103">
      <c r="A2">
        <f>'Measured Data'!A7</f>
        <v>0</v>
      </c>
      <c r="B2" t="s">
        <v>582</v>
      </c>
      <c r="C2" s="324" t="s">
        <v>586</v>
      </c>
      <c r="D2">
        <v>1</v>
      </c>
      <c r="E2">
        <f>'Measured Data'!H7</f>
        <v>0.26</v>
      </c>
      <c r="F2" s="477">
        <f>'Measured Data'!K7</f>
        <v>99.6</v>
      </c>
      <c r="G2" t="s">
        <v>513</v>
      </c>
      <c r="H2" s="321">
        <f>'Measured Data'!B7</f>
        <v>2.5694444448163267E-2</v>
      </c>
      <c r="I2" s="322">
        <f>'Measured Data'!C7</f>
        <v>0.61666666675591841</v>
      </c>
      <c r="J2">
        <f>'In Process Calc.'!B3</f>
        <v>2.5694444448163267E-2</v>
      </c>
      <c r="K2">
        <f>'In Process Calc.'!C3</f>
        <v>0.61666666675591841</v>
      </c>
      <c r="L2">
        <f>'Measured Data'!Z7</f>
        <v>34.08157374719687</v>
      </c>
      <c r="M2">
        <f>'Measured Data'!AF7</f>
        <v>0.6660746003552398</v>
      </c>
      <c r="N2">
        <f>'Measured Data'!AA7</f>
        <v>0</v>
      </c>
      <c r="O2">
        <f>'Measured Data'!W7</f>
        <v>6.718</v>
      </c>
      <c r="P2">
        <f>'Measured Data'!X7</f>
        <v>1.8839999999999999</v>
      </c>
      <c r="Q2">
        <f>'Growth Regression'!P2</f>
        <v>2.61377814069895E-2</v>
      </c>
      <c r="R2">
        <f>Q2/'Growth Regression'!$O$24</f>
        <v>0.98472547910282948</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0.75120083781418034</v>
      </c>
      <c r="AL2">
        <f t="array" ref="AL2">INDEX(Transcriptome!E$2:E$28,MATCH(1,(Transcriptome!$A$2:$A$28=$B2)*(Transcriptome!$C$2:$C$28=$G2),0))</f>
        <v>1.3452090544846451</v>
      </c>
      <c r="AM2">
        <f t="array" ref="AM2">INDEX(Transcriptome!F$2:F$28,MATCH(1,(Transcriptome!$A$2:$A$28=$B2)*(Transcriptome!$C$2:$C$28=$G2),0))</f>
        <v>1.1599251488993827</v>
      </c>
      <c r="AN2">
        <f t="array" ref="AN2">INDEX(Transcriptome!G$2:G$28,MATCH(1,(Transcriptome!$A$2:$A$28=$B2)*(Transcriptome!$C$2:$C$28=$G2),0))</f>
        <v>0.70921905462414569</v>
      </c>
      <c r="AO2">
        <f t="array" ref="AO2">INDEX(Transcriptome!H$2:H$28,MATCH(1,(Transcriptome!$A$2:$A$28=$B2)*(Transcriptome!$C$2:$C$28=$G2),0))</f>
        <v>0</v>
      </c>
      <c r="AP2">
        <f t="array" ref="AP2">INDEX(Transcriptome!I$2:I$28,MATCH(1,(Transcriptome!$A$2:$A$28=$B2)*(Transcriptome!$C$2:$C$28=$G2),0))</f>
        <v>1.6282553995115943</v>
      </c>
      <c r="AQ2">
        <f t="array" ref="AQ2">INDEX(Transcriptome!J$2:J$28,MATCH(1,(Transcriptome!$A$2:$A$28=$B2)*(Transcriptome!$C$2:$C$28=$G2),0))</f>
        <v>1.0870691735149791</v>
      </c>
      <c r="AR2">
        <f t="array" ref="AR2">INDEX(Transcriptome!K$2:K$28,MATCH(1,(Transcriptome!$A$2:$A$28=$B2)*(Transcriptome!$C$2:$C$28=$G2),0))</f>
        <v>1.4630306834308657</v>
      </c>
      <c r="AS2">
        <f t="array" ref="AS2">INDEX(Transcriptome!L$2:L$28,MATCH(1,(Transcriptome!$A$2:$A$28=$B2)*(Transcriptome!$C$2:$C$28=$G2),0))</f>
        <v>1.0171797240321683</v>
      </c>
      <c r="AT2">
        <f t="array" ref="AT2">INDEX(Transcriptome!M$2:M$28,MATCH(1,(Transcriptome!$A$2:$A$28=$B2)*(Transcriptome!$C$2:$C$28=$G2),0))</f>
        <v>1.0744738748130889</v>
      </c>
      <c r="AU2">
        <f t="array" ref="AU2">INDEX(Transcriptome!N$2:N$28,MATCH(1,(Transcriptome!$A$2:$A$28=$B2)*(Transcriptome!$C$2:$C$28=$G2),0))</f>
        <v>1.2349088890793825</v>
      </c>
      <c r="AV2">
        <f t="array" ref="AV2">INDEX(Transcriptome!O$2:O$28,MATCH(1,(Transcriptome!$A$2:$A$28=$B2)*(Transcriptome!$C$2:$C$28=$G2),0))</f>
        <v>1.5128732832839087</v>
      </c>
      <c r="AW2">
        <f t="array" ref="AW2">INDEX(Transcriptome!P$2:P$28,MATCH(1,(Transcriptome!$A$2:$A$28=$B2)*(Transcriptome!$C$2:$C$28=$G2),0))</f>
        <v>1.418626571205134</v>
      </c>
      <c r="AX2">
        <f t="array" ref="AX2">INDEX(Transcriptome!Q$2:Q$28,MATCH(1,(Transcriptome!$A$2:$A$28=$B2)*(Transcriptome!$C$2:$C$28=$G2),0))</f>
        <v>0.75818627044108666</v>
      </c>
      <c r="AY2">
        <f t="array" ref="AY2">INDEX(Transcriptome!R$2:R$28,MATCH(1,(Transcriptome!$A$2:$A$28=$B2)*(Transcriptome!$C$2:$C$28=$G2),0))</f>
        <v>0.62222364572130617</v>
      </c>
      <c r="AZ2">
        <f t="array" ref="AZ2">INDEX(Transcriptome!S$2:S$28,MATCH(1,(Transcriptome!$A$2:$A$28=$B2)*(Transcriptome!$C$2:$C$28=$G2),0))</f>
        <v>0.45398180100126823</v>
      </c>
      <c r="BA2">
        <f t="array" ref="BA2">INDEX(Transcriptome!T$2:T$28,MATCH(1,(Transcriptome!$A$2:$A$28=$B2)*(Transcriptome!$C$2:$C$28=$G2),0))</f>
        <v>1.2443611151314311</v>
      </c>
      <c r="BB2">
        <f t="array" ref="BB2">INDEX(Transcriptome!U$2:U$28,MATCH(1,(Transcriptome!$A$2:$A$28=$B2)*(Transcriptome!$C$2:$C$28=$G2),0))</f>
        <v>3.4109020413139706</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1.1597576413818276</v>
      </c>
      <c r="BF2">
        <f t="array" ref="BF2">INDEX(Transcriptome!Y$2:Y$28,MATCH(1,(Transcriptome!$A$2:$A$28=$B2)*(Transcriptome!$C$2:$C$28=$G2),0))</f>
        <v>0</v>
      </c>
      <c r="BG2">
        <f t="array" ref="BG2">INDEX(Transcriptome!Z$2:Z$28,MATCH(1,(Transcriptome!$A$2:$A$28=$B2)*(Transcriptome!$C$2:$C$28=$G2),0))</f>
        <v>1.4224053459159063</v>
      </c>
      <c r="BH2">
        <f t="array" ref="BH2">INDEX(Transcriptome!AA$2:AA$28,MATCH(1,(Transcriptome!$A$2:$A$28=$B2)*(Transcriptome!$C$2:$C$28=$G2),0))</f>
        <v>1.0785765460349117</v>
      </c>
      <c r="BI2">
        <f t="array" ref="BI2">INDEX(Transcriptome!AB$2:AB$28,MATCH(1,(Transcriptome!$A$2:$A$28=$B2)*(Transcriptome!$C$2:$C$28=$G2),0))</f>
        <v>0.473674659694519</v>
      </c>
      <c r="BJ2">
        <f t="array" ref="BJ2">INDEX(Transcriptome!AC$2:AC$28,MATCH(1,(Transcriptome!$A$2:$A$28=$B2)*(Transcriptome!$C$2:$C$28=$G2),0))</f>
        <v>1.0599593993610694</v>
      </c>
      <c r="BK2">
        <f t="array" ref="BK2">INDEX(Transcriptome!AD$2:AD$28,MATCH(1,(Transcriptome!$A$2:$A$28=$B2)*(Transcriptome!$C$2:$C$28=$G2),0))</f>
        <v>1.2080921631861166</v>
      </c>
      <c r="BL2">
        <f t="array" ref="BL2">INDEX(Transcriptome!AE$2:AE$28,MATCH(1,(Transcriptome!$A$2:$A$28=$B2)*(Transcriptome!$C$2:$C$28=$G2),0))</f>
        <v>1.5382205274541896</v>
      </c>
      <c r="BM2">
        <f t="array" ref="BM2">INDEX(Transcriptome!AF$2:AF$28,MATCH(1,(Transcriptome!$A$2:$A$28=$B2)*(Transcriptome!$C$2:$C$28=$G2),0))</f>
        <v>0.8896276701542809</v>
      </c>
      <c r="BN2">
        <f t="array" ref="BN2">INDEX(Transcriptome!AG$2:AG$28,MATCH(1,(Transcriptome!$A$2:$A$28=$B2)*(Transcriptome!$C$2:$C$28=$G2),0))</f>
        <v>0.5163962964725155</v>
      </c>
      <c r="BO2">
        <f t="array" ref="BO2">INDEX(Transcriptome!AH$2:AH$28,MATCH(1,(Transcriptome!$A$2:$A$28=$B2)*(Transcriptome!$C$2:$C$28=$G2),0))</f>
        <v>2.1130256851285192</v>
      </c>
      <c r="BP2">
        <f t="array" ref="BP2">INDEX(Transcriptome!AI$2:AI$28,MATCH(1,(Transcriptome!$A$2:$A$28=$B2)*(Transcriptome!$C$2:$C$28=$G2),0))</f>
        <v>0.83004246210802102</v>
      </c>
      <c r="BQ2">
        <f t="array" ref="BQ2">INDEX(Transcriptome!AJ$2:AJ$28,MATCH(1,(Transcriptome!$A$2:$A$28=$B2)*(Transcriptome!$C$2:$C$28=$G2),0))</f>
        <v>0.91927335509585972</v>
      </c>
      <c r="BR2">
        <f t="array" ref="BR2">INDEX(Transcriptome!AK$2:AK$28,MATCH(1,(Transcriptome!$A$2:$A$28=$B2)*(Transcriptome!$C$2:$C$28=$G2),0))</f>
        <v>0.86442341502752595</v>
      </c>
      <c r="BS2">
        <f t="array" ref="BS2">INDEX(Transcriptome!AL$2:AL$28,MATCH(1,(Transcriptome!$A$2:$A$28=$B2)*(Transcriptome!$C$2:$C$28=$G2),0))</f>
        <v>1</v>
      </c>
      <c r="BT2">
        <f t="array" ref="BT2">INDEX(Transcriptome!AM$2:AM$28,MATCH(1,(Transcriptome!$A$2:$A$28=$B2)*(Transcriptome!$C$2:$C$28=$G2),0))</f>
        <v>0.77410003444406195</v>
      </c>
      <c r="BU2">
        <f t="array" ref="BU2">INDEX(Transcriptome!AN$2:AN$28,MATCH(1,(Transcriptome!$A$2:$A$28=$B2)*(Transcriptome!$C$2:$C$28=$G2),0))</f>
        <v>1.0525309554062177</v>
      </c>
      <c r="BV2">
        <f t="array" ref="BV2">INDEX(Transcriptome!AO$2:AO$28,MATCH(1,(Transcriptome!$A$2:$A$28=$B2)*(Transcriptome!$C$2:$C$28=$G2),0))</f>
        <v>1.2717687051722399</v>
      </c>
      <c r="BW2">
        <f t="array" ref="BW2">INDEX(Transcriptome!AP$2:AP$28,MATCH(1,(Transcriptome!$A$2:$A$28=$B2)*(Transcriptome!$C$2:$C$28=$G2),0))</f>
        <v>1.1267475274689782</v>
      </c>
      <c r="BX2">
        <f t="array" ref="BX2">INDEX(Transcriptome!AQ$2:AQ$28,MATCH(1,(Transcriptome!$A$2:$A$28=$B2)*(Transcriptome!$C$2:$C$28=$G2),0))</f>
        <v>1.4322233621409421</v>
      </c>
      <c r="BY2">
        <f t="array" ref="BY2">INDEX(Transcriptome!AR$2:AR$28,MATCH(1,(Transcriptome!$A$2:$A$28=$B2)*(Transcriptome!$C$2:$C$28=$G2),0))</f>
        <v>0.78466234379208444</v>
      </c>
      <c r="BZ2">
        <f t="array" ref="BZ2">INDEX(Transcriptome!AS$2:AS$28,MATCH(1,(Transcriptome!$A$2:$A$28=$B2)*(Transcriptome!$C$2:$C$28=$G2),0))</f>
        <v>1.0494434523058931</v>
      </c>
      <c r="CA2">
        <f t="array" ref="CA2">INDEX(Transcriptome!AT$2:AT$28,MATCH(1,(Transcriptome!$A$2:$A$28=$B2)*(Transcriptome!$C$2:$C$28=$G2),0))</f>
        <v>0.83007572688612297</v>
      </c>
      <c r="CB2">
        <f t="array" ref="CB2">INDEX(Transcriptome!AU$2:AU$28,MATCH(1,(Transcriptome!$A$2:$A$28=$B2)*(Transcriptome!$C$2:$C$28=$G2),0))</f>
        <v>1.7460276276240947</v>
      </c>
      <c r="CC2">
        <f t="array" ref="CC2">INDEX(Transcriptome!AV$2:AV$28,MATCH(1,(Transcriptome!$A$2:$A$28=$B2)*(Transcriptome!$C$2:$C$28=$G2),0))</f>
        <v>0.66402112588341244</v>
      </c>
      <c r="CD2">
        <f t="array" ref="CD2">INDEX(Transcriptome!AW$2:AW$28,MATCH(1,(Transcriptome!$A$2:$A$28=$B2)*(Transcriptome!$C$2:$C$28=$G2),0))</f>
        <v>0.81142190925227209</v>
      </c>
      <c r="CE2">
        <f t="array" ref="CE2">INDEX(Transcriptome!AX$2:AX$28,MATCH(1,(Transcriptome!$A$2:$A$28=$B2)*(Transcriptome!$C$2:$C$28=$G2),0))</f>
        <v>0.81666505828774349</v>
      </c>
      <c r="CF2">
        <f t="array" ref="CF2">INDEX(Transcriptome!AY$2:AY$28,MATCH(1,(Transcriptome!$A$2:$A$28=$B2)*(Transcriptome!$C$2:$C$28=$G2),0))</f>
        <v>0.95021814160116058</v>
      </c>
      <c r="CG2">
        <f t="array" ref="CG2">INDEX(Transcriptome!AZ$2:AZ$28,MATCH(1,(Transcriptome!$A$2:$A$28=$B2)*(Transcriptome!$C$2:$C$28=$G2),0))</f>
        <v>0.94937399788501819</v>
      </c>
      <c r="CH2">
        <f t="array" ref="CH2">INDEX(Transcriptome!BA$2:BA$28,MATCH(1,(Transcriptome!$A$2:$A$28=$B2)*(Transcriptome!$C$2:$C$28=$G2),0))</f>
        <v>1.8902342706959754</v>
      </c>
      <c r="CI2">
        <f t="array" ref="CI2">INDEX(Transcriptome!BB$2:BB$28,MATCH(1,(Transcriptome!$A$2:$A$28=$B2)*(Transcriptome!$C$2:$C$28=$G2),0))</f>
        <v>2.3470969042014311</v>
      </c>
      <c r="CJ2">
        <f t="array" ref="CJ2">INDEX(Transcriptome!BC$2:BC$28,MATCH(1,(Transcriptome!$A$2:$A$28=$B2)*(Transcriptome!$C$2:$C$28=$G2),0))</f>
        <v>0</v>
      </c>
      <c r="CK2">
        <f t="array" ref="CK2">INDEX(Transcriptome!BD$2:BD$28,MATCH(1,(Transcriptome!$A$2:$A$28=$B2)*(Transcriptome!$C$2:$C$28=$G2),0))</f>
        <v>1.5657670378943449</v>
      </c>
      <c r="CL2">
        <f t="array" ref="CL2">INDEX(Transcriptome!BE$2:BE$28,MATCH(1,(Transcriptome!$A$2:$A$28=$B2)*(Transcriptome!$C$2:$C$28=$G2),0))</f>
        <v>1.3747651173760067</v>
      </c>
      <c r="CM2">
        <f t="array" ref="CM2">INDEX(Transcriptome!BF$2:BF$28,MATCH(1,(Transcriptome!$A$2:$A$28=$B2)*(Transcriptome!$C$2:$C$28=$G2),0))</f>
        <v>1.643579659112117</v>
      </c>
      <c r="CN2">
        <f t="array" ref="CN2">INDEX(Transcriptome!BG$2:BG$28,MATCH(1,(Transcriptome!$A$2:$A$28=$B2)*(Transcriptome!$C$2:$C$28=$G2),0))</f>
        <v>2.3378670928049927</v>
      </c>
      <c r="CO2">
        <f t="array" ref="CO2">INDEX(Transcriptome!BH$2:BH$28,MATCH(1,(Transcriptome!$A$2:$A$28=$B2)*(Transcriptome!$C$2:$C$28=$G2),0))</f>
        <v>0.67281144000502036</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2.2087413434455483</v>
      </c>
      <c r="CS2">
        <f t="array" ref="CS2">INDEX(Transcriptome!BL$2:BL$28,MATCH(1,(Transcriptome!$A$2:$A$28=$B2)*(Transcriptome!$C$2:$C$28=$G2),0))</f>
        <v>1.8626260215226293</v>
      </c>
      <c r="CT2">
        <f t="array" ref="CT2">INDEX(Transcriptome!BM$2:BM$28,MATCH(1,(Transcriptome!$A$2:$A$28=$B2)*(Transcriptome!$C$2:$C$28=$G2),0))</f>
        <v>0.6498926544427488</v>
      </c>
      <c r="CU2">
        <f t="array" ref="CU2">INDEX(Transcriptome!BN$2:BN$28,MATCH(1,(Transcriptome!$A$2:$A$28=$B2)*(Transcriptome!$C$2:$C$28=$G2),0))</f>
        <v>30.252756592141139</v>
      </c>
      <c r="CV2">
        <f t="array" ref="CV2">INDEX(Transcriptome!BO$2:BO$28,MATCH(1,(Transcriptome!$A$2:$A$28=$B2)*(Transcriptome!$C$2:$C$28=$G2),0))</f>
        <v>1.8572773148073258</v>
      </c>
      <c r="CW2">
        <f t="array" ref="CW2">INDEX(Transcriptome!BP$2:BP$28,MATCH(1,(Transcriptome!$A$2:$A$28=$B2)*(Transcriptome!$C$2:$C$28=$G2),0))</f>
        <v>0.67281144000502036</v>
      </c>
      <c r="CX2">
        <f t="array" ref="CX2">INDEX(Transcriptome!BQ$2:BQ$28,MATCH(1,(Transcriptome!$A$2:$A$28=$B2)*(Transcriptome!$C$2:$C$28=$G2),0))</f>
        <v>1</v>
      </c>
      <c r="CY2">
        <f t="array" ref="CY2">INDEX(Transcriptome!BR$2:BR$28,MATCH(1,(Transcriptome!$A$2:$A$28=$B2)*(Transcriptome!$C$2:$C$28=$G2),0))</f>
        <v>1.2652823875258563</v>
      </c>
    </row>
    <row r="3" spans="1:103">
      <c r="A3">
        <f>'Measured Data'!A8</f>
        <v>1</v>
      </c>
      <c r="B3" t="s">
        <v>582</v>
      </c>
      <c r="C3" s="324" t="s">
        <v>586</v>
      </c>
      <c r="D3">
        <v>1</v>
      </c>
      <c r="E3">
        <f>'Measured Data'!H8</f>
        <v>0.43249998817443841</v>
      </c>
      <c r="F3" s="477">
        <f>'Measured Data'!K8</f>
        <v>99.411796569824219</v>
      </c>
      <c r="G3" t="s">
        <v>513</v>
      </c>
      <c r="H3" s="321">
        <f>'Measured Data'!B8</f>
        <v>0.8868055555576575</v>
      </c>
      <c r="I3" s="322">
        <f>'Measured Data'!C8</f>
        <v>21.28333333338378</v>
      </c>
      <c r="J3">
        <f>'In Process Calc.'!B4</f>
        <v>0.8868055555576575</v>
      </c>
      <c r="K3">
        <f>'In Process Calc.'!C4</f>
        <v>21.28333333338378</v>
      </c>
      <c r="L3">
        <f>'Measured Data'!Z8</f>
        <v>32.860409867004151</v>
      </c>
      <c r="M3">
        <f>'Measured Data'!AF8</f>
        <v>1.3321492007104796</v>
      </c>
      <c r="N3">
        <f>'Measured Data'!AA8</f>
        <v>0</v>
      </c>
      <c r="O3">
        <f>'Measured Data'!W8</f>
        <v>6.3630000000000004</v>
      </c>
      <c r="P3">
        <f>'Measured Data'!X8</f>
        <v>1.9319999999999999</v>
      </c>
      <c r="Q3">
        <f>'Growth Regression'!P3</f>
        <v>2.5849252378696761E-2</v>
      </c>
      <c r="R3">
        <f>Q3/'Growth Regression'!$O$24</f>
        <v>0.97385531834983363</v>
      </c>
      <c r="S3">
        <f>'Post Process Calc.'!K4</f>
        <v>4.0979128707748252E-2</v>
      </c>
      <c r="T3">
        <f>'Post Process Calc.'!Q4</f>
        <v>1.6113994448061195E-2</v>
      </c>
      <c r="U3">
        <f>'Post Process Calc.'!L4</f>
        <v>-2.1788301503209831E-2</v>
      </c>
      <c r="V3">
        <f>'Post Process Calc.'!H4</f>
        <v>3.3605251098454407E-2</v>
      </c>
      <c r="W3">
        <f>'Post Process Calc.'!I4</f>
        <v>7.0182415339087187E-2</v>
      </c>
      <c r="X3">
        <f>'Post Process Calc.'!AG4</f>
        <v>0.393224428049257</v>
      </c>
      <c r="Y3">
        <f>S3/0.0016</f>
        <v>25.611955442342655</v>
      </c>
      <c r="Z3">
        <f t="shared" ref="Y3:Z14" si="2">T3/0.0016</f>
        <v>10.071246530038247</v>
      </c>
      <c r="AA3">
        <f t="shared" si="0"/>
        <v>-13.617688439506143</v>
      </c>
      <c r="AB3">
        <f t="shared" si="0"/>
        <v>21.003281936534002</v>
      </c>
      <c r="AC3">
        <f t="shared" si="0"/>
        <v>43.864009586929491</v>
      </c>
      <c r="AD3">
        <v>100</v>
      </c>
      <c r="AE3">
        <v>0.32</v>
      </c>
      <c r="AF3">
        <v>7</v>
      </c>
      <c r="AG3">
        <v>0.7</v>
      </c>
      <c r="AH3">
        <f t="shared" si="1"/>
        <v>5.0118723362727164E-8</v>
      </c>
      <c r="AI3">
        <v>1</v>
      </c>
      <c r="AJ3">
        <v>0.311</v>
      </c>
      <c r="AK3">
        <f t="array" ref="AK3">INDEX(Transcriptome!D$2:D$28,MATCH(1,(Transcriptome!$A$2:$A$28=$B3)*(Transcriptome!$C$2:$C$28=$G3),0))</f>
        <v>0.75120083781418034</v>
      </c>
      <c r="AL3">
        <f t="array" ref="AL3">INDEX(Transcriptome!E$2:E$28,MATCH(1,(Transcriptome!$A$2:$A$28=$B3)*(Transcriptome!$C$2:$C$28=$G3),0))</f>
        <v>1.3452090544846451</v>
      </c>
      <c r="AM3">
        <f t="array" ref="AM3">INDEX(Transcriptome!F$2:F$28,MATCH(1,(Transcriptome!$A$2:$A$28=$B3)*(Transcriptome!$C$2:$C$28=$G3),0))</f>
        <v>1.1599251488993827</v>
      </c>
      <c r="AN3">
        <f t="array" ref="AN3">INDEX(Transcriptome!G$2:G$28,MATCH(1,(Transcriptome!$A$2:$A$28=$B3)*(Transcriptome!$C$2:$C$28=$G3),0))</f>
        <v>0.70921905462414569</v>
      </c>
      <c r="AO3">
        <f t="array" ref="AO3">INDEX(Transcriptome!H$2:H$28,MATCH(1,(Transcriptome!$A$2:$A$28=$B3)*(Transcriptome!$C$2:$C$28=$G3),0))</f>
        <v>0</v>
      </c>
      <c r="AP3">
        <f t="array" ref="AP3">INDEX(Transcriptome!I$2:I$28,MATCH(1,(Transcriptome!$A$2:$A$28=$B3)*(Transcriptome!$C$2:$C$28=$G3),0))</f>
        <v>1.6282553995115943</v>
      </c>
      <c r="AQ3">
        <f t="array" ref="AQ3">INDEX(Transcriptome!J$2:J$28,MATCH(1,(Transcriptome!$A$2:$A$28=$B3)*(Transcriptome!$C$2:$C$28=$G3),0))</f>
        <v>1.0870691735149791</v>
      </c>
      <c r="AR3">
        <f t="array" ref="AR3">INDEX(Transcriptome!K$2:K$28,MATCH(1,(Transcriptome!$A$2:$A$28=$B3)*(Transcriptome!$C$2:$C$28=$G3),0))</f>
        <v>1.4630306834308657</v>
      </c>
      <c r="AS3">
        <f t="array" ref="AS3">INDEX(Transcriptome!L$2:L$28,MATCH(1,(Transcriptome!$A$2:$A$28=$B3)*(Transcriptome!$C$2:$C$28=$G3),0))</f>
        <v>1.0171797240321683</v>
      </c>
      <c r="AT3">
        <f t="array" ref="AT3">INDEX(Transcriptome!M$2:M$28,MATCH(1,(Transcriptome!$A$2:$A$28=$B3)*(Transcriptome!$C$2:$C$28=$G3),0))</f>
        <v>1.0744738748130889</v>
      </c>
      <c r="AU3">
        <f t="array" ref="AU3">INDEX(Transcriptome!N$2:N$28,MATCH(1,(Transcriptome!$A$2:$A$28=$B3)*(Transcriptome!$C$2:$C$28=$G3),0))</f>
        <v>1.2349088890793825</v>
      </c>
      <c r="AV3">
        <f t="array" ref="AV3">INDEX(Transcriptome!O$2:O$28,MATCH(1,(Transcriptome!$A$2:$A$28=$B3)*(Transcriptome!$C$2:$C$28=$G3),0))</f>
        <v>1.5128732832839087</v>
      </c>
      <c r="AW3">
        <f t="array" ref="AW3">INDEX(Transcriptome!P$2:P$28,MATCH(1,(Transcriptome!$A$2:$A$28=$B3)*(Transcriptome!$C$2:$C$28=$G3),0))</f>
        <v>1.418626571205134</v>
      </c>
      <c r="AX3">
        <f t="array" ref="AX3">INDEX(Transcriptome!Q$2:Q$28,MATCH(1,(Transcriptome!$A$2:$A$28=$B3)*(Transcriptome!$C$2:$C$28=$G3),0))</f>
        <v>0.75818627044108666</v>
      </c>
      <c r="AY3">
        <f t="array" ref="AY3">INDEX(Transcriptome!R$2:R$28,MATCH(1,(Transcriptome!$A$2:$A$28=$B3)*(Transcriptome!$C$2:$C$28=$G3),0))</f>
        <v>0.62222364572130617</v>
      </c>
      <c r="AZ3">
        <f t="array" ref="AZ3">INDEX(Transcriptome!S$2:S$28,MATCH(1,(Transcriptome!$A$2:$A$28=$B3)*(Transcriptome!$C$2:$C$28=$G3),0))</f>
        <v>0.45398180100126823</v>
      </c>
      <c r="BA3">
        <f t="array" ref="BA3">INDEX(Transcriptome!T$2:T$28,MATCH(1,(Transcriptome!$A$2:$A$28=$B3)*(Transcriptome!$C$2:$C$28=$G3),0))</f>
        <v>1.2443611151314311</v>
      </c>
      <c r="BB3">
        <f t="array" ref="BB3">INDEX(Transcriptome!U$2:U$28,MATCH(1,(Transcriptome!$A$2:$A$28=$B3)*(Transcriptome!$C$2:$C$28=$G3),0))</f>
        <v>3.4109020413139706</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1.1597576413818276</v>
      </c>
      <c r="BF3">
        <f t="array" ref="BF3">INDEX(Transcriptome!Y$2:Y$28,MATCH(1,(Transcriptome!$A$2:$A$28=$B3)*(Transcriptome!$C$2:$C$28=$G3),0))</f>
        <v>0</v>
      </c>
      <c r="BG3">
        <f t="array" ref="BG3">INDEX(Transcriptome!Z$2:Z$28,MATCH(1,(Transcriptome!$A$2:$A$28=$B3)*(Transcriptome!$C$2:$C$28=$G3),0))</f>
        <v>1.4224053459159063</v>
      </c>
      <c r="BH3">
        <f t="array" ref="BH3">INDEX(Transcriptome!AA$2:AA$28,MATCH(1,(Transcriptome!$A$2:$A$28=$B3)*(Transcriptome!$C$2:$C$28=$G3),0))</f>
        <v>1.0785765460349117</v>
      </c>
      <c r="BI3">
        <f t="array" ref="BI3">INDEX(Transcriptome!AB$2:AB$28,MATCH(1,(Transcriptome!$A$2:$A$28=$B3)*(Transcriptome!$C$2:$C$28=$G3),0))</f>
        <v>0.473674659694519</v>
      </c>
      <c r="BJ3">
        <f t="array" ref="BJ3">INDEX(Transcriptome!AC$2:AC$28,MATCH(1,(Transcriptome!$A$2:$A$28=$B3)*(Transcriptome!$C$2:$C$28=$G3),0))</f>
        <v>1.0599593993610694</v>
      </c>
      <c r="BK3">
        <f t="array" ref="BK3">INDEX(Transcriptome!AD$2:AD$28,MATCH(1,(Transcriptome!$A$2:$A$28=$B3)*(Transcriptome!$C$2:$C$28=$G3),0))</f>
        <v>1.2080921631861166</v>
      </c>
      <c r="BL3">
        <f t="array" ref="BL3">INDEX(Transcriptome!AE$2:AE$28,MATCH(1,(Transcriptome!$A$2:$A$28=$B3)*(Transcriptome!$C$2:$C$28=$G3),0))</f>
        <v>1.5382205274541896</v>
      </c>
      <c r="BM3">
        <f t="array" ref="BM3">INDEX(Transcriptome!AF$2:AF$28,MATCH(1,(Transcriptome!$A$2:$A$28=$B3)*(Transcriptome!$C$2:$C$28=$G3),0))</f>
        <v>0.8896276701542809</v>
      </c>
      <c r="BN3">
        <f t="array" ref="BN3">INDEX(Transcriptome!AG$2:AG$28,MATCH(1,(Transcriptome!$A$2:$A$28=$B3)*(Transcriptome!$C$2:$C$28=$G3),0))</f>
        <v>0.5163962964725155</v>
      </c>
      <c r="BO3">
        <f t="array" ref="BO3">INDEX(Transcriptome!AH$2:AH$28,MATCH(1,(Transcriptome!$A$2:$A$28=$B3)*(Transcriptome!$C$2:$C$28=$G3),0))</f>
        <v>2.1130256851285192</v>
      </c>
      <c r="BP3">
        <f t="array" ref="BP3">INDEX(Transcriptome!AI$2:AI$28,MATCH(1,(Transcriptome!$A$2:$A$28=$B3)*(Transcriptome!$C$2:$C$28=$G3),0))</f>
        <v>0.83004246210802102</v>
      </c>
      <c r="BQ3">
        <f t="array" ref="BQ3">INDEX(Transcriptome!AJ$2:AJ$28,MATCH(1,(Transcriptome!$A$2:$A$28=$B3)*(Transcriptome!$C$2:$C$28=$G3),0))</f>
        <v>0.91927335509585972</v>
      </c>
      <c r="BR3">
        <f t="array" ref="BR3">INDEX(Transcriptome!AK$2:AK$28,MATCH(1,(Transcriptome!$A$2:$A$28=$B3)*(Transcriptome!$C$2:$C$28=$G3),0))</f>
        <v>0.86442341502752595</v>
      </c>
      <c r="BS3">
        <f t="array" ref="BS3">INDEX(Transcriptome!AL$2:AL$28,MATCH(1,(Transcriptome!$A$2:$A$28=$B3)*(Transcriptome!$C$2:$C$28=$G3),0))</f>
        <v>1</v>
      </c>
      <c r="BT3">
        <f t="array" ref="BT3">INDEX(Transcriptome!AM$2:AM$28,MATCH(1,(Transcriptome!$A$2:$A$28=$B3)*(Transcriptome!$C$2:$C$28=$G3),0))</f>
        <v>0.77410003444406195</v>
      </c>
      <c r="BU3">
        <f t="array" ref="BU3">INDEX(Transcriptome!AN$2:AN$28,MATCH(1,(Transcriptome!$A$2:$A$28=$B3)*(Transcriptome!$C$2:$C$28=$G3),0))</f>
        <v>1.0525309554062177</v>
      </c>
      <c r="BV3">
        <f t="array" ref="BV3">INDEX(Transcriptome!AO$2:AO$28,MATCH(1,(Transcriptome!$A$2:$A$28=$B3)*(Transcriptome!$C$2:$C$28=$G3),0))</f>
        <v>1.2717687051722399</v>
      </c>
      <c r="BW3">
        <f t="array" ref="BW3">INDEX(Transcriptome!AP$2:AP$28,MATCH(1,(Transcriptome!$A$2:$A$28=$B3)*(Transcriptome!$C$2:$C$28=$G3),0))</f>
        <v>1.1267475274689782</v>
      </c>
      <c r="BX3">
        <f t="array" ref="BX3">INDEX(Transcriptome!AQ$2:AQ$28,MATCH(1,(Transcriptome!$A$2:$A$28=$B3)*(Transcriptome!$C$2:$C$28=$G3),0))</f>
        <v>1.4322233621409421</v>
      </c>
      <c r="BY3">
        <f t="array" ref="BY3">INDEX(Transcriptome!AR$2:AR$28,MATCH(1,(Transcriptome!$A$2:$A$28=$B3)*(Transcriptome!$C$2:$C$28=$G3),0))</f>
        <v>0.78466234379208444</v>
      </c>
      <c r="BZ3">
        <f t="array" ref="BZ3">INDEX(Transcriptome!AS$2:AS$28,MATCH(1,(Transcriptome!$A$2:$A$28=$B3)*(Transcriptome!$C$2:$C$28=$G3),0))</f>
        <v>1.0494434523058931</v>
      </c>
      <c r="CA3">
        <f t="array" ref="CA3">INDEX(Transcriptome!AT$2:AT$28,MATCH(1,(Transcriptome!$A$2:$A$28=$B3)*(Transcriptome!$C$2:$C$28=$G3),0))</f>
        <v>0.83007572688612297</v>
      </c>
      <c r="CB3">
        <f t="array" ref="CB3">INDEX(Transcriptome!AU$2:AU$28,MATCH(1,(Transcriptome!$A$2:$A$28=$B3)*(Transcriptome!$C$2:$C$28=$G3),0))</f>
        <v>1.7460276276240947</v>
      </c>
      <c r="CC3">
        <f t="array" ref="CC3">INDEX(Transcriptome!AV$2:AV$28,MATCH(1,(Transcriptome!$A$2:$A$28=$B3)*(Transcriptome!$C$2:$C$28=$G3),0))</f>
        <v>0.66402112588341244</v>
      </c>
      <c r="CD3">
        <f t="array" ref="CD3">INDEX(Transcriptome!AW$2:AW$28,MATCH(1,(Transcriptome!$A$2:$A$28=$B3)*(Transcriptome!$C$2:$C$28=$G3),0))</f>
        <v>0.81142190925227209</v>
      </c>
      <c r="CE3">
        <f t="array" ref="CE3">INDEX(Transcriptome!AX$2:AX$28,MATCH(1,(Transcriptome!$A$2:$A$28=$B3)*(Transcriptome!$C$2:$C$28=$G3),0))</f>
        <v>0.81666505828774349</v>
      </c>
      <c r="CF3">
        <f t="array" ref="CF3">INDEX(Transcriptome!AY$2:AY$28,MATCH(1,(Transcriptome!$A$2:$A$28=$B3)*(Transcriptome!$C$2:$C$28=$G3),0))</f>
        <v>0.95021814160116058</v>
      </c>
      <c r="CG3">
        <f t="array" ref="CG3">INDEX(Transcriptome!AZ$2:AZ$28,MATCH(1,(Transcriptome!$A$2:$A$28=$B3)*(Transcriptome!$C$2:$C$28=$G3),0))</f>
        <v>0.94937399788501819</v>
      </c>
      <c r="CH3">
        <f t="array" ref="CH3">INDEX(Transcriptome!BA$2:BA$28,MATCH(1,(Transcriptome!$A$2:$A$28=$B3)*(Transcriptome!$C$2:$C$28=$G3),0))</f>
        <v>1.8902342706959754</v>
      </c>
      <c r="CI3">
        <f t="array" ref="CI3">INDEX(Transcriptome!BB$2:BB$28,MATCH(1,(Transcriptome!$A$2:$A$28=$B3)*(Transcriptome!$C$2:$C$28=$G3),0))</f>
        <v>2.3470969042014311</v>
      </c>
      <c r="CJ3">
        <f t="array" ref="CJ3">INDEX(Transcriptome!BC$2:BC$28,MATCH(1,(Transcriptome!$A$2:$A$28=$B3)*(Transcriptome!$C$2:$C$28=$G3),0))</f>
        <v>0</v>
      </c>
      <c r="CK3">
        <f t="array" ref="CK3">INDEX(Transcriptome!BD$2:BD$28,MATCH(1,(Transcriptome!$A$2:$A$28=$B3)*(Transcriptome!$C$2:$C$28=$G3),0))</f>
        <v>1.5657670378943449</v>
      </c>
      <c r="CL3">
        <f t="array" ref="CL3">INDEX(Transcriptome!BE$2:BE$28,MATCH(1,(Transcriptome!$A$2:$A$28=$B3)*(Transcriptome!$C$2:$C$28=$G3),0))</f>
        <v>1.3747651173760067</v>
      </c>
      <c r="CM3">
        <f t="array" ref="CM3">INDEX(Transcriptome!BF$2:BF$28,MATCH(1,(Transcriptome!$A$2:$A$28=$B3)*(Transcriptome!$C$2:$C$28=$G3),0))</f>
        <v>1.643579659112117</v>
      </c>
      <c r="CN3">
        <f t="array" ref="CN3">INDEX(Transcriptome!BG$2:BG$28,MATCH(1,(Transcriptome!$A$2:$A$28=$B3)*(Transcriptome!$C$2:$C$28=$G3),0))</f>
        <v>2.3378670928049927</v>
      </c>
      <c r="CO3">
        <f t="array" ref="CO3">INDEX(Transcriptome!BH$2:BH$28,MATCH(1,(Transcriptome!$A$2:$A$28=$B3)*(Transcriptome!$C$2:$C$28=$G3),0))</f>
        <v>0.67281144000502036</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2.2087413434455483</v>
      </c>
      <c r="CS3">
        <f t="array" ref="CS3">INDEX(Transcriptome!BL$2:BL$28,MATCH(1,(Transcriptome!$A$2:$A$28=$B3)*(Transcriptome!$C$2:$C$28=$G3),0))</f>
        <v>1.8626260215226293</v>
      </c>
      <c r="CT3">
        <f t="array" ref="CT3">INDEX(Transcriptome!BM$2:BM$28,MATCH(1,(Transcriptome!$A$2:$A$28=$B3)*(Transcriptome!$C$2:$C$28=$G3),0))</f>
        <v>0.6498926544427488</v>
      </c>
      <c r="CU3">
        <f t="array" ref="CU3">INDEX(Transcriptome!BN$2:BN$28,MATCH(1,(Transcriptome!$A$2:$A$28=$B3)*(Transcriptome!$C$2:$C$28=$G3),0))</f>
        <v>30.252756592141139</v>
      </c>
      <c r="CV3">
        <f t="array" ref="CV3">INDEX(Transcriptome!BO$2:BO$28,MATCH(1,(Transcriptome!$A$2:$A$28=$B3)*(Transcriptome!$C$2:$C$28=$G3),0))</f>
        <v>1.8572773148073258</v>
      </c>
      <c r="CW3">
        <f t="array" ref="CW3">INDEX(Transcriptome!BP$2:BP$28,MATCH(1,(Transcriptome!$A$2:$A$28=$B3)*(Transcriptome!$C$2:$C$28=$G3),0))</f>
        <v>0.67281144000502036</v>
      </c>
      <c r="CX3">
        <f t="array" ref="CX3">INDEX(Transcriptome!BQ$2:BQ$28,MATCH(1,(Transcriptome!$A$2:$A$28=$B3)*(Transcriptome!$C$2:$C$28=$G3),0))</f>
        <v>1</v>
      </c>
      <c r="CY3">
        <f t="array" ref="CY3">INDEX(Transcriptome!BR$2:BR$28,MATCH(1,(Transcriptome!$A$2:$A$28=$B3)*(Transcriptome!$C$2:$C$28=$G3),0))</f>
        <v>1.2652823875258563</v>
      </c>
    </row>
    <row r="4" spans="1:103">
      <c r="A4">
        <f>'Measured Data'!A9</f>
        <v>2</v>
      </c>
      <c r="B4" t="s">
        <v>582</v>
      </c>
      <c r="C4" s="324" t="s">
        <v>586</v>
      </c>
      <c r="D4">
        <v>1</v>
      </c>
      <c r="E4">
        <f>'Measured Data'!H9</f>
        <v>0.84</v>
      </c>
      <c r="F4" s="477">
        <f>'Measured Data'!K9</f>
        <v>98.7</v>
      </c>
      <c r="G4" t="s">
        <v>513</v>
      </c>
      <c r="H4" s="321">
        <f>'Measured Data'!B9</f>
        <v>2.0229166666686069</v>
      </c>
      <c r="I4" s="322">
        <f>'Measured Data'!C9</f>
        <v>48.550000000046566</v>
      </c>
      <c r="J4">
        <f>'In Process Calc.'!B5</f>
        <v>2.0229166666686069</v>
      </c>
      <c r="K4">
        <f>'In Process Calc.'!C5</f>
        <v>48.550000000046566</v>
      </c>
      <c r="L4">
        <f>'Measured Data'!Z9</f>
        <v>32.083305579608783</v>
      </c>
      <c r="M4">
        <f>'Measured Data'!AF9</f>
        <v>2.5532859680284195</v>
      </c>
      <c r="N4">
        <f>'Measured Data'!AA9</f>
        <v>0.33200000000000002</v>
      </c>
      <c r="O4">
        <f>'Measured Data'!W9</f>
        <v>5.1859999999999999</v>
      </c>
      <c r="P4">
        <f>'Measured Data'!X9</f>
        <v>1.8180000000000001</v>
      </c>
      <c r="Q4">
        <f>'Growth Regression'!P4</f>
        <v>2.5150830105033578E-2</v>
      </c>
      <c r="R4">
        <f>Q4/'Growth Regression'!$O$24</f>
        <v>0.94754267163586459</v>
      </c>
      <c r="S4">
        <f>'Post Process Calc.'!K5</f>
        <v>0.10944412662374273</v>
      </c>
      <c r="T4">
        <f>'Post Process Calc.'!Q5</f>
        <v>8.3067473273430462E-2</v>
      </c>
      <c r="U4">
        <f>'Post Process Calc.'!L5</f>
        <v>-7.4697979419109453E-3</v>
      </c>
      <c r="V4">
        <f>'Post Process Calc.'!H5</f>
        <v>1.4326743173083321E-3</v>
      </c>
      <c r="W4">
        <f>'Post Process Calc.'!I5</f>
        <v>-1.4355056811020956E-3</v>
      </c>
      <c r="X4">
        <f>'Post Process Calc.'!AG5</f>
        <v>0.75899434566285684</v>
      </c>
      <c r="Y4">
        <f t="shared" si="2"/>
        <v>68.402579139839204</v>
      </c>
      <c r="Z4">
        <f t="shared" si="2"/>
        <v>51.917170795894037</v>
      </c>
      <c r="AA4">
        <f t="shared" si="0"/>
        <v>-4.6686237136943403</v>
      </c>
      <c r="AB4">
        <f t="shared" si="0"/>
        <v>0.89542144831770754</v>
      </c>
      <c r="AC4">
        <f t="shared" si="0"/>
        <v>-0.89719105068880978</v>
      </c>
      <c r="AD4">
        <v>100</v>
      </c>
      <c r="AE4">
        <v>0.32</v>
      </c>
      <c r="AF4">
        <v>7</v>
      </c>
      <c r="AG4">
        <v>0.7</v>
      </c>
      <c r="AH4">
        <f t="shared" si="1"/>
        <v>5.0118723362727164E-8</v>
      </c>
      <c r="AI4">
        <v>1</v>
      </c>
      <c r="AJ4">
        <v>0.311</v>
      </c>
      <c r="AK4">
        <f t="array" ref="AK4">INDEX(Transcriptome!D$2:D$28,MATCH(1,(Transcriptome!$A$2:$A$28=$B4)*(Transcriptome!$C$2:$C$28=$G4),0))</f>
        <v>0.75120083781418034</v>
      </c>
      <c r="AL4">
        <f t="array" ref="AL4">INDEX(Transcriptome!E$2:E$28,MATCH(1,(Transcriptome!$A$2:$A$28=$B4)*(Transcriptome!$C$2:$C$28=$G4),0))</f>
        <v>1.3452090544846451</v>
      </c>
      <c r="AM4">
        <f t="array" ref="AM4">INDEX(Transcriptome!F$2:F$28,MATCH(1,(Transcriptome!$A$2:$A$28=$B4)*(Transcriptome!$C$2:$C$28=$G4),0))</f>
        <v>1.1599251488993827</v>
      </c>
      <c r="AN4">
        <f t="array" ref="AN4">INDEX(Transcriptome!G$2:G$28,MATCH(1,(Transcriptome!$A$2:$A$28=$B4)*(Transcriptome!$C$2:$C$28=$G4),0))</f>
        <v>0.70921905462414569</v>
      </c>
      <c r="AO4">
        <f t="array" ref="AO4">INDEX(Transcriptome!H$2:H$28,MATCH(1,(Transcriptome!$A$2:$A$28=$B4)*(Transcriptome!$C$2:$C$28=$G4),0))</f>
        <v>0</v>
      </c>
      <c r="AP4">
        <f t="array" ref="AP4">INDEX(Transcriptome!I$2:I$28,MATCH(1,(Transcriptome!$A$2:$A$28=$B4)*(Transcriptome!$C$2:$C$28=$G4),0))</f>
        <v>1.6282553995115943</v>
      </c>
      <c r="AQ4">
        <f t="array" ref="AQ4">INDEX(Transcriptome!J$2:J$28,MATCH(1,(Transcriptome!$A$2:$A$28=$B4)*(Transcriptome!$C$2:$C$28=$G4),0))</f>
        <v>1.0870691735149791</v>
      </c>
      <c r="AR4">
        <f t="array" ref="AR4">INDEX(Transcriptome!K$2:K$28,MATCH(1,(Transcriptome!$A$2:$A$28=$B4)*(Transcriptome!$C$2:$C$28=$G4),0))</f>
        <v>1.4630306834308657</v>
      </c>
      <c r="AS4">
        <f t="array" ref="AS4">INDEX(Transcriptome!L$2:L$28,MATCH(1,(Transcriptome!$A$2:$A$28=$B4)*(Transcriptome!$C$2:$C$28=$G4),0))</f>
        <v>1.0171797240321683</v>
      </c>
      <c r="AT4">
        <f t="array" ref="AT4">INDEX(Transcriptome!M$2:M$28,MATCH(1,(Transcriptome!$A$2:$A$28=$B4)*(Transcriptome!$C$2:$C$28=$G4),0))</f>
        <v>1.0744738748130889</v>
      </c>
      <c r="AU4">
        <f t="array" ref="AU4">INDEX(Transcriptome!N$2:N$28,MATCH(1,(Transcriptome!$A$2:$A$28=$B4)*(Transcriptome!$C$2:$C$28=$G4),0))</f>
        <v>1.2349088890793825</v>
      </c>
      <c r="AV4">
        <f t="array" ref="AV4">INDEX(Transcriptome!O$2:O$28,MATCH(1,(Transcriptome!$A$2:$A$28=$B4)*(Transcriptome!$C$2:$C$28=$G4),0))</f>
        <v>1.5128732832839087</v>
      </c>
      <c r="AW4">
        <f t="array" ref="AW4">INDEX(Transcriptome!P$2:P$28,MATCH(1,(Transcriptome!$A$2:$A$28=$B4)*(Transcriptome!$C$2:$C$28=$G4),0))</f>
        <v>1.418626571205134</v>
      </c>
      <c r="AX4">
        <f t="array" ref="AX4">INDEX(Transcriptome!Q$2:Q$28,MATCH(1,(Transcriptome!$A$2:$A$28=$B4)*(Transcriptome!$C$2:$C$28=$G4),0))</f>
        <v>0.75818627044108666</v>
      </c>
      <c r="AY4">
        <f t="array" ref="AY4">INDEX(Transcriptome!R$2:R$28,MATCH(1,(Transcriptome!$A$2:$A$28=$B4)*(Transcriptome!$C$2:$C$28=$G4),0))</f>
        <v>0.62222364572130617</v>
      </c>
      <c r="AZ4">
        <f t="array" ref="AZ4">INDEX(Transcriptome!S$2:S$28,MATCH(1,(Transcriptome!$A$2:$A$28=$B4)*(Transcriptome!$C$2:$C$28=$G4),0))</f>
        <v>0.45398180100126823</v>
      </c>
      <c r="BA4">
        <f t="array" ref="BA4">INDEX(Transcriptome!T$2:T$28,MATCH(1,(Transcriptome!$A$2:$A$28=$B4)*(Transcriptome!$C$2:$C$28=$G4),0))</f>
        <v>1.2443611151314311</v>
      </c>
      <c r="BB4">
        <f t="array" ref="BB4">INDEX(Transcriptome!U$2:U$28,MATCH(1,(Transcriptome!$A$2:$A$28=$B4)*(Transcriptome!$C$2:$C$28=$G4),0))</f>
        <v>3.4109020413139706</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1.1597576413818276</v>
      </c>
      <c r="BF4">
        <f t="array" ref="BF4">INDEX(Transcriptome!Y$2:Y$28,MATCH(1,(Transcriptome!$A$2:$A$28=$B4)*(Transcriptome!$C$2:$C$28=$G4),0))</f>
        <v>0</v>
      </c>
      <c r="BG4">
        <f t="array" ref="BG4">INDEX(Transcriptome!Z$2:Z$28,MATCH(1,(Transcriptome!$A$2:$A$28=$B4)*(Transcriptome!$C$2:$C$28=$G4),0))</f>
        <v>1.4224053459159063</v>
      </c>
      <c r="BH4">
        <f t="array" ref="BH4">INDEX(Transcriptome!AA$2:AA$28,MATCH(1,(Transcriptome!$A$2:$A$28=$B4)*(Transcriptome!$C$2:$C$28=$G4),0))</f>
        <v>1.0785765460349117</v>
      </c>
      <c r="BI4">
        <f t="array" ref="BI4">INDEX(Transcriptome!AB$2:AB$28,MATCH(1,(Transcriptome!$A$2:$A$28=$B4)*(Transcriptome!$C$2:$C$28=$G4),0))</f>
        <v>0.473674659694519</v>
      </c>
      <c r="BJ4">
        <f t="array" ref="BJ4">INDEX(Transcriptome!AC$2:AC$28,MATCH(1,(Transcriptome!$A$2:$A$28=$B4)*(Transcriptome!$C$2:$C$28=$G4),0))</f>
        <v>1.0599593993610694</v>
      </c>
      <c r="BK4">
        <f t="array" ref="BK4">INDEX(Transcriptome!AD$2:AD$28,MATCH(1,(Transcriptome!$A$2:$A$28=$B4)*(Transcriptome!$C$2:$C$28=$G4),0))</f>
        <v>1.2080921631861166</v>
      </c>
      <c r="BL4">
        <f t="array" ref="BL4">INDEX(Transcriptome!AE$2:AE$28,MATCH(1,(Transcriptome!$A$2:$A$28=$B4)*(Transcriptome!$C$2:$C$28=$G4),0))</f>
        <v>1.5382205274541896</v>
      </c>
      <c r="BM4">
        <f t="array" ref="BM4">INDEX(Transcriptome!AF$2:AF$28,MATCH(1,(Transcriptome!$A$2:$A$28=$B4)*(Transcriptome!$C$2:$C$28=$G4),0))</f>
        <v>0.8896276701542809</v>
      </c>
      <c r="BN4">
        <f t="array" ref="BN4">INDEX(Transcriptome!AG$2:AG$28,MATCH(1,(Transcriptome!$A$2:$A$28=$B4)*(Transcriptome!$C$2:$C$28=$G4),0))</f>
        <v>0.5163962964725155</v>
      </c>
      <c r="BO4">
        <f t="array" ref="BO4">INDEX(Transcriptome!AH$2:AH$28,MATCH(1,(Transcriptome!$A$2:$A$28=$B4)*(Transcriptome!$C$2:$C$28=$G4),0))</f>
        <v>2.1130256851285192</v>
      </c>
      <c r="BP4">
        <f t="array" ref="BP4">INDEX(Transcriptome!AI$2:AI$28,MATCH(1,(Transcriptome!$A$2:$A$28=$B4)*(Transcriptome!$C$2:$C$28=$G4),0))</f>
        <v>0.83004246210802102</v>
      </c>
      <c r="BQ4">
        <f t="array" ref="BQ4">INDEX(Transcriptome!AJ$2:AJ$28,MATCH(1,(Transcriptome!$A$2:$A$28=$B4)*(Transcriptome!$C$2:$C$28=$G4),0))</f>
        <v>0.91927335509585972</v>
      </c>
      <c r="BR4">
        <f t="array" ref="BR4">INDEX(Transcriptome!AK$2:AK$28,MATCH(1,(Transcriptome!$A$2:$A$28=$B4)*(Transcriptome!$C$2:$C$28=$G4),0))</f>
        <v>0.86442341502752595</v>
      </c>
      <c r="BS4">
        <f t="array" ref="BS4">INDEX(Transcriptome!AL$2:AL$28,MATCH(1,(Transcriptome!$A$2:$A$28=$B4)*(Transcriptome!$C$2:$C$28=$G4),0))</f>
        <v>1</v>
      </c>
      <c r="BT4">
        <f t="array" ref="BT4">INDEX(Transcriptome!AM$2:AM$28,MATCH(1,(Transcriptome!$A$2:$A$28=$B4)*(Transcriptome!$C$2:$C$28=$G4),0))</f>
        <v>0.77410003444406195</v>
      </c>
      <c r="BU4">
        <f t="array" ref="BU4">INDEX(Transcriptome!AN$2:AN$28,MATCH(1,(Transcriptome!$A$2:$A$28=$B4)*(Transcriptome!$C$2:$C$28=$G4),0))</f>
        <v>1.0525309554062177</v>
      </c>
      <c r="BV4">
        <f t="array" ref="BV4">INDEX(Transcriptome!AO$2:AO$28,MATCH(1,(Transcriptome!$A$2:$A$28=$B4)*(Transcriptome!$C$2:$C$28=$G4),0))</f>
        <v>1.2717687051722399</v>
      </c>
      <c r="BW4">
        <f t="array" ref="BW4">INDEX(Transcriptome!AP$2:AP$28,MATCH(1,(Transcriptome!$A$2:$A$28=$B4)*(Transcriptome!$C$2:$C$28=$G4),0))</f>
        <v>1.1267475274689782</v>
      </c>
      <c r="BX4">
        <f t="array" ref="BX4">INDEX(Transcriptome!AQ$2:AQ$28,MATCH(1,(Transcriptome!$A$2:$A$28=$B4)*(Transcriptome!$C$2:$C$28=$G4),0))</f>
        <v>1.4322233621409421</v>
      </c>
      <c r="BY4">
        <f t="array" ref="BY4">INDEX(Transcriptome!AR$2:AR$28,MATCH(1,(Transcriptome!$A$2:$A$28=$B4)*(Transcriptome!$C$2:$C$28=$G4),0))</f>
        <v>0.78466234379208444</v>
      </c>
      <c r="BZ4">
        <f t="array" ref="BZ4">INDEX(Transcriptome!AS$2:AS$28,MATCH(1,(Transcriptome!$A$2:$A$28=$B4)*(Transcriptome!$C$2:$C$28=$G4),0))</f>
        <v>1.0494434523058931</v>
      </c>
      <c r="CA4">
        <f t="array" ref="CA4">INDEX(Transcriptome!AT$2:AT$28,MATCH(1,(Transcriptome!$A$2:$A$28=$B4)*(Transcriptome!$C$2:$C$28=$G4),0))</f>
        <v>0.83007572688612297</v>
      </c>
      <c r="CB4">
        <f t="array" ref="CB4">INDEX(Transcriptome!AU$2:AU$28,MATCH(1,(Transcriptome!$A$2:$A$28=$B4)*(Transcriptome!$C$2:$C$28=$G4),0))</f>
        <v>1.7460276276240947</v>
      </c>
      <c r="CC4">
        <f t="array" ref="CC4">INDEX(Transcriptome!AV$2:AV$28,MATCH(1,(Transcriptome!$A$2:$A$28=$B4)*(Transcriptome!$C$2:$C$28=$G4),0))</f>
        <v>0.66402112588341244</v>
      </c>
      <c r="CD4">
        <f t="array" ref="CD4">INDEX(Transcriptome!AW$2:AW$28,MATCH(1,(Transcriptome!$A$2:$A$28=$B4)*(Transcriptome!$C$2:$C$28=$G4),0))</f>
        <v>0.81142190925227209</v>
      </c>
      <c r="CE4">
        <f t="array" ref="CE4">INDEX(Transcriptome!AX$2:AX$28,MATCH(1,(Transcriptome!$A$2:$A$28=$B4)*(Transcriptome!$C$2:$C$28=$G4),0))</f>
        <v>0.81666505828774349</v>
      </c>
      <c r="CF4">
        <f t="array" ref="CF4">INDEX(Transcriptome!AY$2:AY$28,MATCH(1,(Transcriptome!$A$2:$A$28=$B4)*(Transcriptome!$C$2:$C$28=$G4),0))</f>
        <v>0.95021814160116058</v>
      </c>
      <c r="CG4">
        <f t="array" ref="CG4">INDEX(Transcriptome!AZ$2:AZ$28,MATCH(1,(Transcriptome!$A$2:$A$28=$B4)*(Transcriptome!$C$2:$C$28=$G4),0))</f>
        <v>0.94937399788501819</v>
      </c>
      <c r="CH4">
        <f t="array" ref="CH4">INDEX(Transcriptome!BA$2:BA$28,MATCH(1,(Transcriptome!$A$2:$A$28=$B4)*(Transcriptome!$C$2:$C$28=$G4),0))</f>
        <v>1.8902342706959754</v>
      </c>
      <c r="CI4">
        <f t="array" ref="CI4">INDEX(Transcriptome!BB$2:BB$28,MATCH(1,(Transcriptome!$A$2:$A$28=$B4)*(Transcriptome!$C$2:$C$28=$G4),0))</f>
        <v>2.3470969042014311</v>
      </c>
      <c r="CJ4">
        <f t="array" ref="CJ4">INDEX(Transcriptome!BC$2:BC$28,MATCH(1,(Transcriptome!$A$2:$A$28=$B4)*(Transcriptome!$C$2:$C$28=$G4),0))</f>
        <v>0</v>
      </c>
      <c r="CK4">
        <f t="array" ref="CK4">INDEX(Transcriptome!BD$2:BD$28,MATCH(1,(Transcriptome!$A$2:$A$28=$B4)*(Transcriptome!$C$2:$C$28=$G4),0))</f>
        <v>1.5657670378943449</v>
      </c>
      <c r="CL4">
        <f t="array" ref="CL4">INDEX(Transcriptome!BE$2:BE$28,MATCH(1,(Transcriptome!$A$2:$A$28=$B4)*(Transcriptome!$C$2:$C$28=$G4),0))</f>
        <v>1.3747651173760067</v>
      </c>
      <c r="CM4">
        <f t="array" ref="CM4">INDEX(Transcriptome!BF$2:BF$28,MATCH(1,(Transcriptome!$A$2:$A$28=$B4)*(Transcriptome!$C$2:$C$28=$G4),0))</f>
        <v>1.643579659112117</v>
      </c>
      <c r="CN4">
        <f t="array" ref="CN4">INDEX(Transcriptome!BG$2:BG$28,MATCH(1,(Transcriptome!$A$2:$A$28=$B4)*(Transcriptome!$C$2:$C$28=$G4),0))</f>
        <v>2.3378670928049927</v>
      </c>
      <c r="CO4">
        <f t="array" ref="CO4">INDEX(Transcriptome!BH$2:BH$28,MATCH(1,(Transcriptome!$A$2:$A$28=$B4)*(Transcriptome!$C$2:$C$28=$G4),0))</f>
        <v>0.67281144000502036</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2.2087413434455483</v>
      </c>
      <c r="CS4">
        <f t="array" ref="CS4">INDEX(Transcriptome!BL$2:BL$28,MATCH(1,(Transcriptome!$A$2:$A$28=$B4)*(Transcriptome!$C$2:$C$28=$G4),0))</f>
        <v>1.8626260215226293</v>
      </c>
      <c r="CT4">
        <f t="array" ref="CT4">INDEX(Transcriptome!BM$2:BM$28,MATCH(1,(Transcriptome!$A$2:$A$28=$B4)*(Transcriptome!$C$2:$C$28=$G4),0))</f>
        <v>0.6498926544427488</v>
      </c>
      <c r="CU4">
        <f t="array" ref="CU4">INDEX(Transcriptome!BN$2:BN$28,MATCH(1,(Transcriptome!$A$2:$A$28=$B4)*(Transcriptome!$C$2:$C$28=$G4),0))</f>
        <v>30.252756592141139</v>
      </c>
      <c r="CV4">
        <f t="array" ref="CV4">INDEX(Transcriptome!BO$2:BO$28,MATCH(1,(Transcriptome!$A$2:$A$28=$B4)*(Transcriptome!$C$2:$C$28=$G4),0))</f>
        <v>1.8572773148073258</v>
      </c>
      <c r="CW4">
        <f t="array" ref="CW4">INDEX(Transcriptome!BP$2:BP$28,MATCH(1,(Transcriptome!$A$2:$A$28=$B4)*(Transcriptome!$C$2:$C$28=$G4),0))</f>
        <v>0.67281144000502036</v>
      </c>
      <c r="CX4">
        <f t="array" ref="CX4">INDEX(Transcriptome!BQ$2:BQ$28,MATCH(1,(Transcriptome!$A$2:$A$28=$B4)*(Transcriptome!$C$2:$C$28=$G4),0))</f>
        <v>1</v>
      </c>
      <c r="CY4">
        <f t="array" ref="CY4">INDEX(Transcriptome!BR$2:BR$28,MATCH(1,(Transcriptome!$A$2:$A$28=$B4)*(Transcriptome!$C$2:$C$28=$G4),0))</f>
        <v>1.2652823875258563</v>
      </c>
    </row>
    <row r="5" spans="1:103">
      <c r="A5">
        <f>'Measured Data'!A10</f>
        <v>3</v>
      </c>
      <c r="B5" t="s">
        <v>582</v>
      </c>
      <c r="C5" s="324" t="s">
        <v>586</v>
      </c>
      <c r="D5">
        <v>1</v>
      </c>
      <c r="E5">
        <f>'Measured Data'!H10</f>
        <v>1.4873000217437744</v>
      </c>
      <c r="F5" s="477">
        <f>'Measured Data'!K10</f>
        <v>98.843498229980469</v>
      </c>
      <c r="G5" t="s">
        <v>513</v>
      </c>
      <c r="H5" s="321">
        <f>'Measured Data'!B10</f>
        <v>2.9604166666686069</v>
      </c>
      <c r="I5" s="322">
        <f>'Measured Data'!C10</f>
        <v>71.050000000046566</v>
      </c>
      <c r="J5">
        <f>'In Process Calc.'!B6</f>
        <v>2.9604166666686069</v>
      </c>
      <c r="K5">
        <f>'In Process Calc.'!C6</f>
        <v>71.050000000046566</v>
      </c>
      <c r="L5">
        <f>'Measured Data'!Z10</f>
        <v>29.807500166522345</v>
      </c>
      <c r="M5">
        <f>'Measured Data'!AF10</f>
        <v>3.4413854351687392</v>
      </c>
      <c r="N5">
        <f>'Measured Data'!AA10</f>
        <v>0.35599999999999998</v>
      </c>
      <c r="O5">
        <f>'Measured Data'!W10</f>
        <v>4.5129999999999999</v>
      </c>
      <c r="P5">
        <f>'Measured Data'!X10</f>
        <v>1.6950000000000001</v>
      </c>
      <c r="Q5">
        <f>'Growth Regression'!P5</f>
        <v>2.4117144489471783E-2</v>
      </c>
      <c r="R5">
        <f>Q5/'Growth Regression'!$O$24</f>
        <v>0.90859917650227995</v>
      </c>
      <c r="S5">
        <f>'Post Process Calc.'!K6</f>
        <v>0.10183961855854926</v>
      </c>
      <c r="T5">
        <f>'Post Process Calc.'!Q6</f>
        <v>6.447816367453886E-2</v>
      </c>
      <c r="U5">
        <f>'Post Process Calc.'!L6</f>
        <v>-2.7196515941778536E-3</v>
      </c>
      <c r="V5">
        <f>'Post Process Calc.'!H6</f>
        <v>-7.8041664401997429E-5</v>
      </c>
      <c r="W5">
        <f>'Post Process Calc.'!I6</f>
        <v>-1.140001204610081E-2</v>
      </c>
      <c r="X5">
        <f>'Post Process Calc.'!AG6</f>
        <v>0.63313437920497817</v>
      </c>
      <c r="Y5">
        <f t="shared" si="2"/>
        <v>63.649761599093281</v>
      </c>
      <c r="Z5">
        <f t="shared" si="2"/>
        <v>40.298852296586787</v>
      </c>
      <c r="AA5">
        <f t="shared" si="0"/>
        <v>-1.6997822463611585</v>
      </c>
      <c r="AB5">
        <f t="shared" si="0"/>
        <v>-4.877604025124839E-2</v>
      </c>
      <c r="AC5">
        <f t="shared" si="0"/>
        <v>-7.1250075288130059</v>
      </c>
      <c r="AD5">
        <v>100</v>
      </c>
      <c r="AE5">
        <v>0.32</v>
      </c>
      <c r="AF5">
        <v>7</v>
      </c>
      <c r="AG5">
        <v>0.7</v>
      </c>
      <c r="AH5">
        <f t="shared" si="1"/>
        <v>5.0118723362727164E-8</v>
      </c>
      <c r="AI5">
        <v>1</v>
      </c>
      <c r="AJ5">
        <v>0.311</v>
      </c>
      <c r="AK5">
        <f t="array" ref="AK5">INDEX(Transcriptome!D$2:D$28,MATCH(1,(Transcriptome!$A$2:$A$28=$B5)*(Transcriptome!$C$2:$C$28=$G5),0))</f>
        <v>0.75120083781418034</v>
      </c>
      <c r="AL5">
        <f t="array" ref="AL5">INDEX(Transcriptome!E$2:E$28,MATCH(1,(Transcriptome!$A$2:$A$28=$B5)*(Transcriptome!$C$2:$C$28=$G5),0))</f>
        <v>1.3452090544846451</v>
      </c>
      <c r="AM5">
        <f t="array" ref="AM5">INDEX(Transcriptome!F$2:F$28,MATCH(1,(Transcriptome!$A$2:$A$28=$B5)*(Transcriptome!$C$2:$C$28=$G5),0))</f>
        <v>1.1599251488993827</v>
      </c>
      <c r="AN5">
        <f t="array" ref="AN5">INDEX(Transcriptome!G$2:G$28,MATCH(1,(Transcriptome!$A$2:$A$28=$B5)*(Transcriptome!$C$2:$C$28=$G5),0))</f>
        <v>0.70921905462414569</v>
      </c>
      <c r="AO5">
        <f t="array" ref="AO5">INDEX(Transcriptome!H$2:H$28,MATCH(1,(Transcriptome!$A$2:$A$28=$B5)*(Transcriptome!$C$2:$C$28=$G5),0))</f>
        <v>0</v>
      </c>
      <c r="AP5">
        <f t="array" ref="AP5">INDEX(Transcriptome!I$2:I$28,MATCH(1,(Transcriptome!$A$2:$A$28=$B5)*(Transcriptome!$C$2:$C$28=$G5),0))</f>
        <v>1.6282553995115943</v>
      </c>
      <c r="AQ5">
        <f t="array" ref="AQ5">INDEX(Transcriptome!J$2:J$28,MATCH(1,(Transcriptome!$A$2:$A$28=$B5)*(Transcriptome!$C$2:$C$28=$G5),0))</f>
        <v>1.0870691735149791</v>
      </c>
      <c r="AR5">
        <f t="array" ref="AR5">INDEX(Transcriptome!K$2:K$28,MATCH(1,(Transcriptome!$A$2:$A$28=$B5)*(Transcriptome!$C$2:$C$28=$G5),0))</f>
        <v>1.4630306834308657</v>
      </c>
      <c r="AS5">
        <f t="array" ref="AS5">INDEX(Transcriptome!L$2:L$28,MATCH(1,(Transcriptome!$A$2:$A$28=$B5)*(Transcriptome!$C$2:$C$28=$G5),0))</f>
        <v>1.0171797240321683</v>
      </c>
      <c r="AT5">
        <f t="array" ref="AT5">INDEX(Transcriptome!M$2:M$28,MATCH(1,(Transcriptome!$A$2:$A$28=$B5)*(Transcriptome!$C$2:$C$28=$G5),0))</f>
        <v>1.0744738748130889</v>
      </c>
      <c r="AU5">
        <f t="array" ref="AU5">INDEX(Transcriptome!N$2:N$28,MATCH(1,(Transcriptome!$A$2:$A$28=$B5)*(Transcriptome!$C$2:$C$28=$G5),0))</f>
        <v>1.2349088890793825</v>
      </c>
      <c r="AV5">
        <f t="array" ref="AV5">INDEX(Transcriptome!O$2:O$28,MATCH(1,(Transcriptome!$A$2:$A$28=$B5)*(Transcriptome!$C$2:$C$28=$G5),0))</f>
        <v>1.5128732832839087</v>
      </c>
      <c r="AW5">
        <f t="array" ref="AW5">INDEX(Transcriptome!P$2:P$28,MATCH(1,(Transcriptome!$A$2:$A$28=$B5)*(Transcriptome!$C$2:$C$28=$G5),0))</f>
        <v>1.418626571205134</v>
      </c>
      <c r="AX5">
        <f t="array" ref="AX5">INDEX(Transcriptome!Q$2:Q$28,MATCH(1,(Transcriptome!$A$2:$A$28=$B5)*(Transcriptome!$C$2:$C$28=$G5),0))</f>
        <v>0.75818627044108666</v>
      </c>
      <c r="AY5">
        <f t="array" ref="AY5">INDEX(Transcriptome!R$2:R$28,MATCH(1,(Transcriptome!$A$2:$A$28=$B5)*(Transcriptome!$C$2:$C$28=$G5),0))</f>
        <v>0.62222364572130617</v>
      </c>
      <c r="AZ5">
        <f t="array" ref="AZ5">INDEX(Transcriptome!S$2:S$28,MATCH(1,(Transcriptome!$A$2:$A$28=$B5)*(Transcriptome!$C$2:$C$28=$G5),0))</f>
        <v>0.45398180100126823</v>
      </c>
      <c r="BA5">
        <f t="array" ref="BA5">INDEX(Transcriptome!T$2:T$28,MATCH(1,(Transcriptome!$A$2:$A$28=$B5)*(Transcriptome!$C$2:$C$28=$G5),0))</f>
        <v>1.2443611151314311</v>
      </c>
      <c r="BB5">
        <f t="array" ref="BB5">INDEX(Transcriptome!U$2:U$28,MATCH(1,(Transcriptome!$A$2:$A$28=$B5)*(Transcriptome!$C$2:$C$28=$G5),0))</f>
        <v>3.4109020413139706</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1.1597576413818276</v>
      </c>
      <c r="BF5">
        <f t="array" ref="BF5">INDEX(Transcriptome!Y$2:Y$28,MATCH(1,(Transcriptome!$A$2:$A$28=$B5)*(Transcriptome!$C$2:$C$28=$G5),0))</f>
        <v>0</v>
      </c>
      <c r="BG5">
        <f t="array" ref="BG5">INDEX(Transcriptome!Z$2:Z$28,MATCH(1,(Transcriptome!$A$2:$A$28=$B5)*(Transcriptome!$C$2:$C$28=$G5),0))</f>
        <v>1.4224053459159063</v>
      </c>
      <c r="BH5">
        <f t="array" ref="BH5">INDEX(Transcriptome!AA$2:AA$28,MATCH(1,(Transcriptome!$A$2:$A$28=$B5)*(Transcriptome!$C$2:$C$28=$G5),0))</f>
        <v>1.0785765460349117</v>
      </c>
      <c r="BI5">
        <f t="array" ref="BI5">INDEX(Transcriptome!AB$2:AB$28,MATCH(1,(Transcriptome!$A$2:$A$28=$B5)*(Transcriptome!$C$2:$C$28=$G5),0))</f>
        <v>0.473674659694519</v>
      </c>
      <c r="BJ5">
        <f t="array" ref="BJ5">INDEX(Transcriptome!AC$2:AC$28,MATCH(1,(Transcriptome!$A$2:$A$28=$B5)*(Transcriptome!$C$2:$C$28=$G5),0))</f>
        <v>1.0599593993610694</v>
      </c>
      <c r="BK5">
        <f t="array" ref="BK5">INDEX(Transcriptome!AD$2:AD$28,MATCH(1,(Transcriptome!$A$2:$A$28=$B5)*(Transcriptome!$C$2:$C$28=$G5),0))</f>
        <v>1.2080921631861166</v>
      </c>
      <c r="BL5">
        <f t="array" ref="BL5">INDEX(Transcriptome!AE$2:AE$28,MATCH(1,(Transcriptome!$A$2:$A$28=$B5)*(Transcriptome!$C$2:$C$28=$G5),0))</f>
        <v>1.5382205274541896</v>
      </c>
      <c r="BM5">
        <f t="array" ref="BM5">INDEX(Transcriptome!AF$2:AF$28,MATCH(1,(Transcriptome!$A$2:$A$28=$B5)*(Transcriptome!$C$2:$C$28=$G5),0))</f>
        <v>0.8896276701542809</v>
      </c>
      <c r="BN5">
        <f t="array" ref="BN5">INDEX(Transcriptome!AG$2:AG$28,MATCH(1,(Transcriptome!$A$2:$A$28=$B5)*(Transcriptome!$C$2:$C$28=$G5),0))</f>
        <v>0.5163962964725155</v>
      </c>
      <c r="BO5">
        <f t="array" ref="BO5">INDEX(Transcriptome!AH$2:AH$28,MATCH(1,(Transcriptome!$A$2:$A$28=$B5)*(Transcriptome!$C$2:$C$28=$G5),0))</f>
        <v>2.1130256851285192</v>
      </c>
      <c r="BP5">
        <f t="array" ref="BP5">INDEX(Transcriptome!AI$2:AI$28,MATCH(1,(Transcriptome!$A$2:$A$28=$B5)*(Transcriptome!$C$2:$C$28=$G5),0))</f>
        <v>0.83004246210802102</v>
      </c>
      <c r="BQ5">
        <f t="array" ref="BQ5">INDEX(Transcriptome!AJ$2:AJ$28,MATCH(1,(Transcriptome!$A$2:$A$28=$B5)*(Transcriptome!$C$2:$C$28=$G5),0))</f>
        <v>0.91927335509585972</v>
      </c>
      <c r="BR5">
        <f t="array" ref="BR5">INDEX(Transcriptome!AK$2:AK$28,MATCH(1,(Transcriptome!$A$2:$A$28=$B5)*(Transcriptome!$C$2:$C$28=$G5),0))</f>
        <v>0.86442341502752595</v>
      </c>
      <c r="BS5">
        <f t="array" ref="BS5">INDEX(Transcriptome!AL$2:AL$28,MATCH(1,(Transcriptome!$A$2:$A$28=$B5)*(Transcriptome!$C$2:$C$28=$G5),0))</f>
        <v>1</v>
      </c>
      <c r="BT5">
        <f t="array" ref="BT5">INDEX(Transcriptome!AM$2:AM$28,MATCH(1,(Transcriptome!$A$2:$A$28=$B5)*(Transcriptome!$C$2:$C$28=$G5),0))</f>
        <v>0.77410003444406195</v>
      </c>
      <c r="BU5">
        <f t="array" ref="BU5">INDEX(Transcriptome!AN$2:AN$28,MATCH(1,(Transcriptome!$A$2:$A$28=$B5)*(Transcriptome!$C$2:$C$28=$G5),0))</f>
        <v>1.0525309554062177</v>
      </c>
      <c r="BV5">
        <f t="array" ref="BV5">INDEX(Transcriptome!AO$2:AO$28,MATCH(1,(Transcriptome!$A$2:$A$28=$B5)*(Transcriptome!$C$2:$C$28=$G5),0))</f>
        <v>1.2717687051722399</v>
      </c>
      <c r="BW5">
        <f t="array" ref="BW5">INDEX(Transcriptome!AP$2:AP$28,MATCH(1,(Transcriptome!$A$2:$A$28=$B5)*(Transcriptome!$C$2:$C$28=$G5),0))</f>
        <v>1.1267475274689782</v>
      </c>
      <c r="BX5">
        <f t="array" ref="BX5">INDEX(Transcriptome!AQ$2:AQ$28,MATCH(1,(Transcriptome!$A$2:$A$28=$B5)*(Transcriptome!$C$2:$C$28=$G5),0))</f>
        <v>1.4322233621409421</v>
      </c>
      <c r="BY5">
        <f t="array" ref="BY5">INDEX(Transcriptome!AR$2:AR$28,MATCH(1,(Transcriptome!$A$2:$A$28=$B5)*(Transcriptome!$C$2:$C$28=$G5),0))</f>
        <v>0.78466234379208444</v>
      </c>
      <c r="BZ5">
        <f t="array" ref="BZ5">INDEX(Transcriptome!AS$2:AS$28,MATCH(1,(Transcriptome!$A$2:$A$28=$B5)*(Transcriptome!$C$2:$C$28=$G5),0))</f>
        <v>1.0494434523058931</v>
      </c>
      <c r="CA5">
        <f t="array" ref="CA5">INDEX(Transcriptome!AT$2:AT$28,MATCH(1,(Transcriptome!$A$2:$A$28=$B5)*(Transcriptome!$C$2:$C$28=$G5),0))</f>
        <v>0.83007572688612297</v>
      </c>
      <c r="CB5">
        <f t="array" ref="CB5">INDEX(Transcriptome!AU$2:AU$28,MATCH(1,(Transcriptome!$A$2:$A$28=$B5)*(Transcriptome!$C$2:$C$28=$G5),0))</f>
        <v>1.7460276276240947</v>
      </c>
      <c r="CC5">
        <f t="array" ref="CC5">INDEX(Transcriptome!AV$2:AV$28,MATCH(1,(Transcriptome!$A$2:$A$28=$B5)*(Transcriptome!$C$2:$C$28=$G5),0))</f>
        <v>0.66402112588341244</v>
      </c>
      <c r="CD5">
        <f t="array" ref="CD5">INDEX(Transcriptome!AW$2:AW$28,MATCH(1,(Transcriptome!$A$2:$A$28=$B5)*(Transcriptome!$C$2:$C$28=$G5),0))</f>
        <v>0.81142190925227209</v>
      </c>
      <c r="CE5">
        <f t="array" ref="CE5">INDEX(Transcriptome!AX$2:AX$28,MATCH(1,(Transcriptome!$A$2:$A$28=$B5)*(Transcriptome!$C$2:$C$28=$G5),0))</f>
        <v>0.81666505828774349</v>
      </c>
      <c r="CF5">
        <f t="array" ref="CF5">INDEX(Transcriptome!AY$2:AY$28,MATCH(1,(Transcriptome!$A$2:$A$28=$B5)*(Transcriptome!$C$2:$C$28=$G5),0))</f>
        <v>0.95021814160116058</v>
      </c>
      <c r="CG5">
        <f t="array" ref="CG5">INDEX(Transcriptome!AZ$2:AZ$28,MATCH(1,(Transcriptome!$A$2:$A$28=$B5)*(Transcriptome!$C$2:$C$28=$G5),0))</f>
        <v>0.94937399788501819</v>
      </c>
      <c r="CH5">
        <f t="array" ref="CH5">INDEX(Transcriptome!BA$2:BA$28,MATCH(1,(Transcriptome!$A$2:$A$28=$B5)*(Transcriptome!$C$2:$C$28=$G5),0))</f>
        <v>1.8902342706959754</v>
      </c>
      <c r="CI5">
        <f t="array" ref="CI5">INDEX(Transcriptome!BB$2:BB$28,MATCH(1,(Transcriptome!$A$2:$A$28=$B5)*(Transcriptome!$C$2:$C$28=$G5),0))</f>
        <v>2.3470969042014311</v>
      </c>
      <c r="CJ5">
        <f t="array" ref="CJ5">INDEX(Transcriptome!BC$2:BC$28,MATCH(1,(Transcriptome!$A$2:$A$28=$B5)*(Transcriptome!$C$2:$C$28=$G5),0))</f>
        <v>0</v>
      </c>
      <c r="CK5">
        <f t="array" ref="CK5">INDEX(Transcriptome!BD$2:BD$28,MATCH(1,(Transcriptome!$A$2:$A$28=$B5)*(Transcriptome!$C$2:$C$28=$G5),0))</f>
        <v>1.5657670378943449</v>
      </c>
      <c r="CL5">
        <f t="array" ref="CL5">INDEX(Transcriptome!BE$2:BE$28,MATCH(1,(Transcriptome!$A$2:$A$28=$B5)*(Transcriptome!$C$2:$C$28=$G5),0))</f>
        <v>1.3747651173760067</v>
      </c>
      <c r="CM5">
        <f t="array" ref="CM5">INDEX(Transcriptome!BF$2:BF$28,MATCH(1,(Transcriptome!$A$2:$A$28=$B5)*(Transcriptome!$C$2:$C$28=$G5),0))</f>
        <v>1.643579659112117</v>
      </c>
      <c r="CN5">
        <f t="array" ref="CN5">INDEX(Transcriptome!BG$2:BG$28,MATCH(1,(Transcriptome!$A$2:$A$28=$B5)*(Transcriptome!$C$2:$C$28=$G5),0))</f>
        <v>2.3378670928049927</v>
      </c>
      <c r="CO5">
        <f t="array" ref="CO5">INDEX(Transcriptome!BH$2:BH$28,MATCH(1,(Transcriptome!$A$2:$A$28=$B5)*(Transcriptome!$C$2:$C$28=$G5),0))</f>
        <v>0.67281144000502036</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2.2087413434455483</v>
      </c>
      <c r="CS5">
        <f t="array" ref="CS5">INDEX(Transcriptome!BL$2:BL$28,MATCH(1,(Transcriptome!$A$2:$A$28=$B5)*(Transcriptome!$C$2:$C$28=$G5),0))</f>
        <v>1.8626260215226293</v>
      </c>
      <c r="CT5">
        <f t="array" ref="CT5">INDEX(Transcriptome!BM$2:BM$28,MATCH(1,(Transcriptome!$A$2:$A$28=$B5)*(Transcriptome!$C$2:$C$28=$G5),0))</f>
        <v>0.6498926544427488</v>
      </c>
      <c r="CU5">
        <f t="array" ref="CU5">INDEX(Transcriptome!BN$2:BN$28,MATCH(1,(Transcriptome!$A$2:$A$28=$B5)*(Transcriptome!$C$2:$C$28=$G5),0))</f>
        <v>30.252756592141139</v>
      </c>
      <c r="CV5">
        <f t="array" ref="CV5">INDEX(Transcriptome!BO$2:BO$28,MATCH(1,(Transcriptome!$A$2:$A$28=$B5)*(Transcriptome!$C$2:$C$28=$G5),0))</f>
        <v>1.8572773148073258</v>
      </c>
      <c r="CW5">
        <f t="array" ref="CW5">INDEX(Transcriptome!BP$2:BP$28,MATCH(1,(Transcriptome!$A$2:$A$28=$B5)*(Transcriptome!$C$2:$C$28=$G5),0))</f>
        <v>0.67281144000502036</v>
      </c>
      <c r="CX5">
        <f t="array" ref="CX5">INDEX(Transcriptome!BQ$2:BQ$28,MATCH(1,(Transcriptome!$A$2:$A$28=$B5)*(Transcriptome!$C$2:$C$28=$G5),0))</f>
        <v>1</v>
      </c>
      <c r="CY5">
        <f t="array" ref="CY5">INDEX(Transcriptome!BR$2:BR$28,MATCH(1,(Transcriptome!$A$2:$A$28=$B5)*(Transcriptome!$C$2:$C$28=$G5),0))</f>
        <v>1.2652823875258563</v>
      </c>
    </row>
    <row r="6" spans="1:103">
      <c r="A6">
        <f>'Measured Data'!A11</f>
        <v>4</v>
      </c>
      <c r="B6" t="s">
        <v>582</v>
      </c>
      <c r="C6" s="324" t="s">
        <v>586</v>
      </c>
      <c r="D6">
        <v>1</v>
      </c>
      <c r="E6">
        <f>'Measured Data'!H11</f>
        <v>2.7073000503540041</v>
      </c>
      <c r="F6" s="477">
        <f>'Measured Data'!K11</f>
        <v>99.063697814941406</v>
      </c>
      <c r="G6" t="s">
        <v>513</v>
      </c>
      <c r="H6" s="321">
        <f>'Measured Data'!B11</f>
        <v>3.9805555555576575</v>
      </c>
      <c r="I6" s="322">
        <f>'Measured Data'!C11</f>
        <v>95.53333333338378</v>
      </c>
      <c r="J6">
        <f>'In Process Calc.'!B7</f>
        <v>3.9805555555576575</v>
      </c>
      <c r="K6">
        <f>'In Process Calc.'!C7</f>
        <v>95.53333333338378</v>
      </c>
      <c r="L6">
        <f>'Measured Data'!Z11</f>
        <v>33.193454561602174</v>
      </c>
      <c r="M6">
        <f>'Measured Data'!AF11</f>
        <v>5.1065719360568389</v>
      </c>
      <c r="N6">
        <f>'Measured Data'!AA11</f>
        <v>0.63500000000000001</v>
      </c>
      <c r="O6">
        <f>'Measured Data'!W11</f>
        <v>5.7670000000000003</v>
      </c>
      <c r="P6">
        <f>'Measured Data'!X11</f>
        <v>1.629</v>
      </c>
      <c r="Q6">
        <f>'Growth Regression'!P6</f>
        <v>2.2255313920214542E-2</v>
      </c>
      <c r="R6">
        <f>Q6/'Growth Regression'!$O$24</f>
        <v>0.83845580929094266</v>
      </c>
      <c r="S6">
        <f>'Post Process Calc.'!K7</f>
        <v>7.9229038056036358E-2</v>
      </c>
      <c r="T6">
        <f>'Post Process Calc.'!Q7</f>
        <v>3.6459594382270859E-2</v>
      </c>
      <c r="U6">
        <f>'Post Process Calc.'!L7</f>
        <v>-3.8903542654517547E-3</v>
      </c>
      <c r="V6">
        <f>'Post Process Calc.'!H7</f>
        <v>2.192933562696698E-3</v>
      </c>
      <c r="W6">
        <f>'Post Process Calc.'!I7</f>
        <v>-9.3529770842386336E-3</v>
      </c>
      <c r="X6">
        <f>'Post Process Calc.'!AG7</f>
        <v>0.46017969265869496</v>
      </c>
      <c r="Y6">
        <f t="shared" si="2"/>
        <v>49.518148785022724</v>
      </c>
      <c r="Z6">
        <f t="shared" si="2"/>
        <v>22.787246488919287</v>
      </c>
      <c r="AA6">
        <f t="shared" si="0"/>
        <v>-2.4314714159073465</v>
      </c>
      <c r="AB6">
        <f t="shared" si="0"/>
        <v>1.3705834766854361</v>
      </c>
      <c r="AC6">
        <f t="shared" si="0"/>
        <v>-5.8456106776491454</v>
      </c>
      <c r="AD6">
        <v>100</v>
      </c>
      <c r="AE6">
        <v>0.32</v>
      </c>
      <c r="AF6">
        <v>7</v>
      </c>
      <c r="AG6">
        <v>0.7</v>
      </c>
      <c r="AH6">
        <f t="shared" si="1"/>
        <v>5.0118723362727164E-8</v>
      </c>
      <c r="AI6">
        <v>1</v>
      </c>
      <c r="AJ6">
        <v>0.311</v>
      </c>
      <c r="AK6">
        <f t="array" ref="AK6">INDEX(Transcriptome!D$2:D$28,MATCH(1,(Transcriptome!$A$2:$A$28=$B6)*(Transcriptome!$C$2:$C$28=$G6),0))</f>
        <v>0.75120083781418034</v>
      </c>
      <c r="AL6">
        <f t="array" ref="AL6">INDEX(Transcriptome!E$2:E$28,MATCH(1,(Transcriptome!$A$2:$A$28=$B6)*(Transcriptome!$C$2:$C$28=$G6),0))</f>
        <v>1.3452090544846451</v>
      </c>
      <c r="AM6">
        <f t="array" ref="AM6">INDEX(Transcriptome!F$2:F$28,MATCH(1,(Transcriptome!$A$2:$A$28=$B6)*(Transcriptome!$C$2:$C$28=$G6),0))</f>
        <v>1.1599251488993827</v>
      </c>
      <c r="AN6">
        <f t="array" ref="AN6">INDEX(Transcriptome!G$2:G$28,MATCH(1,(Transcriptome!$A$2:$A$28=$B6)*(Transcriptome!$C$2:$C$28=$G6),0))</f>
        <v>0.70921905462414569</v>
      </c>
      <c r="AO6">
        <f t="array" ref="AO6">INDEX(Transcriptome!H$2:H$28,MATCH(1,(Transcriptome!$A$2:$A$28=$B6)*(Transcriptome!$C$2:$C$28=$G6),0))</f>
        <v>0</v>
      </c>
      <c r="AP6">
        <f t="array" ref="AP6">INDEX(Transcriptome!I$2:I$28,MATCH(1,(Transcriptome!$A$2:$A$28=$B6)*(Transcriptome!$C$2:$C$28=$G6),0))</f>
        <v>1.6282553995115943</v>
      </c>
      <c r="AQ6">
        <f t="array" ref="AQ6">INDEX(Transcriptome!J$2:J$28,MATCH(1,(Transcriptome!$A$2:$A$28=$B6)*(Transcriptome!$C$2:$C$28=$G6),0))</f>
        <v>1.0870691735149791</v>
      </c>
      <c r="AR6">
        <f t="array" ref="AR6">INDEX(Transcriptome!K$2:K$28,MATCH(1,(Transcriptome!$A$2:$A$28=$B6)*(Transcriptome!$C$2:$C$28=$G6),0))</f>
        <v>1.4630306834308657</v>
      </c>
      <c r="AS6">
        <f t="array" ref="AS6">INDEX(Transcriptome!L$2:L$28,MATCH(1,(Transcriptome!$A$2:$A$28=$B6)*(Transcriptome!$C$2:$C$28=$G6),0))</f>
        <v>1.0171797240321683</v>
      </c>
      <c r="AT6">
        <f t="array" ref="AT6">INDEX(Transcriptome!M$2:M$28,MATCH(1,(Transcriptome!$A$2:$A$28=$B6)*(Transcriptome!$C$2:$C$28=$G6),0))</f>
        <v>1.0744738748130889</v>
      </c>
      <c r="AU6">
        <f t="array" ref="AU6">INDEX(Transcriptome!N$2:N$28,MATCH(1,(Transcriptome!$A$2:$A$28=$B6)*(Transcriptome!$C$2:$C$28=$G6),0))</f>
        <v>1.2349088890793825</v>
      </c>
      <c r="AV6">
        <f t="array" ref="AV6">INDEX(Transcriptome!O$2:O$28,MATCH(1,(Transcriptome!$A$2:$A$28=$B6)*(Transcriptome!$C$2:$C$28=$G6),0))</f>
        <v>1.5128732832839087</v>
      </c>
      <c r="AW6">
        <f t="array" ref="AW6">INDEX(Transcriptome!P$2:P$28,MATCH(1,(Transcriptome!$A$2:$A$28=$B6)*(Transcriptome!$C$2:$C$28=$G6),0))</f>
        <v>1.418626571205134</v>
      </c>
      <c r="AX6">
        <f t="array" ref="AX6">INDEX(Transcriptome!Q$2:Q$28,MATCH(1,(Transcriptome!$A$2:$A$28=$B6)*(Transcriptome!$C$2:$C$28=$G6),0))</f>
        <v>0.75818627044108666</v>
      </c>
      <c r="AY6">
        <f t="array" ref="AY6">INDEX(Transcriptome!R$2:R$28,MATCH(1,(Transcriptome!$A$2:$A$28=$B6)*(Transcriptome!$C$2:$C$28=$G6),0))</f>
        <v>0.62222364572130617</v>
      </c>
      <c r="AZ6">
        <f t="array" ref="AZ6">INDEX(Transcriptome!S$2:S$28,MATCH(1,(Transcriptome!$A$2:$A$28=$B6)*(Transcriptome!$C$2:$C$28=$G6),0))</f>
        <v>0.45398180100126823</v>
      </c>
      <c r="BA6">
        <f t="array" ref="BA6">INDEX(Transcriptome!T$2:T$28,MATCH(1,(Transcriptome!$A$2:$A$28=$B6)*(Transcriptome!$C$2:$C$28=$G6),0))</f>
        <v>1.2443611151314311</v>
      </c>
      <c r="BB6">
        <f t="array" ref="BB6">INDEX(Transcriptome!U$2:U$28,MATCH(1,(Transcriptome!$A$2:$A$28=$B6)*(Transcriptome!$C$2:$C$28=$G6),0))</f>
        <v>3.4109020413139706</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1.1597576413818276</v>
      </c>
      <c r="BF6">
        <f t="array" ref="BF6">INDEX(Transcriptome!Y$2:Y$28,MATCH(1,(Transcriptome!$A$2:$A$28=$B6)*(Transcriptome!$C$2:$C$28=$G6),0))</f>
        <v>0</v>
      </c>
      <c r="BG6">
        <f t="array" ref="BG6">INDEX(Transcriptome!Z$2:Z$28,MATCH(1,(Transcriptome!$A$2:$A$28=$B6)*(Transcriptome!$C$2:$C$28=$G6),0))</f>
        <v>1.4224053459159063</v>
      </c>
      <c r="BH6">
        <f t="array" ref="BH6">INDEX(Transcriptome!AA$2:AA$28,MATCH(1,(Transcriptome!$A$2:$A$28=$B6)*(Transcriptome!$C$2:$C$28=$G6),0))</f>
        <v>1.0785765460349117</v>
      </c>
      <c r="BI6">
        <f t="array" ref="BI6">INDEX(Transcriptome!AB$2:AB$28,MATCH(1,(Transcriptome!$A$2:$A$28=$B6)*(Transcriptome!$C$2:$C$28=$G6),0))</f>
        <v>0.473674659694519</v>
      </c>
      <c r="BJ6">
        <f t="array" ref="BJ6">INDEX(Transcriptome!AC$2:AC$28,MATCH(1,(Transcriptome!$A$2:$A$28=$B6)*(Transcriptome!$C$2:$C$28=$G6),0))</f>
        <v>1.0599593993610694</v>
      </c>
      <c r="BK6">
        <f t="array" ref="BK6">INDEX(Transcriptome!AD$2:AD$28,MATCH(1,(Transcriptome!$A$2:$A$28=$B6)*(Transcriptome!$C$2:$C$28=$G6),0))</f>
        <v>1.2080921631861166</v>
      </c>
      <c r="BL6">
        <f t="array" ref="BL6">INDEX(Transcriptome!AE$2:AE$28,MATCH(1,(Transcriptome!$A$2:$A$28=$B6)*(Transcriptome!$C$2:$C$28=$G6),0))</f>
        <v>1.5382205274541896</v>
      </c>
      <c r="BM6">
        <f t="array" ref="BM6">INDEX(Transcriptome!AF$2:AF$28,MATCH(1,(Transcriptome!$A$2:$A$28=$B6)*(Transcriptome!$C$2:$C$28=$G6),0))</f>
        <v>0.8896276701542809</v>
      </c>
      <c r="BN6">
        <f t="array" ref="BN6">INDEX(Transcriptome!AG$2:AG$28,MATCH(1,(Transcriptome!$A$2:$A$28=$B6)*(Transcriptome!$C$2:$C$28=$G6),0))</f>
        <v>0.5163962964725155</v>
      </c>
      <c r="BO6">
        <f t="array" ref="BO6">INDEX(Transcriptome!AH$2:AH$28,MATCH(1,(Transcriptome!$A$2:$A$28=$B6)*(Transcriptome!$C$2:$C$28=$G6),0))</f>
        <v>2.1130256851285192</v>
      </c>
      <c r="BP6">
        <f t="array" ref="BP6">INDEX(Transcriptome!AI$2:AI$28,MATCH(1,(Transcriptome!$A$2:$A$28=$B6)*(Transcriptome!$C$2:$C$28=$G6),0))</f>
        <v>0.83004246210802102</v>
      </c>
      <c r="BQ6">
        <f t="array" ref="BQ6">INDEX(Transcriptome!AJ$2:AJ$28,MATCH(1,(Transcriptome!$A$2:$A$28=$B6)*(Transcriptome!$C$2:$C$28=$G6),0))</f>
        <v>0.91927335509585972</v>
      </c>
      <c r="BR6">
        <f t="array" ref="BR6">INDEX(Transcriptome!AK$2:AK$28,MATCH(1,(Transcriptome!$A$2:$A$28=$B6)*(Transcriptome!$C$2:$C$28=$G6),0))</f>
        <v>0.86442341502752595</v>
      </c>
      <c r="BS6">
        <f t="array" ref="BS6">INDEX(Transcriptome!AL$2:AL$28,MATCH(1,(Transcriptome!$A$2:$A$28=$B6)*(Transcriptome!$C$2:$C$28=$G6),0))</f>
        <v>1</v>
      </c>
      <c r="BT6">
        <f t="array" ref="BT6">INDEX(Transcriptome!AM$2:AM$28,MATCH(1,(Transcriptome!$A$2:$A$28=$B6)*(Transcriptome!$C$2:$C$28=$G6),0))</f>
        <v>0.77410003444406195</v>
      </c>
      <c r="BU6">
        <f t="array" ref="BU6">INDEX(Transcriptome!AN$2:AN$28,MATCH(1,(Transcriptome!$A$2:$A$28=$B6)*(Transcriptome!$C$2:$C$28=$G6),0))</f>
        <v>1.0525309554062177</v>
      </c>
      <c r="BV6">
        <f t="array" ref="BV6">INDEX(Transcriptome!AO$2:AO$28,MATCH(1,(Transcriptome!$A$2:$A$28=$B6)*(Transcriptome!$C$2:$C$28=$G6),0))</f>
        <v>1.2717687051722399</v>
      </c>
      <c r="BW6">
        <f t="array" ref="BW6">INDEX(Transcriptome!AP$2:AP$28,MATCH(1,(Transcriptome!$A$2:$A$28=$B6)*(Transcriptome!$C$2:$C$28=$G6),0))</f>
        <v>1.1267475274689782</v>
      </c>
      <c r="BX6">
        <f t="array" ref="BX6">INDEX(Transcriptome!AQ$2:AQ$28,MATCH(1,(Transcriptome!$A$2:$A$28=$B6)*(Transcriptome!$C$2:$C$28=$G6),0))</f>
        <v>1.4322233621409421</v>
      </c>
      <c r="BY6">
        <f t="array" ref="BY6">INDEX(Transcriptome!AR$2:AR$28,MATCH(1,(Transcriptome!$A$2:$A$28=$B6)*(Transcriptome!$C$2:$C$28=$G6),0))</f>
        <v>0.78466234379208444</v>
      </c>
      <c r="BZ6">
        <f t="array" ref="BZ6">INDEX(Transcriptome!AS$2:AS$28,MATCH(1,(Transcriptome!$A$2:$A$28=$B6)*(Transcriptome!$C$2:$C$28=$G6),0))</f>
        <v>1.0494434523058931</v>
      </c>
      <c r="CA6">
        <f t="array" ref="CA6">INDEX(Transcriptome!AT$2:AT$28,MATCH(1,(Transcriptome!$A$2:$A$28=$B6)*(Transcriptome!$C$2:$C$28=$G6),0))</f>
        <v>0.83007572688612297</v>
      </c>
      <c r="CB6">
        <f t="array" ref="CB6">INDEX(Transcriptome!AU$2:AU$28,MATCH(1,(Transcriptome!$A$2:$A$28=$B6)*(Transcriptome!$C$2:$C$28=$G6),0))</f>
        <v>1.7460276276240947</v>
      </c>
      <c r="CC6">
        <f t="array" ref="CC6">INDEX(Transcriptome!AV$2:AV$28,MATCH(1,(Transcriptome!$A$2:$A$28=$B6)*(Transcriptome!$C$2:$C$28=$G6),0))</f>
        <v>0.66402112588341244</v>
      </c>
      <c r="CD6">
        <f t="array" ref="CD6">INDEX(Transcriptome!AW$2:AW$28,MATCH(1,(Transcriptome!$A$2:$A$28=$B6)*(Transcriptome!$C$2:$C$28=$G6),0))</f>
        <v>0.81142190925227209</v>
      </c>
      <c r="CE6">
        <f t="array" ref="CE6">INDEX(Transcriptome!AX$2:AX$28,MATCH(1,(Transcriptome!$A$2:$A$28=$B6)*(Transcriptome!$C$2:$C$28=$G6),0))</f>
        <v>0.81666505828774349</v>
      </c>
      <c r="CF6">
        <f t="array" ref="CF6">INDEX(Transcriptome!AY$2:AY$28,MATCH(1,(Transcriptome!$A$2:$A$28=$B6)*(Transcriptome!$C$2:$C$28=$G6),0))</f>
        <v>0.95021814160116058</v>
      </c>
      <c r="CG6">
        <f t="array" ref="CG6">INDEX(Transcriptome!AZ$2:AZ$28,MATCH(1,(Transcriptome!$A$2:$A$28=$B6)*(Transcriptome!$C$2:$C$28=$G6),0))</f>
        <v>0.94937399788501819</v>
      </c>
      <c r="CH6">
        <f t="array" ref="CH6">INDEX(Transcriptome!BA$2:BA$28,MATCH(1,(Transcriptome!$A$2:$A$28=$B6)*(Transcriptome!$C$2:$C$28=$G6),0))</f>
        <v>1.8902342706959754</v>
      </c>
      <c r="CI6">
        <f t="array" ref="CI6">INDEX(Transcriptome!BB$2:BB$28,MATCH(1,(Transcriptome!$A$2:$A$28=$B6)*(Transcriptome!$C$2:$C$28=$G6),0))</f>
        <v>2.3470969042014311</v>
      </c>
      <c r="CJ6">
        <f t="array" ref="CJ6">INDEX(Transcriptome!BC$2:BC$28,MATCH(1,(Transcriptome!$A$2:$A$28=$B6)*(Transcriptome!$C$2:$C$28=$G6),0))</f>
        <v>0</v>
      </c>
      <c r="CK6">
        <f t="array" ref="CK6">INDEX(Transcriptome!BD$2:BD$28,MATCH(1,(Transcriptome!$A$2:$A$28=$B6)*(Transcriptome!$C$2:$C$28=$G6),0))</f>
        <v>1.5657670378943449</v>
      </c>
      <c r="CL6">
        <f t="array" ref="CL6">INDEX(Transcriptome!BE$2:BE$28,MATCH(1,(Transcriptome!$A$2:$A$28=$B6)*(Transcriptome!$C$2:$C$28=$G6),0))</f>
        <v>1.3747651173760067</v>
      </c>
      <c r="CM6">
        <f t="array" ref="CM6">INDEX(Transcriptome!BF$2:BF$28,MATCH(1,(Transcriptome!$A$2:$A$28=$B6)*(Transcriptome!$C$2:$C$28=$G6),0))</f>
        <v>1.643579659112117</v>
      </c>
      <c r="CN6">
        <f t="array" ref="CN6">INDEX(Transcriptome!BG$2:BG$28,MATCH(1,(Transcriptome!$A$2:$A$28=$B6)*(Transcriptome!$C$2:$C$28=$G6),0))</f>
        <v>2.3378670928049927</v>
      </c>
      <c r="CO6">
        <f t="array" ref="CO6">INDEX(Transcriptome!BH$2:BH$28,MATCH(1,(Transcriptome!$A$2:$A$28=$B6)*(Transcriptome!$C$2:$C$28=$G6),0))</f>
        <v>0.67281144000502036</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2.2087413434455483</v>
      </c>
      <c r="CS6">
        <f t="array" ref="CS6">INDEX(Transcriptome!BL$2:BL$28,MATCH(1,(Transcriptome!$A$2:$A$28=$B6)*(Transcriptome!$C$2:$C$28=$G6),0))</f>
        <v>1.8626260215226293</v>
      </c>
      <c r="CT6">
        <f t="array" ref="CT6">INDEX(Transcriptome!BM$2:BM$28,MATCH(1,(Transcriptome!$A$2:$A$28=$B6)*(Transcriptome!$C$2:$C$28=$G6),0))</f>
        <v>0.6498926544427488</v>
      </c>
      <c r="CU6">
        <f t="array" ref="CU6">INDEX(Transcriptome!BN$2:BN$28,MATCH(1,(Transcriptome!$A$2:$A$28=$B6)*(Transcriptome!$C$2:$C$28=$G6),0))</f>
        <v>30.252756592141139</v>
      </c>
      <c r="CV6">
        <f t="array" ref="CV6">INDEX(Transcriptome!BO$2:BO$28,MATCH(1,(Transcriptome!$A$2:$A$28=$B6)*(Transcriptome!$C$2:$C$28=$G6),0))</f>
        <v>1.8572773148073258</v>
      </c>
      <c r="CW6">
        <f t="array" ref="CW6">INDEX(Transcriptome!BP$2:BP$28,MATCH(1,(Transcriptome!$A$2:$A$28=$B6)*(Transcriptome!$C$2:$C$28=$G6),0))</f>
        <v>0.67281144000502036</v>
      </c>
      <c r="CX6">
        <f t="array" ref="CX6">INDEX(Transcriptome!BQ$2:BQ$28,MATCH(1,(Transcriptome!$A$2:$A$28=$B6)*(Transcriptome!$C$2:$C$28=$G6),0))</f>
        <v>1</v>
      </c>
      <c r="CY6">
        <f t="array" ref="CY6">INDEX(Transcriptome!BR$2:BR$28,MATCH(1,(Transcriptome!$A$2:$A$28=$B6)*(Transcriptome!$C$2:$C$28=$G6),0))</f>
        <v>1.2652823875258563</v>
      </c>
    </row>
    <row r="7" spans="1:103">
      <c r="A7">
        <f>'Measured Data'!A12</f>
        <v>5</v>
      </c>
      <c r="B7" t="s">
        <v>582</v>
      </c>
      <c r="C7" s="324" t="s">
        <v>586</v>
      </c>
      <c r="D7">
        <v>1</v>
      </c>
      <c r="E7">
        <f>'Measured Data'!H12</f>
        <v>4.0235999656677244</v>
      </c>
      <c r="F7" s="477">
        <f>'Measured Data'!K12</f>
        <v>99.129997253417969</v>
      </c>
      <c r="G7" t="s">
        <v>513</v>
      </c>
      <c r="H7" s="321">
        <f>'Measured Data'!B12</f>
        <v>4.8319444444496185</v>
      </c>
      <c r="I7" s="322">
        <f>'Measured Data'!C12</f>
        <v>115.96666666679084</v>
      </c>
      <c r="J7">
        <f>'In Process Calc.'!B8</f>
        <v>4.8319444444496185</v>
      </c>
      <c r="K7">
        <f>'In Process Calc.'!C8</f>
        <v>115.96666666679084</v>
      </c>
      <c r="L7">
        <f>'Measured Data'!Z12</f>
        <v>34.470125890894558</v>
      </c>
      <c r="M7">
        <f>'Measured Data'!AF12</f>
        <v>6.9937833037300177</v>
      </c>
      <c r="N7">
        <f>'Measured Data'!AA12</f>
        <v>1.071</v>
      </c>
      <c r="O7">
        <f>'Measured Data'!W12</f>
        <v>7.375</v>
      </c>
      <c r="P7">
        <f>'Measured Data'!X12</f>
        <v>1.895</v>
      </c>
      <c r="Q7">
        <f>'Growth Regression'!P7</f>
        <v>1.9936258295762066E-2</v>
      </c>
      <c r="R7">
        <f>Q7/'Growth Regression'!$O$24</f>
        <v>0.75108675813481007</v>
      </c>
      <c r="S7">
        <f>'Post Process Calc.'!K8</f>
        <v>6.6036572777094044E-2</v>
      </c>
      <c r="T7">
        <f>'Post Process Calc.'!Q8</f>
        <v>2.0561896874776223E-2</v>
      </c>
      <c r="U7">
        <f>'Post Process Calc.'!L8</f>
        <v>-5.6348922878439274E-3</v>
      </c>
      <c r="V7">
        <f>'Post Process Calc.'!H8</f>
        <v>3.7030804665030264E-3</v>
      </c>
      <c r="W7">
        <f>'Post Process Calc.'!I8</f>
        <v>-6.6136363825725379E-3</v>
      </c>
      <c r="X7">
        <f>'Post Process Calc.'!AG8</f>
        <v>0.31137135090554674</v>
      </c>
      <c r="Y7">
        <f t="shared" si="2"/>
        <v>41.272857985683778</v>
      </c>
      <c r="Z7">
        <f t="shared" si="2"/>
        <v>12.851185546735138</v>
      </c>
      <c r="AA7">
        <f t="shared" si="0"/>
        <v>-3.5218076799024542</v>
      </c>
      <c r="AB7">
        <f t="shared" si="0"/>
        <v>2.3144252915643913</v>
      </c>
      <c r="AC7">
        <f t="shared" si="0"/>
        <v>-4.1335227391078364</v>
      </c>
      <c r="AD7">
        <v>100</v>
      </c>
      <c r="AE7">
        <v>0.32</v>
      </c>
      <c r="AF7">
        <v>7</v>
      </c>
      <c r="AG7">
        <v>0.7</v>
      </c>
      <c r="AH7">
        <f t="shared" si="1"/>
        <v>5.0118723362727164E-8</v>
      </c>
      <c r="AI7">
        <v>1</v>
      </c>
      <c r="AJ7">
        <v>0.311</v>
      </c>
      <c r="AK7">
        <f t="array" ref="AK7">INDEX(Transcriptome!D$2:D$28,MATCH(1,(Transcriptome!$A$2:$A$28=$B7)*(Transcriptome!$C$2:$C$28=$G7),0))</f>
        <v>0.75120083781418034</v>
      </c>
      <c r="AL7">
        <f t="array" ref="AL7">INDEX(Transcriptome!E$2:E$28,MATCH(1,(Transcriptome!$A$2:$A$28=$B7)*(Transcriptome!$C$2:$C$28=$G7),0))</f>
        <v>1.3452090544846451</v>
      </c>
      <c r="AM7">
        <f t="array" ref="AM7">INDEX(Transcriptome!F$2:F$28,MATCH(1,(Transcriptome!$A$2:$A$28=$B7)*(Transcriptome!$C$2:$C$28=$G7),0))</f>
        <v>1.1599251488993827</v>
      </c>
      <c r="AN7">
        <f t="array" ref="AN7">INDEX(Transcriptome!G$2:G$28,MATCH(1,(Transcriptome!$A$2:$A$28=$B7)*(Transcriptome!$C$2:$C$28=$G7),0))</f>
        <v>0.70921905462414569</v>
      </c>
      <c r="AO7">
        <f t="array" ref="AO7">INDEX(Transcriptome!H$2:H$28,MATCH(1,(Transcriptome!$A$2:$A$28=$B7)*(Transcriptome!$C$2:$C$28=$G7),0))</f>
        <v>0</v>
      </c>
      <c r="AP7">
        <f t="array" ref="AP7">INDEX(Transcriptome!I$2:I$28,MATCH(1,(Transcriptome!$A$2:$A$28=$B7)*(Transcriptome!$C$2:$C$28=$G7),0))</f>
        <v>1.6282553995115943</v>
      </c>
      <c r="AQ7">
        <f t="array" ref="AQ7">INDEX(Transcriptome!J$2:J$28,MATCH(1,(Transcriptome!$A$2:$A$28=$B7)*(Transcriptome!$C$2:$C$28=$G7),0))</f>
        <v>1.0870691735149791</v>
      </c>
      <c r="AR7">
        <f t="array" ref="AR7">INDEX(Transcriptome!K$2:K$28,MATCH(1,(Transcriptome!$A$2:$A$28=$B7)*(Transcriptome!$C$2:$C$28=$G7),0))</f>
        <v>1.4630306834308657</v>
      </c>
      <c r="AS7">
        <f t="array" ref="AS7">INDEX(Transcriptome!L$2:L$28,MATCH(1,(Transcriptome!$A$2:$A$28=$B7)*(Transcriptome!$C$2:$C$28=$G7),0))</f>
        <v>1.0171797240321683</v>
      </c>
      <c r="AT7">
        <f t="array" ref="AT7">INDEX(Transcriptome!M$2:M$28,MATCH(1,(Transcriptome!$A$2:$A$28=$B7)*(Transcriptome!$C$2:$C$28=$G7),0))</f>
        <v>1.0744738748130889</v>
      </c>
      <c r="AU7">
        <f t="array" ref="AU7">INDEX(Transcriptome!N$2:N$28,MATCH(1,(Transcriptome!$A$2:$A$28=$B7)*(Transcriptome!$C$2:$C$28=$G7),0))</f>
        <v>1.2349088890793825</v>
      </c>
      <c r="AV7">
        <f t="array" ref="AV7">INDEX(Transcriptome!O$2:O$28,MATCH(1,(Transcriptome!$A$2:$A$28=$B7)*(Transcriptome!$C$2:$C$28=$G7),0))</f>
        <v>1.5128732832839087</v>
      </c>
      <c r="AW7">
        <f t="array" ref="AW7">INDEX(Transcriptome!P$2:P$28,MATCH(1,(Transcriptome!$A$2:$A$28=$B7)*(Transcriptome!$C$2:$C$28=$G7),0))</f>
        <v>1.418626571205134</v>
      </c>
      <c r="AX7">
        <f t="array" ref="AX7">INDEX(Transcriptome!Q$2:Q$28,MATCH(1,(Transcriptome!$A$2:$A$28=$B7)*(Transcriptome!$C$2:$C$28=$G7),0))</f>
        <v>0.75818627044108666</v>
      </c>
      <c r="AY7">
        <f t="array" ref="AY7">INDEX(Transcriptome!R$2:R$28,MATCH(1,(Transcriptome!$A$2:$A$28=$B7)*(Transcriptome!$C$2:$C$28=$G7),0))</f>
        <v>0.62222364572130617</v>
      </c>
      <c r="AZ7">
        <f t="array" ref="AZ7">INDEX(Transcriptome!S$2:S$28,MATCH(1,(Transcriptome!$A$2:$A$28=$B7)*(Transcriptome!$C$2:$C$28=$G7),0))</f>
        <v>0.45398180100126823</v>
      </c>
      <c r="BA7">
        <f t="array" ref="BA7">INDEX(Transcriptome!T$2:T$28,MATCH(1,(Transcriptome!$A$2:$A$28=$B7)*(Transcriptome!$C$2:$C$28=$G7),0))</f>
        <v>1.2443611151314311</v>
      </c>
      <c r="BB7">
        <f t="array" ref="BB7">INDEX(Transcriptome!U$2:U$28,MATCH(1,(Transcriptome!$A$2:$A$28=$B7)*(Transcriptome!$C$2:$C$28=$G7),0))</f>
        <v>3.4109020413139706</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1.1597576413818276</v>
      </c>
      <c r="BF7">
        <f t="array" ref="BF7">INDEX(Transcriptome!Y$2:Y$28,MATCH(1,(Transcriptome!$A$2:$A$28=$B7)*(Transcriptome!$C$2:$C$28=$G7),0))</f>
        <v>0</v>
      </c>
      <c r="BG7">
        <f t="array" ref="BG7">INDEX(Transcriptome!Z$2:Z$28,MATCH(1,(Transcriptome!$A$2:$A$28=$B7)*(Transcriptome!$C$2:$C$28=$G7),0))</f>
        <v>1.4224053459159063</v>
      </c>
      <c r="BH7">
        <f t="array" ref="BH7">INDEX(Transcriptome!AA$2:AA$28,MATCH(1,(Transcriptome!$A$2:$A$28=$B7)*(Transcriptome!$C$2:$C$28=$G7),0))</f>
        <v>1.0785765460349117</v>
      </c>
      <c r="BI7">
        <f t="array" ref="BI7">INDEX(Transcriptome!AB$2:AB$28,MATCH(1,(Transcriptome!$A$2:$A$28=$B7)*(Transcriptome!$C$2:$C$28=$G7),0))</f>
        <v>0.473674659694519</v>
      </c>
      <c r="BJ7">
        <f t="array" ref="BJ7">INDEX(Transcriptome!AC$2:AC$28,MATCH(1,(Transcriptome!$A$2:$A$28=$B7)*(Transcriptome!$C$2:$C$28=$G7),0))</f>
        <v>1.0599593993610694</v>
      </c>
      <c r="BK7">
        <f t="array" ref="BK7">INDEX(Transcriptome!AD$2:AD$28,MATCH(1,(Transcriptome!$A$2:$A$28=$B7)*(Transcriptome!$C$2:$C$28=$G7),0))</f>
        <v>1.2080921631861166</v>
      </c>
      <c r="BL7">
        <f t="array" ref="BL7">INDEX(Transcriptome!AE$2:AE$28,MATCH(1,(Transcriptome!$A$2:$A$28=$B7)*(Transcriptome!$C$2:$C$28=$G7),0))</f>
        <v>1.5382205274541896</v>
      </c>
      <c r="BM7">
        <f t="array" ref="BM7">INDEX(Transcriptome!AF$2:AF$28,MATCH(1,(Transcriptome!$A$2:$A$28=$B7)*(Transcriptome!$C$2:$C$28=$G7),0))</f>
        <v>0.8896276701542809</v>
      </c>
      <c r="BN7">
        <f t="array" ref="BN7">INDEX(Transcriptome!AG$2:AG$28,MATCH(1,(Transcriptome!$A$2:$A$28=$B7)*(Transcriptome!$C$2:$C$28=$G7),0))</f>
        <v>0.5163962964725155</v>
      </c>
      <c r="BO7">
        <f t="array" ref="BO7">INDEX(Transcriptome!AH$2:AH$28,MATCH(1,(Transcriptome!$A$2:$A$28=$B7)*(Transcriptome!$C$2:$C$28=$G7),0))</f>
        <v>2.1130256851285192</v>
      </c>
      <c r="BP7">
        <f t="array" ref="BP7">INDEX(Transcriptome!AI$2:AI$28,MATCH(1,(Transcriptome!$A$2:$A$28=$B7)*(Transcriptome!$C$2:$C$28=$G7),0))</f>
        <v>0.83004246210802102</v>
      </c>
      <c r="BQ7">
        <f t="array" ref="BQ7">INDEX(Transcriptome!AJ$2:AJ$28,MATCH(1,(Transcriptome!$A$2:$A$28=$B7)*(Transcriptome!$C$2:$C$28=$G7),0))</f>
        <v>0.91927335509585972</v>
      </c>
      <c r="BR7">
        <f t="array" ref="BR7">INDEX(Transcriptome!AK$2:AK$28,MATCH(1,(Transcriptome!$A$2:$A$28=$B7)*(Transcriptome!$C$2:$C$28=$G7),0))</f>
        <v>0.86442341502752595</v>
      </c>
      <c r="BS7">
        <f t="array" ref="BS7">INDEX(Transcriptome!AL$2:AL$28,MATCH(1,(Transcriptome!$A$2:$A$28=$B7)*(Transcriptome!$C$2:$C$28=$G7),0))</f>
        <v>1</v>
      </c>
      <c r="BT7">
        <f t="array" ref="BT7">INDEX(Transcriptome!AM$2:AM$28,MATCH(1,(Transcriptome!$A$2:$A$28=$B7)*(Transcriptome!$C$2:$C$28=$G7),0))</f>
        <v>0.77410003444406195</v>
      </c>
      <c r="BU7">
        <f t="array" ref="BU7">INDEX(Transcriptome!AN$2:AN$28,MATCH(1,(Transcriptome!$A$2:$A$28=$B7)*(Transcriptome!$C$2:$C$28=$G7),0))</f>
        <v>1.0525309554062177</v>
      </c>
      <c r="BV7">
        <f t="array" ref="BV7">INDEX(Transcriptome!AO$2:AO$28,MATCH(1,(Transcriptome!$A$2:$A$28=$B7)*(Transcriptome!$C$2:$C$28=$G7),0))</f>
        <v>1.2717687051722399</v>
      </c>
      <c r="BW7">
        <f t="array" ref="BW7">INDEX(Transcriptome!AP$2:AP$28,MATCH(1,(Transcriptome!$A$2:$A$28=$B7)*(Transcriptome!$C$2:$C$28=$G7),0))</f>
        <v>1.1267475274689782</v>
      </c>
      <c r="BX7">
        <f t="array" ref="BX7">INDEX(Transcriptome!AQ$2:AQ$28,MATCH(1,(Transcriptome!$A$2:$A$28=$B7)*(Transcriptome!$C$2:$C$28=$G7),0))</f>
        <v>1.4322233621409421</v>
      </c>
      <c r="BY7">
        <f t="array" ref="BY7">INDEX(Transcriptome!AR$2:AR$28,MATCH(1,(Transcriptome!$A$2:$A$28=$B7)*(Transcriptome!$C$2:$C$28=$G7),0))</f>
        <v>0.78466234379208444</v>
      </c>
      <c r="BZ7">
        <f t="array" ref="BZ7">INDEX(Transcriptome!AS$2:AS$28,MATCH(1,(Transcriptome!$A$2:$A$28=$B7)*(Transcriptome!$C$2:$C$28=$G7),0))</f>
        <v>1.0494434523058931</v>
      </c>
      <c r="CA7">
        <f t="array" ref="CA7">INDEX(Transcriptome!AT$2:AT$28,MATCH(1,(Transcriptome!$A$2:$A$28=$B7)*(Transcriptome!$C$2:$C$28=$G7),0))</f>
        <v>0.83007572688612297</v>
      </c>
      <c r="CB7">
        <f t="array" ref="CB7">INDEX(Transcriptome!AU$2:AU$28,MATCH(1,(Transcriptome!$A$2:$A$28=$B7)*(Transcriptome!$C$2:$C$28=$G7),0))</f>
        <v>1.7460276276240947</v>
      </c>
      <c r="CC7">
        <f t="array" ref="CC7">INDEX(Transcriptome!AV$2:AV$28,MATCH(1,(Transcriptome!$A$2:$A$28=$B7)*(Transcriptome!$C$2:$C$28=$G7),0))</f>
        <v>0.66402112588341244</v>
      </c>
      <c r="CD7">
        <f t="array" ref="CD7">INDEX(Transcriptome!AW$2:AW$28,MATCH(1,(Transcriptome!$A$2:$A$28=$B7)*(Transcriptome!$C$2:$C$28=$G7),0))</f>
        <v>0.81142190925227209</v>
      </c>
      <c r="CE7">
        <f t="array" ref="CE7">INDEX(Transcriptome!AX$2:AX$28,MATCH(1,(Transcriptome!$A$2:$A$28=$B7)*(Transcriptome!$C$2:$C$28=$G7),0))</f>
        <v>0.81666505828774349</v>
      </c>
      <c r="CF7">
        <f t="array" ref="CF7">INDEX(Transcriptome!AY$2:AY$28,MATCH(1,(Transcriptome!$A$2:$A$28=$B7)*(Transcriptome!$C$2:$C$28=$G7),0))</f>
        <v>0.95021814160116058</v>
      </c>
      <c r="CG7">
        <f t="array" ref="CG7">INDEX(Transcriptome!AZ$2:AZ$28,MATCH(1,(Transcriptome!$A$2:$A$28=$B7)*(Transcriptome!$C$2:$C$28=$G7),0))</f>
        <v>0.94937399788501819</v>
      </c>
      <c r="CH7">
        <f t="array" ref="CH7">INDEX(Transcriptome!BA$2:BA$28,MATCH(1,(Transcriptome!$A$2:$A$28=$B7)*(Transcriptome!$C$2:$C$28=$G7),0))</f>
        <v>1.8902342706959754</v>
      </c>
      <c r="CI7">
        <f t="array" ref="CI7">INDEX(Transcriptome!BB$2:BB$28,MATCH(1,(Transcriptome!$A$2:$A$28=$B7)*(Transcriptome!$C$2:$C$28=$G7),0))</f>
        <v>2.3470969042014311</v>
      </c>
      <c r="CJ7">
        <f t="array" ref="CJ7">INDEX(Transcriptome!BC$2:BC$28,MATCH(1,(Transcriptome!$A$2:$A$28=$B7)*(Transcriptome!$C$2:$C$28=$G7),0))</f>
        <v>0</v>
      </c>
      <c r="CK7">
        <f t="array" ref="CK7">INDEX(Transcriptome!BD$2:BD$28,MATCH(1,(Transcriptome!$A$2:$A$28=$B7)*(Transcriptome!$C$2:$C$28=$G7),0))</f>
        <v>1.5657670378943449</v>
      </c>
      <c r="CL7">
        <f t="array" ref="CL7">INDEX(Transcriptome!BE$2:BE$28,MATCH(1,(Transcriptome!$A$2:$A$28=$B7)*(Transcriptome!$C$2:$C$28=$G7),0))</f>
        <v>1.3747651173760067</v>
      </c>
      <c r="CM7">
        <f t="array" ref="CM7">INDEX(Transcriptome!BF$2:BF$28,MATCH(1,(Transcriptome!$A$2:$A$28=$B7)*(Transcriptome!$C$2:$C$28=$G7),0))</f>
        <v>1.643579659112117</v>
      </c>
      <c r="CN7">
        <f t="array" ref="CN7">INDEX(Transcriptome!BG$2:BG$28,MATCH(1,(Transcriptome!$A$2:$A$28=$B7)*(Transcriptome!$C$2:$C$28=$G7),0))</f>
        <v>2.3378670928049927</v>
      </c>
      <c r="CO7">
        <f t="array" ref="CO7">INDEX(Transcriptome!BH$2:BH$28,MATCH(1,(Transcriptome!$A$2:$A$28=$B7)*(Transcriptome!$C$2:$C$28=$G7),0))</f>
        <v>0.67281144000502036</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2.2087413434455483</v>
      </c>
      <c r="CS7">
        <f t="array" ref="CS7">INDEX(Transcriptome!BL$2:BL$28,MATCH(1,(Transcriptome!$A$2:$A$28=$B7)*(Transcriptome!$C$2:$C$28=$G7),0))</f>
        <v>1.8626260215226293</v>
      </c>
      <c r="CT7">
        <f t="array" ref="CT7">INDEX(Transcriptome!BM$2:BM$28,MATCH(1,(Transcriptome!$A$2:$A$28=$B7)*(Transcriptome!$C$2:$C$28=$G7),0))</f>
        <v>0.6498926544427488</v>
      </c>
      <c r="CU7">
        <f t="array" ref="CU7">INDEX(Transcriptome!BN$2:BN$28,MATCH(1,(Transcriptome!$A$2:$A$28=$B7)*(Transcriptome!$C$2:$C$28=$G7),0))</f>
        <v>30.252756592141139</v>
      </c>
      <c r="CV7">
        <f t="array" ref="CV7">INDEX(Transcriptome!BO$2:BO$28,MATCH(1,(Transcriptome!$A$2:$A$28=$B7)*(Transcriptome!$C$2:$C$28=$G7),0))</f>
        <v>1.8572773148073258</v>
      </c>
      <c r="CW7">
        <f t="array" ref="CW7">INDEX(Transcriptome!BP$2:BP$28,MATCH(1,(Transcriptome!$A$2:$A$28=$B7)*(Transcriptome!$C$2:$C$28=$G7),0))</f>
        <v>0.67281144000502036</v>
      </c>
      <c r="CX7">
        <f t="array" ref="CX7">INDEX(Transcriptome!BQ$2:BQ$28,MATCH(1,(Transcriptome!$A$2:$A$28=$B7)*(Transcriptome!$C$2:$C$28=$G7),0))</f>
        <v>1</v>
      </c>
      <c r="CY7">
        <f t="array" ref="CY7">INDEX(Transcriptome!BR$2:BR$28,MATCH(1,(Transcriptome!$A$2:$A$28=$B7)*(Transcriptome!$C$2:$C$28=$G7),0))</f>
        <v>1.2652823875258563</v>
      </c>
    </row>
    <row r="8" spans="1:103">
      <c r="A8">
        <f>'Measured Data'!A13</f>
        <v>6</v>
      </c>
      <c r="B8" t="s">
        <v>582</v>
      </c>
      <c r="C8" s="324" t="s">
        <v>586</v>
      </c>
      <c r="D8">
        <v>1</v>
      </c>
      <c r="E8">
        <f>'Measured Data'!H13</f>
        <v>6.555300099945069</v>
      </c>
      <c r="F8" s="477">
        <f>'Measured Data'!K13</f>
        <v>99.179298400878906</v>
      </c>
      <c r="G8" t="s">
        <v>511</v>
      </c>
      <c r="H8" s="321">
        <f>'Measured Data'!B13</f>
        <v>5.8819444444452529</v>
      </c>
      <c r="I8" s="322">
        <f>'Measured Data'!C13</f>
        <v>141.16666666668607</v>
      </c>
      <c r="J8">
        <f>'In Process Calc.'!B9</f>
        <v>5.8819444444452529</v>
      </c>
      <c r="K8">
        <f>'In Process Calc.'!C9</f>
        <v>141.16666666668607</v>
      </c>
      <c r="L8">
        <f>'Measured Data'!Z13</f>
        <v>33.859543950798198</v>
      </c>
      <c r="M8">
        <f>'Measured Data'!AF13</f>
        <v>9.8801065719360572</v>
      </c>
      <c r="N8">
        <f>'Measured Data'!AA13</f>
        <v>1.6120000000000001</v>
      </c>
      <c r="O8">
        <f>'Measured Data'!W13</f>
        <v>6.423</v>
      </c>
      <c r="P8">
        <f>'Measured Data'!X13</f>
        <v>2.17</v>
      </c>
      <c r="Q8">
        <f>'Growth Regression'!P8</f>
        <v>1.6116851393872915E-2</v>
      </c>
      <c r="R8">
        <f>Q8/'Growth Regression'!$O$24</f>
        <v>0.60719285861869809</v>
      </c>
      <c r="S8">
        <f>'Post Process Calc.'!K9</f>
        <v>4.9899925349047344E-2</v>
      </c>
      <c r="T8">
        <f>'Post Process Calc.'!Q9</f>
        <v>7.2171226478049862E-3</v>
      </c>
      <c r="U8">
        <f>'Post Process Calc.'!L9</f>
        <v>-6.1506280205075731E-3</v>
      </c>
      <c r="V8">
        <f>'Post Process Calc.'!H9</f>
        <v>4.3053082141014101E-3</v>
      </c>
      <c r="W8">
        <f>'Post Process Calc.'!I9</f>
        <v>-3.4734303654749901E-3</v>
      </c>
      <c r="X8">
        <f>'Post Process Calc.'!AG9</f>
        <v>0.14463193275985073</v>
      </c>
      <c r="Y8">
        <f t="shared" si="2"/>
        <v>31.187453343154587</v>
      </c>
      <c r="Z8">
        <f t="shared" si="2"/>
        <v>4.5107016548781163</v>
      </c>
      <c r="AA8">
        <f t="shared" si="0"/>
        <v>-3.8441425128172328</v>
      </c>
      <c r="AB8">
        <f t="shared" si="0"/>
        <v>2.6908176338133813</v>
      </c>
      <c r="AC8">
        <f t="shared" si="0"/>
        <v>-2.1708939784218688</v>
      </c>
      <c r="AD8">
        <v>100</v>
      </c>
      <c r="AE8">
        <v>0.32</v>
      </c>
      <c r="AF8">
        <v>7</v>
      </c>
      <c r="AG8">
        <v>0.7</v>
      </c>
      <c r="AH8">
        <f t="shared" si="1"/>
        <v>5.0118723362727164E-8</v>
      </c>
      <c r="AI8">
        <v>1</v>
      </c>
      <c r="AJ8">
        <v>0.311</v>
      </c>
      <c r="AK8">
        <f t="array" ref="AK8">INDEX(Transcriptome!D$2:D$28,MATCH(1,(Transcriptome!$A$2:$A$28=$B8)*(Transcriptome!$C$2:$C$28=$G8),0))</f>
        <v>0.79638815840343802</v>
      </c>
      <c r="AL8">
        <f t="array" ref="AL8">INDEX(Transcriptome!E$2:E$28,MATCH(1,(Transcriptome!$A$2:$A$28=$B8)*(Transcriptome!$C$2:$C$28=$G8),0))</f>
        <v>1.3861591991761282</v>
      </c>
      <c r="AM8">
        <f t="array" ref="AM8">INDEX(Transcriptome!F$2:F$28,MATCH(1,(Transcriptome!$A$2:$A$28=$B8)*(Transcriptome!$C$2:$C$28=$G8),0))</f>
        <v>1.2378335354860572</v>
      </c>
      <c r="AN8">
        <f t="array" ref="AN8">INDEX(Transcriptome!G$2:G$28,MATCH(1,(Transcriptome!$A$2:$A$28=$B8)*(Transcriptome!$C$2:$C$28=$G8),0))</f>
        <v>1.1146782068558136</v>
      </c>
      <c r="AO8">
        <f t="array" ref="AO8">INDEX(Transcriptome!H$2:H$28,MATCH(1,(Transcriptome!$A$2:$A$28=$B8)*(Transcriptome!$C$2:$C$28=$G8),0))</f>
        <v>0</v>
      </c>
      <c r="AP8">
        <f t="array" ref="AP8">INDEX(Transcriptome!I$2:I$28,MATCH(1,(Transcriptome!$A$2:$A$28=$B8)*(Transcriptome!$C$2:$C$28=$G8),0))</f>
        <v>1.5937672902652</v>
      </c>
      <c r="AQ8">
        <f t="array" ref="AQ8">INDEX(Transcriptome!J$2:J$28,MATCH(1,(Transcriptome!$A$2:$A$28=$B8)*(Transcriptome!$C$2:$C$28=$G8),0))</f>
        <v>1.1631873200393728</v>
      </c>
      <c r="AR8">
        <f t="array" ref="AR8">INDEX(Transcriptome!K$2:K$28,MATCH(1,(Transcriptome!$A$2:$A$28=$B8)*(Transcriptome!$C$2:$C$28=$G8),0))</f>
        <v>1.5177303868699665</v>
      </c>
      <c r="AS8">
        <f t="array" ref="AS8">INDEX(Transcriptome!L$2:L$28,MATCH(1,(Transcriptome!$A$2:$A$28=$B8)*(Transcriptome!$C$2:$C$28=$G8),0))</f>
        <v>0.94953778317608362</v>
      </c>
      <c r="AT8">
        <f t="array" ref="AT8">INDEX(Transcriptome!M$2:M$28,MATCH(1,(Transcriptome!$A$2:$A$28=$B8)*(Transcriptome!$C$2:$C$28=$G8),0))</f>
        <v>1.0504785782994102</v>
      </c>
      <c r="AU8">
        <f t="array" ref="AU8">INDEX(Transcriptome!N$2:N$28,MATCH(1,(Transcriptome!$A$2:$A$28=$B8)*(Transcriptome!$C$2:$C$28=$G8),0))</f>
        <v>1.1745786590814218</v>
      </c>
      <c r="AV8">
        <f t="array" ref="AV8">INDEX(Transcriptome!O$2:O$28,MATCH(1,(Transcriptome!$A$2:$A$28=$B8)*(Transcriptome!$C$2:$C$28=$G8),0))</f>
        <v>1.4246121383254033</v>
      </c>
      <c r="AW8">
        <f t="array" ref="AW8">INDEX(Transcriptome!P$2:P$28,MATCH(1,(Transcriptome!$A$2:$A$28=$B8)*(Transcriptome!$C$2:$C$28=$G8),0))</f>
        <v>1.4316718554573129</v>
      </c>
      <c r="AX8">
        <f t="array" ref="AX8">INDEX(Transcriptome!Q$2:Q$28,MATCH(1,(Transcriptome!$A$2:$A$28=$B8)*(Transcriptome!$C$2:$C$28=$G8),0))</f>
        <v>0.75713152819582763</v>
      </c>
      <c r="AY8">
        <f t="array" ref="AY8">INDEX(Transcriptome!R$2:R$28,MATCH(1,(Transcriptome!$A$2:$A$28=$B8)*(Transcriptome!$C$2:$C$28=$G8),0))</f>
        <v>0.60703184309084135</v>
      </c>
      <c r="AZ8">
        <f t="array" ref="AZ8">INDEX(Transcriptome!S$2:S$28,MATCH(1,(Transcriptome!$A$2:$A$28=$B8)*(Transcriptome!$C$2:$C$28=$G8),0))</f>
        <v>0.46227503814383497</v>
      </c>
      <c r="BA8">
        <f t="array" ref="BA8">INDEX(Transcriptome!T$2:T$28,MATCH(1,(Transcriptome!$A$2:$A$28=$B8)*(Transcriptome!$C$2:$C$28=$G8),0))</f>
        <v>1.1887400615608046</v>
      </c>
      <c r="BB8">
        <f t="array" ref="BB8">INDEX(Transcriptome!U$2:U$28,MATCH(1,(Transcriptome!$A$2:$A$28=$B8)*(Transcriptome!$C$2:$C$28=$G8),0))</f>
        <v>3.2846004383966516</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1.151485022865421</v>
      </c>
      <c r="BF8">
        <f t="array" ref="BF8">INDEX(Transcriptome!Y$2:Y$28,MATCH(1,(Transcriptome!$A$2:$A$28=$B8)*(Transcriptome!$C$2:$C$28=$G8),0))</f>
        <v>0</v>
      </c>
      <c r="BG8">
        <f t="array" ref="BG8">INDEX(Transcriptome!Z$2:Z$28,MATCH(1,(Transcriptome!$A$2:$A$28=$B8)*(Transcriptome!$C$2:$C$28=$G8),0))</f>
        <v>1.522345115654818</v>
      </c>
      <c r="BH8">
        <f t="array" ref="BH8">INDEX(Transcriptome!AA$2:AA$28,MATCH(1,(Transcriptome!$A$2:$A$28=$B8)*(Transcriptome!$C$2:$C$28=$G8),0))</f>
        <v>1.0868611963156045</v>
      </c>
      <c r="BI8">
        <f t="array" ref="BI8">INDEX(Transcriptome!AB$2:AB$28,MATCH(1,(Transcriptome!$A$2:$A$28=$B8)*(Transcriptome!$C$2:$C$28=$G8),0))</f>
        <v>0.47108546246307648</v>
      </c>
      <c r="BJ8">
        <f t="array" ref="BJ8">INDEX(Transcriptome!AC$2:AC$28,MATCH(1,(Transcriptome!$A$2:$A$28=$B8)*(Transcriptome!$C$2:$C$28=$G8),0))</f>
        <v>1.0143119044332307</v>
      </c>
      <c r="BK8">
        <f t="array" ref="BK8">INDEX(Transcriptome!AD$2:AD$28,MATCH(1,(Transcriptome!$A$2:$A$28=$B8)*(Transcriptome!$C$2:$C$28=$G8),0))</f>
        <v>1.2812995285762343</v>
      </c>
      <c r="BL8">
        <f t="array" ref="BL8">INDEX(Transcriptome!AE$2:AE$28,MATCH(1,(Transcriptome!$A$2:$A$28=$B8)*(Transcriptome!$C$2:$C$28=$G8),0))</f>
        <v>1.4799321306043323</v>
      </c>
      <c r="BM8">
        <f t="array" ref="BM8">INDEX(Transcriptome!AF$2:AF$28,MATCH(1,(Transcriptome!$A$2:$A$28=$B8)*(Transcriptome!$C$2:$C$28=$G8),0))</f>
        <v>0.9086559090219839</v>
      </c>
      <c r="BN8">
        <f t="array" ref="BN8">INDEX(Transcriptome!AG$2:AG$28,MATCH(1,(Transcriptome!$A$2:$A$28=$B8)*(Transcriptome!$C$2:$C$28=$G8),0))</f>
        <v>0.58759307532968807</v>
      </c>
      <c r="BO8">
        <f t="array" ref="BO8">INDEX(Transcriptome!AH$2:AH$28,MATCH(1,(Transcriptome!$A$2:$A$28=$B8)*(Transcriptome!$C$2:$C$28=$G8),0))</f>
        <v>2.0587540778292777</v>
      </c>
      <c r="BP8">
        <f t="array" ref="BP8">INDEX(Transcriptome!AI$2:AI$28,MATCH(1,(Transcriptome!$A$2:$A$28=$B8)*(Transcriptome!$C$2:$C$28=$G8),0))</f>
        <v>0.8753236435968571</v>
      </c>
      <c r="BQ8">
        <f t="array" ref="BQ8">INDEX(Transcriptome!AJ$2:AJ$28,MATCH(1,(Transcriptome!$A$2:$A$28=$B8)*(Transcriptome!$C$2:$C$28=$G8),0))</f>
        <v>0.88559206312324201</v>
      </c>
      <c r="BR8">
        <f t="array" ref="BR8">INDEX(Transcriptome!AK$2:AK$28,MATCH(1,(Transcriptome!$A$2:$A$28=$B8)*(Transcriptome!$C$2:$C$28=$G8),0))</f>
        <v>0.88259806714277234</v>
      </c>
      <c r="BS8">
        <f t="array" ref="BS8">INDEX(Transcriptome!AL$2:AL$28,MATCH(1,(Transcriptome!$A$2:$A$28=$B8)*(Transcriptome!$C$2:$C$28=$G8),0))</f>
        <v>1</v>
      </c>
      <c r="BT8">
        <f t="array" ref="BT8">INDEX(Transcriptome!AM$2:AM$28,MATCH(1,(Transcriptome!$A$2:$A$28=$B8)*(Transcriptome!$C$2:$C$28=$G8),0))</f>
        <v>0.88904773156498651</v>
      </c>
      <c r="BU8">
        <f t="array" ref="BU8">INDEX(Transcriptome!AN$2:AN$28,MATCH(1,(Transcriptome!$A$2:$A$28=$B8)*(Transcriptome!$C$2:$C$28=$G8),0))</f>
        <v>1.0909544267130757</v>
      </c>
      <c r="BV8">
        <f t="array" ref="BV8">INDEX(Transcriptome!AO$2:AO$28,MATCH(1,(Transcriptome!$A$2:$A$28=$B8)*(Transcriptome!$C$2:$C$28=$G8),0))</f>
        <v>1.2426193929744529</v>
      </c>
      <c r="BW8">
        <f t="array" ref="BW8">INDEX(Transcriptome!AP$2:AP$28,MATCH(1,(Transcriptome!$A$2:$A$28=$B8)*(Transcriptome!$C$2:$C$28=$G8),0))</f>
        <v>1.1782369279727287</v>
      </c>
      <c r="BX8">
        <f t="array" ref="BX8">INDEX(Transcriptome!AQ$2:AQ$28,MATCH(1,(Transcriptome!$A$2:$A$28=$B8)*(Transcriptome!$C$2:$C$28=$G8),0))</f>
        <v>1.5361027527678581</v>
      </c>
      <c r="BY8">
        <f t="array" ref="BY8">INDEX(Transcriptome!AR$2:AR$28,MATCH(1,(Transcriptome!$A$2:$A$28=$B8)*(Transcriptome!$C$2:$C$28=$G8),0))</f>
        <v>0.79955992801394471</v>
      </c>
      <c r="BZ8">
        <f t="array" ref="BZ8">INDEX(Transcriptome!AS$2:AS$28,MATCH(1,(Transcriptome!$A$2:$A$28=$B8)*(Transcriptome!$C$2:$C$28=$G8),0))</f>
        <v>1.0637104985025529</v>
      </c>
      <c r="CA8">
        <f t="array" ref="CA8">INDEX(Transcriptome!AT$2:AT$28,MATCH(1,(Transcriptome!$A$2:$A$28=$B8)*(Transcriptome!$C$2:$C$28=$G8),0))</f>
        <v>0.85835356565229848</v>
      </c>
      <c r="CB8">
        <f t="array" ref="CB8">INDEX(Transcriptome!AU$2:AU$28,MATCH(1,(Transcriptome!$A$2:$A$28=$B8)*(Transcriptome!$C$2:$C$28=$G8),0))</f>
        <v>1.712850383210498</v>
      </c>
      <c r="CC8">
        <f t="array" ref="CC8">INDEX(Transcriptome!AV$2:AV$28,MATCH(1,(Transcriptome!$A$2:$A$28=$B8)*(Transcriptome!$C$2:$C$28=$G8),0))</f>
        <v>0.71198577137362051</v>
      </c>
      <c r="CD8">
        <f t="array" ref="CD8">INDEX(Transcriptome!AW$2:AW$28,MATCH(1,(Transcriptome!$A$2:$A$28=$B8)*(Transcriptome!$C$2:$C$28=$G8),0))</f>
        <v>0.80094474222558609</v>
      </c>
      <c r="CE8">
        <f t="array" ref="CE8">INDEX(Transcriptome!AX$2:AX$28,MATCH(1,(Transcriptome!$A$2:$A$28=$B8)*(Transcriptome!$C$2:$C$28=$G8),0))</f>
        <v>0.82590812135401737</v>
      </c>
      <c r="CF8">
        <f t="array" ref="CF8">INDEX(Transcriptome!AY$2:AY$28,MATCH(1,(Transcriptome!$A$2:$A$28=$B8)*(Transcriptome!$C$2:$C$28=$G8),0))</f>
        <v>1.0272241552810923</v>
      </c>
      <c r="CG8">
        <f t="array" ref="CG8">INDEX(Transcriptome!AZ$2:AZ$28,MATCH(1,(Transcriptome!$A$2:$A$28=$B8)*(Transcriptome!$C$2:$C$28=$G8),0))</f>
        <v>0.96959416736772075</v>
      </c>
      <c r="CH8">
        <f t="array" ref="CH8">INDEX(Transcriptome!BA$2:BA$28,MATCH(1,(Transcriptome!$A$2:$A$28=$B8)*(Transcriptome!$C$2:$C$28=$G8),0))</f>
        <v>1.974935690525407</v>
      </c>
      <c r="CI8">
        <f t="array" ref="CI8">INDEX(Transcriptome!BB$2:BB$28,MATCH(1,(Transcriptome!$A$2:$A$28=$B8)*(Transcriptome!$C$2:$C$28=$G8),0))</f>
        <v>2.1033973998458797</v>
      </c>
      <c r="CJ8">
        <f t="array" ref="CJ8">INDEX(Transcriptome!BC$2:BC$28,MATCH(1,(Transcriptome!$A$2:$A$28=$B8)*(Transcriptome!$C$2:$C$28=$G8),0))</f>
        <v>0</v>
      </c>
      <c r="CK8">
        <f t="array" ref="CK8">INDEX(Transcriptome!BD$2:BD$28,MATCH(1,(Transcriptome!$A$2:$A$28=$B8)*(Transcriptome!$C$2:$C$28=$G8),0))</f>
        <v>1.5996061925887715</v>
      </c>
      <c r="CL8">
        <f t="array" ref="CL8">INDEX(Transcriptome!BE$2:BE$28,MATCH(1,(Transcriptome!$A$2:$A$28=$B8)*(Transcriptome!$C$2:$C$28=$G8),0))</f>
        <v>1.4949993475149961</v>
      </c>
      <c r="CM8">
        <f t="array" ref="CM8">INDEX(Transcriptome!BF$2:BF$28,MATCH(1,(Transcriptome!$A$2:$A$28=$B8)*(Transcriptome!$C$2:$C$28=$G8),0))</f>
        <v>1.5497468202012199</v>
      </c>
      <c r="CN8">
        <f t="array" ref="CN8">INDEX(Transcriptome!BG$2:BG$28,MATCH(1,(Transcriptome!$A$2:$A$28=$B8)*(Transcriptome!$C$2:$C$28=$G8),0))</f>
        <v>2.4313166778774296</v>
      </c>
      <c r="CO8">
        <f t="array" ref="CO8">INDEX(Transcriptome!BH$2:BH$28,MATCH(1,(Transcriptome!$A$2:$A$28=$B8)*(Transcriptome!$C$2:$C$28=$G8),0))</f>
        <v>0.64707001056733671</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2.1724789275552308</v>
      </c>
      <c r="CS8">
        <f t="array" ref="CS8">INDEX(Transcriptome!BL$2:BL$28,MATCH(1,(Transcriptome!$A$2:$A$28=$B8)*(Transcriptome!$C$2:$C$28=$G8),0))</f>
        <v>1.7950064664524856</v>
      </c>
      <c r="CT8">
        <f t="array" ref="CT8">INDEX(Transcriptome!BM$2:BM$28,MATCH(1,(Transcriptome!$A$2:$A$28=$B8)*(Transcriptome!$C$2:$C$28=$G8),0))</f>
        <v>0.75235595411476763</v>
      </c>
      <c r="CU8">
        <f t="array" ref="CU8">INDEX(Transcriptome!BN$2:BN$28,MATCH(1,(Transcriptome!$A$2:$A$28=$B8)*(Transcriptome!$C$2:$C$28=$G8),0))</f>
        <v>30.841627330882794</v>
      </c>
      <c r="CV8">
        <f t="array" ref="CV8">INDEX(Transcriptome!BO$2:BO$28,MATCH(1,(Transcriptome!$A$2:$A$28=$B8)*(Transcriptome!$C$2:$C$28=$G8),0))</f>
        <v>1.9998119070900044</v>
      </c>
      <c r="CW8">
        <f t="array" ref="CW8">INDEX(Transcriptome!BP$2:BP$28,MATCH(1,(Transcriptome!$A$2:$A$28=$B8)*(Transcriptome!$C$2:$C$28=$G8),0))</f>
        <v>0.64707001056733671</v>
      </c>
      <c r="CX8">
        <f t="array" ref="CX8">INDEX(Transcriptome!BQ$2:BQ$28,MATCH(1,(Transcriptome!$A$2:$A$28=$B8)*(Transcriptome!$C$2:$C$28=$G8),0))</f>
        <v>1</v>
      </c>
      <c r="CY8">
        <f t="array" ref="CY8">INDEX(Transcriptome!BR$2:BR$28,MATCH(1,(Transcriptome!$A$2:$A$28=$B8)*(Transcriptome!$C$2:$C$28=$G8),0))</f>
        <v>1.4503728796128219</v>
      </c>
    </row>
    <row r="9" spans="1:103">
      <c r="A9">
        <f>'Measured Data'!A14</f>
        <v>7</v>
      </c>
      <c r="B9" t="s">
        <v>582</v>
      </c>
      <c r="C9" s="324" t="s">
        <v>586</v>
      </c>
      <c r="D9">
        <v>1</v>
      </c>
      <c r="E9">
        <f>'Measured Data'!H14</f>
        <v>9.4350002838134763</v>
      </c>
      <c r="F9" s="477">
        <f>'Measured Data'!K14</f>
        <v>99.257003784179688</v>
      </c>
      <c r="G9" t="s">
        <v>511</v>
      </c>
      <c r="H9" s="321">
        <f>'Measured Data'!B14</f>
        <v>6.867361111115315</v>
      </c>
      <c r="I9" s="322">
        <f>'Measured Data'!C14</f>
        <v>164.81666666676756</v>
      </c>
      <c r="J9">
        <f>'In Process Calc.'!B10</f>
        <v>6.867361111115315</v>
      </c>
      <c r="K9">
        <f>'In Process Calc.'!C10</f>
        <v>164.81666666676756</v>
      </c>
      <c r="L9">
        <f>'Measured Data'!Z14</f>
        <v>31.417216190412752</v>
      </c>
      <c r="M9">
        <f>'Measured Data'!AF14</f>
        <v>11.434280639431616</v>
      </c>
      <c r="N9">
        <f>'Measured Data'!AA14</f>
        <v>2.5329999999999999</v>
      </c>
      <c r="O9">
        <f>'Measured Data'!W14</f>
        <v>5.5940000000000003</v>
      </c>
      <c r="P9">
        <f>'Measured Data'!X14</f>
        <v>2.8159999999999998</v>
      </c>
      <c r="Q9">
        <f>'Growth Regression'!P9</f>
        <v>1.1999991088599072E-2</v>
      </c>
      <c r="R9">
        <f>Q9/'Growth Regression'!$O$24</f>
        <v>0.45209257778820144</v>
      </c>
      <c r="S9">
        <f>'Post Process Calc.'!K10</f>
        <v>4.0591282479987778E-2</v>
      </c>
      <c r="T9">
        <f>'Post Process Calc.'!Q10</f>
        <v>4.872342888806082E-4</v>
      </c>
      <c r="U9">
        <f>'Post Process Calc.'!L10</f>
        <v>-5.4383264897684561E-3</v>
      </c>
      <c r="V9">
        <f>'Post Process Calc.'!H10</f>
        <v>4.2806759663201865E-3</v>
      </c>
      <c r="W9">
        <f>'Post Process Calc.'!I10</f>
        <v>-1.6319023076364571E-3</v>
      </c>
      <c r="X9">
        <f>'Post Process Calc.'!AG10</f>
        <v>1.2003421895349656E-2</v>
      </c>
      <c r="Y9">
        <f t="shared" si="2"/>
        <v>25.369551549992359</v>
      </c>
      <c r="Z9">
        <f t="shared" si="2"/>
        <v>0.30452143055038011</v>
      </c>
      <c r="AA9">
        <f t="shared" si="0"/>
        <v>-3.3989540561052851</v>
      </c>
      <c r="AB9">
        <f t="shared" si="0"/>
        <v>2.6754224789501162</v>
      </c>
      <c r="AC9">
        <f t="shared" si="0"/>
        <v>-1.0199389422727856</v>
      </c>
      <c r="AD9">
        <v>100</v>
      </c>
      <c r="AE9">
        <v>0.32</v>
      </c>
      <c r="AF9">
        <v>7</v>
      </c>
      <c r="AG9">
        <v>0.7</v>
      </c>
      <c r="AH9">
        <f t="shared" si="1"/>
        <v>5.0118723362727164E-8</v>
      </c>
      <c r="AI9">
        <v>1</v>
      </c>
      <c r="AJ9">
        <v>0.311</v>
      </c>
      <c r="AK9">
        <f t="array" ref="AK9">INDEX(Transcriptome!D$2:D$28,MATCH(1,(Transcriptome!$A$2:$A$28=$B9)*(Transcriptome!$C$2:$C$28=$G9),0))</f>
        <v>0.79638815840343802</v>
      </c>
      <c r="AL9">
        <f t="array" ref="AL9">INDEX(Transcriptome!E$2:E$28,MATCH(1,(Transcriptome!$A$2:$A$28=$B9)*(Transcriptome!$C$2:$C$28=$G9),0))</f>
        <v>1.3861591991761282</v>
      </c>
      <c r="AM9">
        <f t="array" ref="AM9">INDEX(Transcriptome!F$2:F$28,MATCH(1,(Transcriptome!$A$2:$A$28=$B9)*(Transcriptome!$C$2:$C$28=$G9),0))</f>
        <v>1.2378335354860572</v>
      </c>
      <c r="AN9">
        <f t="array" ref="AN9">INDEX(Transcriptome!G$2:G$28,MATCH(1,(Transcriptome!$A$2:$A$28=$B9)*(Transcriptome!$C$2:$C$28=$G9),0))</f>
        <v>1.1146782068558136</v>
      </c>
      <c r="AO9">
        <f t="array" ref="AO9">INDEX(Transcriptome!H$2:H$28,MATCH(1,(Transcriptome!$A$2:$A$28=$B9)*(Transcriptome!$C$2:$C$28=$G9),0))</f>
        <v>0</v>
      </c>
      <c r="AP9">
        <f t="array" ref="AP9">INDEX(Transcriptome!I$2:I$28,MATCH(1,(Transcriptome!$A$2:$A$28=$B9)*(Transcriptome!$C$2:$C$28=$G9),0))</f>
        <v>1.5937672902652</v>
      </c>
      <c r="AQ9">
        <f t="array" ref="AQ9">INDEX(Transcriptome!J$2:J$28,MATCH(1,(Transcriptome!$A$2:$A$28=$B9)*(Transcriptome!$C$2:$C$28=$G9),0))</f>
        <v>1.1631873200393728</v>
      </c>
      <c r="AR9">
        <f t="array" ref="AR9">INDEX(Transcriptome!K$2:K$28,MATCH(1,(Transcriptome!$A$2:$A$28=$B9)*(Transcriptome!$C$2:$C$28=$G9),0))</f>
        <v>1.5177303868699665</v>
      </c>
      <c r="AS9">
        <f t="array" ref="AS9">INDEX(Transcriptome!L$2:L$28,MATCH(1,(Transcriptome!$A$2:$A$28=$B9)*(Transcriptome!$C$2:$C$28=$G9),0))</f>
        <v>0.94953778317608362</v>
      </c>
      <c r="AT9">
        <f t="array" ref="AT9">INDEX(Transcriptome!M$2:M$28,MATCH(1,(Transcriptome!$A$2:$A$28=$B9)*(Transcriptome!$C$2:$C$28=$G9),0))</f>
        <v>1.0504785782994102</v>
      </c>
      <c r="AU9">
        <f t="array" ref="AU9">INDEX(Transcriptome!N$2:N$28,MATCH(1,(Transcriptome!$A$2:$A$28=$B9)*(Transcriptome!$C$2:$C$28=$G9),0))</f>
        <v>1.1745786590814218</v>
      </c>
      <c r="AV9">
        <f t="array" ref="AV9">INDEX(Transcriptome!O$2:O$28,MATCH(1,(Transcriptome!$A$2:$A$28=$B9)*(Transcriptome!$C$2:$C$28=$G9),0))</f>
        <v>1.4246121383254033</v>
      </c>
      <c r="AW9">
        <f t="array" ref="AW9">INDEX(Transcriptome!P$2:P$28,MATCH(1,(Transcriptome!$A$2:$A$28=$B9)*(Transcriptome!$C$2:$C$28=$G9),0))</f>
        <v>1.4316718554573129</v>
      </c>
      <c r="AX9">
        <f t="array" ref="AX9">INDEX(Transcriptome!Q$2:Q$28,MATCH(1,(Transcriptome!$A$2:$A$28=$B9)*(Transcriptome!$C$2:$C$28=$G9),0))</f>
        <v>0.75713152819582763</v>
      </c>
      <c r="AY9">
        <f t="array" ref="AY9">INDEX(Transcriptome!R$2:R$28,MATCH(1,(Transcriptome!$A$2:$A$28=$B9)*(Transcriptome!$C$2:$C$28=$G9),0))</f>
        <v>0.60703184309084135</v>
      </c>
      <c r="AZ9">
        <f t="array" ref="AZ9">INDEX(Transcriptome!S$2:S$28,MATCH(1,(Transcriptome!$A$2:$A$28=$B9)*(Transcriptome!$C$2:$C$28=$G9),0))</f>
        <v>0.46227503814383497</v>
      </c>
      <c r="BA9">
        <f t="array" ref="BA9">INDEX(Transcriptome!T$2:T$28,MATCH(1,(Transcriptome!$A$2:$A$28=$B9)*(Transcriptome!$C$2:$C$28=$G9),0))</f>
        <v>1.1887400615608046</v>
      </c>
      <c r="BB9">
        <f t="array" ref="BB9">INDEX(Transcriptome!U$2:U$28,MATCH(1,(Transcriptome!$A$2:$A$28=$B9)*(Transcriptome!$C$2:$C$28=$G9),0))</f>
        <v>3.2846004383966516</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1.151485022865421</v>
      </c>
      <c r="BF9">
        <f t="array" ref="BF9">INDEX(Transcriptome!Y$2:Y$28,MATCH(1,(Transcriptome!$A$2:$A$28=$B9)*(Transcriptome!$C$2:$C$28=$G9),0))</f>
        <v>0</v>
      </c>
      <c r="BG9">
        <f t="array" ref="BG9">INDEX(Transcriptome!Z$2:Z$28,MATCH(1,(Transcriptome!$A$2:$A$28=$B9)*(Transcriptome!$C$2:$C$28=$G9),0))</f>
        <v>1.522345115654818</v>
      </c>
      <c r="BH9">
        <f t="array" ref="BH9">INDEX(Transcriptome!AA$2:AA$28,MATCH(1,(Transcriptome!$A$2:$A$28=$B9)*(Transcriptome!$C$2:$C$28=$G9),0))</f>
        <v>1.0868611963156045</v>
      </c>
      <c r="BI9">
        <f t="array" ref="BI9">INDEX(Transcriptome!AB$2:AB$28,MATCH(1,(Transcriptome!$A$2:$A$28=$B9)*(Transcriptome!$C$2:$C$28=$G9),0))</f>
        <v>0.47108546246307648</v>
      </c>
      <c r="BJ9">
        <f t="array" ref="BJ9">INDEX(Transcriptome!AC$2:AC$28,MATCH(1,(Transcriptome!$A$2:$A$28=$B9)*(Transcriptome!$C$2:$C$28=$G9),0))</f>
        <v>1.0143119044332307</v>
      </c>
      <c r="BK9">
        <f t="array" ref="BK9">INDEX(Transcriptome!AD$2:AD$28,MATCH(1,(Transcriptome!$A$2:$A$28=$B9)*(Transcriptome!$C$2:$C$28=$G9),0))</f>
        <v>1.2812995285762343</v>
      </c>
      <c r="BL9">
        <f t="array" ref="BL9">INDEX(Transcriptome!AE$2:AE$28,MATCH(1,(Transcriptome!$A$2:$A$28=$B9)*(Transcriptome!$C$2:$C$28=$G9),0))</f>
        <v>1.4799321306043323</v>
      </c>
      <c r="BM9">
        <f t="array" ref="BM9">INDEX(Transcriptome!AF$2:AF$28,MATCH(1,(Transcriptome!$A$2:$A$28=$B9)*(Transcriptome!$C$2:$C$28=$G9),0))</f>
        <v>0.9086559090219839</v>
      </c>
      <c r="BN9">
        <f t="array" ref="BN9">INDEX(Transcriptome!AG$2:AG$28,MATCH(1,(Transcriptome!$A$2:$A$28=$B9)*(Transcriptome!$C$2:$C$28=$G9),0))</f>
        <v>0.58759307532968807</v>
      </c>
      <c r="BO9">
        <f t="array" ref="BO9">INDEX(Transcriptome!AH$2:AH$28,MATCH(1,(Transcriptome!$A$2:$A$28=$B9)*(Transcriptome!$C$2:$C$28=$G9),0))</f>
        <v>2.0587540778292777</v>
      </c>
      <c r="BP9">
        <f t="array" ref="BP9">INDEX(Transcriptome!AI$2:AI$28,MATCH(1,(Transcriptome!$A$2:$A$28=$B9)*(Transcriptome!$C$2:$C$28=$G9),0))</f>
        <v>0.8753236435968571</v>
      </c>
      <c r="BQ9">
        <f t="array" ref="BQ9">INDEX(Transcriptome!AJ$2:AJ$28,MATCH(1,(Transcriptome!$A$2:$A$28=$B9)*(Transcriptome!$C$2:$C$28=$G9),0))</f>
        <v>0.88559206312324201</v>
      </c>
      <c r="BR9">
        <f t="array" ref="BR9">INDEX(Transcriptome!AK$2:AK$28,MATCH(1,(Transcriptome!$A$2:$A$28=$B9)*(Transcriptome!$C$2:$C$28=$G9),0))</f>
        <v>0.88259806714277234</v>
      </c>
      <c r="BS9">
        <f t="array" ref="BS9">INDEX(Transcriptome!AL$2:AL$28,MATCH(1,(Transcriptome!$A$2:$A$28=$B9)*(Transcriptome!$C$2:$C$28=$G9),0))</f>
        <v>1</v>
      </c>
      <c r="BT9">
        <f t="array" ref="BT9">INDEX(Transcriptome!AM$2:AM$28,MATCH(1,(Transcriptome!$A$2:$A$28=$B9)*(Transcriptome!$C$2:$C$28=$G9),0))</f>
        <v>0.88904773156498651</v>
      </c>
      <c r="BU9">
        <f t="array" ref="BU9">INDEX(Transcriptome!AN$2:AN$28,MATCH(1,(Transcriptome!$A$2:$A$28=$B9)*(Transcriptome!$C$2:$C$28=$G9),0))</f>
        <v>1.0909544267130757</v>
      </c>
      <c r="BV9">
        <f t="array" ref="BV9">INDEX(Transcriptome!AO$2:AO$28,MATCH(1,(Transcriptome!$A$2:$A$28=$B9)*(Transcriptome!$C$2:$C$28=$G9),0))</f>
        <v>1.2426193929744529</v>
      </c>
      <c r="BW9">
        <f t="array" ref="BW9">INDEX(Transcriptome!AP$2:AP$28,MATCH(1,(Transcriptome!$A$2:$A$28=$B9)*(Transcriptome!$C$2:$C$28=$G9),0))</f>
        <v>1.1782369279727287</v>
      </c>
      <c r="BX9">
        <f t="array" ref="BX9">INDEX(Transcriptome!AQ$2:AQ$28,MATCH(1,(Transcriptome!$A$2:$A$28=$B9)*(Transcriptome!$C$2:$C$28=$G9),0))</f>
        <v>1.5361027527678581</v>
      </c>
      <c r="BY9">
        <f t="array" ref="BY9">INDEX(Transcriptome!AR$2:AR$28,MATCH(1,(Transcriptome!$A$2:$A$28=$B9)*(Transcriptome!$C$2:$C$28=$G9),0))</f>
        <v>0.79955992801394471</v>
      </c>
      <c r="BZ9">
        <f t="array" ref="BZ9">INDEX(Transcriptome!AS$2:AS$28,MATCH(1,(Transcriptome!$A$2:$A$28=$B9)*(Transcriptome!$C$2:$C$28=$G9),0))</f>
        <v>1.0637104985025529</v>
      </c>
      <c r="CA9">
        <f t="array" ref="CA9">INDEX(Transcriptome!AT$2:AT$28,MATCH(1,(Transcriptome!$A$2:$A$28=$B9)*(Transcriptome!$C$2:$C$28=$G9),0))</f>
        <v>0.85835356565229848</v>
      </c>
      <c r="CB9">
        <f t="array" ref="CB9">INDEX(Transcriptome!AU$2:AU$28,MATCH(1,(Transcriptome!$A$2:$A$28=$B9)*(Transcriptome!$C$2:$C$28=$G9),0))</f>
        <v>1.712850383210498</v>
      </c>
      <c r="CC9">
        <f t="array" ref="CC9">INDEX(Transcriptome!AV$2:AV$28,MATCH(1,(Transcriptome!$A$2:$A$28=$B9)*(Transcriptome!$C$2:$C$28=$G9),0))</f>
        <v>0.71198577137362051</v>
      </c>
      <c r="CD9">
        <f t="array" ref="CD9">INDEX(Transcriptome!AW$2:AW$28,MATCH(1,(Transcriptome!$A$2:$A$28=$B9)*(Transcriptome!$C$2:$C$28=$G9),0))</f>
        <v>0.80094474222558609</v>
      </c>
      <c r="CE9">
        <f t="array" ref="CE9">INDEX(Transcriptome!AX$2:AX$28,MATCH(1,(Transcriptome!$A$2:$A$28=$B9)*(Transcriptome!$C$2:$C$28=$G9),0))</f>
        <v>0.82590812135401737</v>
      </c>
      <c r="CF9">
        <f t="array" ref="CF9">INDEX(Transcriptome!AY$2:AY$28,MATCH(1,(Transcriptome!$A$2:$A$28=$B9)*(Transcriptome!$C$2:$C$28=$G9),0))</f>
        <v>1.0272241552810923</v>
      </c>
      <c r="CG9">
        <f t="array" ref="CG9">INDEX(Transcriptome!AZ$2:AZ$28,MATCH(1,(Transcriptome!$A$2:$A$28=$B9)*(Transcriptome!$C$2:$C$28=$G9),0))</f>
        <v>0.96959416736772075</v>
      </c>
      <c r="CH9">
        <f t="array" ref="CH9">INDEX(Transcriptome!BA$2:BA$28,MATCH(1,(Transcriptome!$A$2:$A$28=$B9)*(Transcriptome!$C$2:$C$28=$G9),0))</f>
        <v>1.974935690525407</v>
      </c>
      <c r="CI9">
        <f t="array" ref="CI9">INDEX(Transcriptome!BB$2:BB$28,MATCH(1,(Transcriptome!$A$2:$A$28=$B9)*(Transcriptome!$C$2:$C$28=$G9),0))</f>
        <v>2.1033973998458797</v>
      </c>
      <c r="CJ9">
        <f t="array" ref="CJ9">INDEX(Transcriptome!BC$2:BC$28,MATCH(1,(Transcriptome!$A$2:$A$28=$B9)*(Transcriptome!$C$2:$C$28=$G9),0))</f>
        <v>0</v>
      </c>
      <c r="CK9">
        <f t="array" ref="CK9">INDEX(Transcriptome!BD$2:BD$28,MATCH(1,(Transcriptome!$A$2:$A$28=$B9)*(Transcriptome!$C$2:$C$28=$G9),0))</f>
        <v>1.5996061925887715</v>
      </c>
      <c r="CL9">
        <f t="array" ref="CL9">INDEX(Transcriptome!BE$2:BE$28,MATCH(1,(Transcriptome!$A$2:$A$28=$B9)*(Transcriptome!$C$2:$C$28=$G9),0))</f>
        <v>1.4949993475149961</v>
      </c>
      <c r="CM9">
        <f t="array" ref="CM9">INDEX(Transcriptome!BF$2:BF$28,MATCH(1,(Transcriptome!$A$2:$A$28=$B9)*(Transcriptome!$C$2:$C$28=$G9),0))</f>
        <v>1.5497468202012199</v>
      </c>
      <c r="CN9">
        <f t="array" ref="CN9">INDEX(Transcriptome!BG$2:BG$28,MATCH(1,(Transcriptome!$A$2:$A$28=$B9)*(Transcriptome!$C$2:$C$28=$G9),0))</f>
        <v>2.4313166778774296</v>
      </c>
      <c r="CO9">
        <f t="array" ref="CO9">INDEX(Transcriptome!BH$2:BH$28,MATCH(1,(Transcriptome!$A$2:$A$28=$B9)*(Transcriptome!$C$2:$C$28=$G9),0))</f>
        <v>0.64707001056733671</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2.1724789275552308</v>
      </c>
      <c r="CS9">
        <f t="array" ref="CS9">INDEX(Transcriptome!BL$2:BL$28,MATCH(1,(Transcriptome!$A$2:$A$28=$B9)*(Transcriptome!$C$2:$C$28=$G9),0))</f>
        <v>1.7950064664524856</v>
      </c>
      <c r="CT9">
        <f t="array" ref="CT9">INDEX(Transcriptome!BM$2:BM$28,MATCH(1,(Transcriptome!$A$2:$A$28=$B9)*(Transcriptome!$C$2:$C$28=$G9),0))</f>
        <v>0.75235595411476763</v>
      </c>
      <c r="CU9">
        <f t="array" ref="CU9">INDEX(Transcriptome!BN$2:BN$28,MATCH(1,(Transcriptome!$A$2:$A$28=$B9)*(Transcriptome!$C$2:$C$28=$G9),0))</f>
        <v>30.841627330882794</v>
      </c>
      <c r="CV9">
        <f t="array" ref="CV9">INDEX(Transcriptome!BO$2:BO$28,MATCH(1,(Transcriptome!$A$2:$A$28=$B9)*(Transcriptome!$C$2:$C$28=$G9),0))</f>
        <v>1.9998119070900044</v>
      </c>
      <c r="CW9">
        <f t="array" ref="CW9">INDEX(Transcriptome!BP$2:BP$28,MATCH(1,(Transcriptome!$A$2:$A$28=$B9)*(Transcriptome!$C$2:$C$28=$G9),0))</f>
        <v>0.64707001056733671</v>
      </c>
      <c r="CX9">
        <f t="array" ref="CX9">INDEX(Transcriptome!BQ$2:BQ$28,MATCH(1,(Transcriptome!$A$2:$A$28=$B9)*(Transcriptome!$C$2:$C$28=$G9),0))</f>
        <v>1</v>
      </c>
      <c r="CY9">
        <f t="array" ref="CY9">INDEX(Transcriptome!BR$2:BR$28,MATCH(1,(Transcriptome!$A$2:$A$28=$B9)*(Transcriptome!$C$2:$C$28=$G9),0))</f>
        <v>1.4503728796128219</v>
      </c>
    </row>
    <row r="10" spans="1:103">
      <c r="A10">
        <f>'Measured Data'!A15</f>
        <v>8</v>
      </c>
      <c r="B10" t="s">
        <v>582</v>
      </c>
      <c r="C10" s="324" t="s">
        <v>586</v>
      </c>
      <c r="D10">
        <v>1</v>
      </c>
      <c r="E10">
        <f>'Measured Data'!H15</f>
        <v>12.014300210571289</v>
      </c>
      <c r="F10" s="477">
        <f>'Measured Data'!K15</f>
        <v>99.155296325683594</v>
      </c>
      <c r="G10" t="s">
        <v>511</v>
      </c>
      <c r="H10" s="321">
        <f>'Measured Data'!B15</f>
        <v>7.8833333333313931</v>
      </c>
      <c r="I10" s="322">
        <f>'Measured Data'!C15</f>
        <v>189.19999999995343</v>
      </c>
      <c r="J10">
        <f>'In Process Calc.'!B11</f>
        <v>7.8833333333313931</v>
      </c>
      <c r="K10">
        <f>'In Process Calc.'!C11</f>
        <v>189.19999999995343</v>
      </c>
      <c r="L10">
        <f>'Measured Data'!Z15</f>
        <v>22.313994538067004</v>
      </c>
      <c r="M10">
        <f>'Measured Data'!AF15</f>
        <v>11.545293072824157</v>
      </c>
      <c r="N10">
        <f>'Measured Data'!AA15</f>
        <v>3.907</v>
      </c>
      <c r="O10">
        <f>'Measured Data'!W15</f>
        <v>1.5249999999999999</v>
      </c>
      <c r="P10">
        <f>'Measured Data'!X15</f>
        <v>3.581</v>
      </c>
      <c r="Q10">
        <f>'Growth Regression'!P10</f>
        <v>8.0068817312016569E-3</v>
      </c>
      <c r="R10">
        <f>Q10/'Growth Regression'!$O$24</f>
        <v>0.30165454083906412</v>
      </c>
      <c r="S10">
        <f>'Post Process Calc.'!K11</f>
        <v>3.6523069295356467E-2</v>
      </c>
      <c r="T10">
        <f>'Post Process Calc.'!Q11</f>
        <v>-3.3879665944314065E-3</v>
      </c>
      <c r="U10">
        <f>'Post Process Calc.'!L11</f>
        <v>-4.0351184838348046E-3</v>
      </c>
      <c r="V10">
        <f>'Post Process Calc.'!H11</f>
        <v>4.126163794069348E-3</v>
      </c>
      <c r="W10">
        <f>'Post Process Calc.'!I11</f>
        <v>-4.816587839801346E-4</v>
      </c>
      <c r="X10">
        <f>'Post Process Calc.'!AG11</f>
        <v>-9.2762373475061458E-2</v>
      </c>
      <c r="Y10">
        <f t="shared" si="2"/>
        <v>22.82691830959779</v>
      </c>
      <c r="Z10">
        <f t="shared" si="2"/>
        <v>-2.1174791215196289</v>
      </c>
      <c r="AA10">
        <f t="shared" si="0"/>
        <v>-2.5219490523967529</v>
      </c>
      <c r="AB10">
        <f t="shared" si="0"/>
        <v>2.5788523712933422</v>
      </c>
      <c r="AC10">
        <f t="shared" si="0"/>
        <v>-0.30103673998758412</v>
      </c>
      <c r="AD10">
        <v>100</v>
      </c>
      <c r="AE10">
        <v>0.32</v>
      </c>
      <c r="AF10">
        <v>7</v>
      </c>
      <c r="AG10">
        <v>0.7</v>
      </c>
      <c r="AH10">
        <f t="shared" si="1"/>
        <v>5.0118723362727164E-8</v>
      </c>
      <c r="AI10">
        <v>1</v>
      </c>
      <c r="AJ10">
        <v>0.311</v>
      </c>
      <c r="AK10">
        <f t="array" ref="AK10">INDEX(Transcriptome!D$2:D$28,MATCH(1,(Transcriptome!$A$2:$A$28=$B10)*(Transcriptome!$C$2:$C$28=$G10),0))</f>
        <v>0.79638815840343802</v>
      </c>
      <c r="AL10">
        <f t="array" ref="AL10">INDEX(Transcriptome!E$2:E$28,MATCH(1,(Transcriptome!$A$2:$A$28=$B10)*(Transcriptome!$C$2:$C$28=$G10),0))</f>
        <v>1.3861591991761282</v>
      </c>
      <c r="AM10">
        <f t="array" ref="AM10">INDEX(Transcriptome!F$2:F$28,MATCH(1,(Transcriptome!$A$2:$A$28=$B10)*(Transcriptome!$C$2:$C$28=$G10),0))</f>
        <v>1.2378335354860572</v>
      </c>
      <c r="AN10">
        <f t="array" ref="AN10">INDEX(Transcriptome!G$2:G$28,MATCH(1,(Transcriptome!$A$2:$A$28=$B10)*(Transcriptome!$C$2:$C$28=$G10),0))</f>
        <v>1.1146782068558136</v>
      </c>
      <c r="AO10">
        <f t="array" ref="AO10">INDEX(Transcriptome!H$2:H$28,MATCH(1,(Transcriptome!$A$2:$A$28=$B10)*(Transcriptome!$C$2:$C$28=$G10),0))</f>
        <v>0</v>
      </c>
      <c r="AP10">
        <f t="array" ref="AP10">INDEX(Transcriptome!I$2:I$28,MATCH(1,(Transcriptome!$A$2:$A$28=$B10)*(Transcriptome!$C$2:$C$28=$G10),0))</f>
        <v>1.5937672902652</v>
      </c>
      <c r="AQ10">
        <f t="array" ref="AQ10">INDEX(Transcriptome!J$2:J$28,MATCH(1,(Transcriptome!$A$2:$A$28=$B10)*(Transcriptome!$C$2:$C$28=$G10),0))</f>
        <v>1.1631873200393728</v>
      </c>
      <c r="AR10">
        <f t="array" ref="AR10">INDEX(Transcriptome!K$2:K$28,MATCH(1,(Transcriptome!$A$2:$A$28=$B10)*(Transcriptome!$C$2:$C$28=$G10),0))</f>
        <v>1.5177303868699665</v>
      </c>
      <c r="AS10">
        <f t="array" ref="AS10">INDEX(Transcriptome!L$2:L$28,MATCH(1,(Transcriptome!$A$2:$A$28=$B10)*(Transcriptome!$C$2:$C$28=$G10),0))</f>
        <v>0.94953778317608362</v>
      </c>
      <c r="AT10">
        <f t="array" ref="AT10">INDEX(Transcriptome!M$2:M$28,MATCH(1,(Transcriptome!$A$2:$A$28=$B10)*(Transcriptome!$C$2:$C$28=$G10),0))</f>
        <v>1.0504785782994102</v>
      </c>
      <c r="AU10">
        <f t="array" ref="AU10">INDEX(Transcriptome!N$2:N$28,MATCH(1,(Transcriptome!$A$2:$A$28=$B10)*(Transcriptome!$C$2:$C$28=$G10),0))</f>
        <v>1.1745786590814218</v>
      </c>
      <c r="AV10">
        <f t="array" ref="AV10">INDEX(Transcriptome!O$2:O$28,MATCH(1,(Transcriptome!$A$2:$A$28=$B10)*(Transcriptome!$C$2:$C$28=$G10),0))</f>
        <v>1.4246121383254033</v>
      </c>
      <c r="AW10">
        <f t="array" ref="AW10">INDEX(Transcriptome!P$2:P$28,MATCH(1,(Transcriptome!$A$2:$A$28=$B10)*(Transcriptome!$C$2:$C$28=$G10),0))</f>
        <v>1.4316718554573129</v>
      </c>
      <c r="AX10">
        <f t="array" ref="AX10">INDEX(Transcriptome!Q$2:Q$28,MATCH(1,(Transcriptome!$A$2:$A$28=$B10)*(Transcriptome!$C$2:$C$28=$G10),0))</f>
        <v>0.75713152819582763</v>
      </c>
      <c r="AY10">
        <f t="array" ref="AY10">INDEX(Transcriptome!R$2:R$28,MATCH(1,(Transcriptome!$A$2:$A$28=$B10)*(Transcriptome!$C$2:$C$28=$G10),0))</f>
        <v>0.60703184309084135</v>
      </c>
      <c r="AZ10">
        <f t="array" ref="AZ10">INDEX(Transcriptome!S$2:S$28,MATCH(1,(Transcriptome!$A$2:$A$28=$B10)*(Transcriptome!$C$2:$C$28=$G10),0))</f>
        <v>0.46227503814383497</v>
      </c>
      <c r="BA10">
        <f t="array" ref="BA10">INDEX(Transcriptome!T$2:T$28,MATCH(1,(Transcriptome!$A$2:$A$28=$B10)*(Transcriptome!$C$2:$C$28=$G10),0))</f>
        <v>1.1887400615608046</v>
      </c>
      <c r="BB10">
        <f t="array" ref="BB10">INDEX(Transcriptome!U$2:U$28,MATCH(1,(Transcriptome!$A$2:$A$28=$B10)*(Transcriptome!$C$2:$C$28=$G10),0))</f>
        <v>3.2846004383966516</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1.151485022865421</v>
      </c>
      <c r="BF10">
        <f t="array" ref="BF10">INDEX(Transcriptome!Y$2:Y$28,MATCH(1,(Transcriptome!$A$2:$A$28=$B10)*(Transcriptome!$C$2:$C$28=$G10),0))</f>
        <v>0</v>
      </c>
      <c r="BG10">
        <f t="array" ref="BG10">INDEX(Transcriptome!Z$2:Z$28,MATCH(1,(Transcriptome!$A$2:$A$28=$B10)*(Transcriptome!$C$2:$C$28=$G10),0))</f>
        <v>1.522345115654818</v>
      </c>
      <c r="BH10">
        <f t="array" ref="BH10">INDEX(Transcriptome!AA$2:AA$28,MATCH(1,(Transcriptome!$A$2:$A$28=$B10)*(Transcriptome!$C$2:$C$28=$G10),0))</f>
        <v>1.0868611963156045</v>
      </c>
      <c r="BI10">
        <f t="array" ref="BI10">INDEX(Transcriptome!AB$2:AB$28,MATCH(1,(Transcriptome!$A$2:$A$28=$B10)*(Transcriptome!$C$2:$C$28=$G10),0))</f>
        <v>0.47108546246307648</v>
      </c>
      <c r="BJ10">
        <f t="array" ref="BJ10">INDEX(Transcriptome!AC$2:AC$28,MATCH(1,(Transcriptome!$A$2:$A$28=$B10)*(Transcriptome!$C$2:$C$28=$G10),0))</f>
        <v>1.0143119044332307</v>
      </c>
      <c r="BK10">
        <f t="array" ref="BK10">INDEX(Transcriptome!AD$2:AD$28,MATCH(1,(Transcriptome!$A$2:$A$28=$B10)*(Transcriptome!$C$2:$C$28=$G10),0))</f>
        <v>1.2812995285762343</v>
      </c>
      <c r="BL10">
        <f t="array" ref="BL10">INDEX(Transcriptome!AE$2:AE$28,MATCH(1,(Transcriptome!$A$2:$A$28=$B10)*(Transcriptome!$C$2:$C$28=$G10),0))</f>
        <v>1.4799321306043323</v>
      </c>
      <c r="BM10">
        <f t="array" ref="BM10">INDEX(Transcriptome!AF$2:AF$28,MATCH(1,(Transcriptome!$A$2:$A$28=$B10)*(Transcriptome!$C$2:$C$28=$G10),0))</f>
        <v>0.9086559090219839</v>
      </c>
      <c r="BN10">
        <f t="array" ref="BN10">INDEX(Transcriptome!AG$2:AG$28,MATCH(1,(Transcriptome!$A$2:$A$28=$B10)*(Transcriptome!$C$2:$C$28=$G10),0))</f>
        <v>0.58759307532968807</v>
      </c>
      <c r="BO10">
        <f t="array" ref="BO10">INDEX(Transcriptome!AH$2:AH$28,MATCH(1,(Transcriptome!$A$2:$A$28=$B10)*(Transcriptome!$C$2:$C$28=$G10),0))</f>
        <v>2.0587540778292777</v>
      </c>
      <c r="BP10">
        <f t="array" ref="BP10">INDEX(Transcriptome!AI$2:AI$28,MATCH(1,(Transcriptome!$A$2:$A$28=$B10)*(Transcriptome!$C$2:$C$28=$G10),0))</f>
        <v>0.8753236435968571</v>
      </c>
      <c r="BQ10">
        <f t="array" ref="BQ10">INDEX(Transcriptome!AJ$2:AJ$28,MATCH(1,(Transcriptome!$A$2:$A$28=$B10)*(Transcriptome!$C$2:$C$28=$G10),0))</f>
        <v>0.88559206312324201</v>
      </c>
      <c r="BR10">
        <f t="array" ref="BR10">INDEX(Transcriptome!AK$2:AK$28,MATCH(1,(Transcriptome!$A$2:$A$28=$B10)*(Transcriptome!$C$2:$C$28=$G10),0))</f>
        <v>0.88259806714277234</v>
      </c>
      <c r="BS10">
        <f t="array" ref="BS10">INDEX(Transcriptome!AL$2:AL$28,MATCH(1,(Transcriptome!$A$2:$A$28=$B10)*(Transcriptome!$C$2:$C$28=$G10),0))</f>
        <v>1</v>
      </c>
      <c r="BT10">
        <f t="array" ref="BT10">INDEX(Transcriptome!AM$2:AM$28,MATCH(1,(Transcriptome!$A$2:$A$28=$B10)*(Transcriptome!$C$2:$C$28=$G10),0))</f>
        <v>0.88904773156498651</v>
      </c>
      <c r="BU10">
        <f t="array" ref="BU10">INDEX(Transcriptome!AN$2:AN$28,MATCH(1,(Transcriptome!$A$2:$A$28=$B10)*(Transcriptome!$C$2:$C$28=$G10),0))</f>
        <v>1.0909544267130757</v>
      </c>
      <c r="BV10">
        <f t="array" ref="BV10">INDEX(Transcriptome!AO$2:AO$28,MATCH(1,(Transcriptome!$A$2:$A$28=$B10)*(Transcriptome!$C$2:$C$28=$G10),0))</f>
        <v>1.2426193929744529</v>
      </c>
      <c r="BW10">
        <f t="array" ref="BW10">INDEX(Transcriptome!AP$2:AP$28,MATCH(1,(Transcriptome!$A$2:$A$28=$B10)*(Transcriptome!$C$2:$C$28=$G10),0))</f>
        <v>1.1782369279727287</v>
      </c>
      <c r="BX10">
        <f t="array" ref="BX10">INDEX(Transcriptome!AQ$2:AQ$28,MATCH(1,(Transcriptome!$A$2:$A$28=$B10)*(Transcriptome!$C$2:$C$28=$G10),0))</f>
        <v>1.5361027527678581</v>
      </c>
      <c r="BY10">
        <f t="array" ref="BY10">INDEX(Transcriptome!AR$2:AR$28,MATCH(1,(Transcriptome!$A$2:$A$28=$B10)*(Transcriptome!$C$2:$C$28=$G10),0))</f>
        <v>0.79955992801394471</v>
      </c>
      <c r="BZ10">
        <f t="array" ref="BZ10">INDEX(Transcriptome!AS$2:AS$28,MATCH(1,(Transcriptome!$A$2:$A$28=$B10)*(Transcriptome!$C$2:$C$28=$G10),0))</f>
        <v>1.0637104985025529</v>
      </c>
      <c r="CA10">
        <f t="array" ref="CA10">INDEX(Transcriptome!AT$2:AT$28,MATCH(1,(Transcriptome!$A$2:$A$28=$B10)*(Transcriptome!$C$2:$C$28=$G10),0))</f>
        <v>0.85835356565229848</v>
      </c>
      <c r="CB10">
        <f t="array" ref="CB10">INDEX(Transcriptome!AU$2:AU$28,MATCH(1,(Transcriptome!$A$2:$A$28=$B10)*(Transcriptome!$C$2:$C$28=$G10),0))</f>
        <v>1.712850383210498</v>
      </c>
      <c r="CC10">
        <f t="array" ref="CC10">INDEX(Transcriptome!AV$2:AV$28,MATCH(1,(Transcriptome!$A$2:$A$28=$B10)*(Transcriptome!$C$2:$C$28=$G10),0))</f>
        <v>0.71198577137362051</v>
      </c>
      <c r="CD10">
        <f t="array" ref="CD10">INDEX(Transcriptome!AW$2:AW$28,MATCH(1,(Transcriptome!$A$2:$A$28=$B10)*(Transcriptome!$C$2:$C$28=$G10),0))</f>
        <v>0.80094474222558609</v>
      </c>
      <c r="CE10">
        <f t="array" ref="CE10">INDEX(Transcriptome!AX$2:AX$28,MATCH(1,(Transcriptome!$A$2:$A$28=$B10)*(Transcriptome!$C$2:$C$28=$G10),0))</f>
        <v>0.82590812135401737</v>
      </c>
      <c r="CF10">
        <f t="array" ref="CF10">INDEX(Transcriptome!AY$2:AY$28,MATCH(1,(Transcriptome!$A$2:$A$28=$B10)*(Transcriptome!$C$2:$C$28=$G10),0))</f>
        <v>1.0272241552810923</v>
      </c>
      <c r="CG10">
        <f t="array" ref="CG10">INDEX(Transcriptome!AZ$2:AZ$28,MATCH(1,(Transcriptome!$A$2:$A$28=$B10)*(Transcriptome!$C$2:$C$28=$G10),0))</f>
        <v>0.96959416736772075</v>
      </c>
      <c r="CH10">
        <f t="array" ref="CH10">INDEX(Transcriptome!BA$2:BA$28,MATCH(1,(Transcriptome!$A$2:$A$28=$B10)*(Transcriptome!$C$2:$C$28=$G10),0))</f>
        <v>1.974935690525407</v>
      </c>
      <c r="CI10">
        <f t="array" ref="CI10">INDEX(Transcriptome!BB$2:BB$28,MATCH(1,(Transcriptome!$A$2:$A$28=$B10)*(Transcriptome!$C$2:$C$28=$G10),0))</f>
        <v>2.1033973998458797</v>
      </c>
      <c r="CJ10">
        <f t="array" ref="CJ10">INDEX(Transcriptome!BC$2:BC$28,MATCH(1,(Transcriptome!$A$2:$A$28=$B10)*(Transcriptome!$C$2:$C$28=$G10),0))</f>
        <v>0</v>
      </c>
      <c r="CK10">
        <f t="array" ref="CK10">INDEX(Transcriptome!BD$2:BD$28,MATCH(1,(Transcriptome!$A$2:$A$28=$B10)*(Transcriptome!$C$2:$C$28=$G10),0))</f>
        <v>1.5996061925887715</v>
      </c>
      <c r="CL10">
        <f t="array" ref="CL10">INDEX(Transcriptome!BE$2:BE$28,MATCH(1,(Transcriptome!$A$2:$A$28=$B10)*(Transcriptome!$C$2:$C$28=$G10),0))</f>
        <v>1.4949993475149961</v>
      </c>
      <c r="CM10">
        <f t="array" ref="CM10">INDEX(Transcriptome!BF$2:BF$28,MATCH(1,(Transcriptome!$A$2:$A$28=$B10)*(Transcriptome!$C$2:$C$28=$G10),0))</f>
        <v>1.5497468202012199</v>
      </c>
      <c r="CN10">
        <f t="array" ref="CN10">INDEX(Transcriptome!BG$2:BG$28,MATCH(1,(Transcriptome!$A$2:$A$28=$B10)*(Transcriptome!$C$2:$C$28=$G10),0))</f>
        <v>2.4313166778774296</v>
      </c>
      <c r="CO10">
        <f t="array" ref="CO10">INDEX(Transcriptome!BH$2:BH$28,MATCH(1,(Transcriptome!$A$2:$A$28=$B10)*(Transcriptome!$C$2:$C$28=$G10),0))</f>
        <v>0.64707001056733671</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2.1724789275552308</v>
      </c>
      <c r="CS10">
        <f t="array" ref="CS10">INDEX(Transcriptome!BL$2:BL$28,MATCH(1,(Transcriptome!$A$2:$A$28=$B10)*(Transcriptome!$C$2:$C$28=$G10),0))</f>
        <v>1.7950064664524856</v>
      </c>
      <c r="CT10">
        <f t="array" ref="CT10">INDEX(Transcriptome!BM$2:BM$28,MATCH(1,(Transcriptome!$A$2:$A$28=$B10)*(Transcriptome!$C$2:$C$28=$G10),0))</f>
        <v>0.75235595411476763</v>
      </c>
      <c r="CU10">
        <f t="array" ref="CU10">INDEX(Transcriptome!BN$2:BN$28,MATCH(1,(Transcriptome!$A$2:$A$28=$B10)*(Transcriptome!$C$2:$C$28=$G10),0))</f>
        <v>30.841627330882794</v>
      </c>
      <c r="CV10">
        <f t="array" ref="CV10">INDEX(Transcriptome!BO$2:BO$28,MATCH(1,(Transcriptome!$A$2:$A$28=$B10)*(Transcriptome!$C$2:$C$28=$G10),0))</f>
        <v>1.9998119070900044</v>
      </c>
      <c r="CW10">
        <f t="array" ref="CW10">INDEX(Transcriptome!BP$2:BP$28,MATCH(1,(Transcriptome!$A$2:$A$28=$B10)*(Transcriptome!$C$2:$C$28=$G10),0))</f>
        <v>0.64707001056733671</v>
      </c>
      <c r="CX10">
        <f t="array" ref="CX10">INDEX(Transcriptome!BQ$2:BQ$28,MATCH(1,(Transcriptome!$A$2:$A$28=$B10)*(Transcriptome!$C$2:$C$28=$G10),0))</f>
        <v>1</v>
      </c>
      <c r="CY10">
        <f t="array" ref="CY10">INDEX(Transcriptome!BR$2:BR$28,MATCH(1,(Transcriptome!$A$2:$A$28=$B10)*(Transcriptome!$C$2:$C$28=$G10),0))</f>
        <v>1.4503728796128219</v>
      </c>
    </row>
    <row r="11" spans="1:103">
      <c r="A11">
        <f>'Measured Data'!A16</f>
        <v>9</v>
      </c>
      <c r="B11" t="s">
        <v>582</v>
      </c>
      <c r="C11" s="324" t="s">
        <v>586</v>
      </c>
      <c r="D11">
        <v>1</v>
      </c>
      <c r="E11">
        <f>'Measured Data'!H16</f>
        <v>14.453400476074219</v>
      </c>
      <c r="F11" s="477">
        <f>'Measured Data'!K16</f>
        <v>99.136497497558594</v>
      </c>
      <c r="G11" t="s">
        <v>511</v>
      </c>
      <c r="H11" s="321">
        <f>'Measured Data'!B16</f>
        <v>8.8812499999985448</v>
      </c>
      <c r="I11" s="322">
        <f>'Measured Data'!C16</f>
        <v>213.14999999996508</v>
      </c>
      <c r="J11">
        <f>'In Process Calc.'!B12</f>
        <v>8.8812499999985448</v>
      </c>
      <c r="K11">
        <f>'In Process Calc.'!C12</f>
        <v>213.14999999996508</v>
      </c>
      <c r="L11">
        <f>'Measured Data'!Z16</f>
        <v>10.87946002353516</v>
      </c>
      <c r="M11">
        <f>'Measured Data'!AF16</f>
        <v>7.7708703374777972</v>
      </c>
      <c r="N11">
        <f>'Measured Data'!AA16</f>
        <v>5.0679999999999996</v>
      </c>
      <c r="O11">
        <f>'Measured Data'!W16</f>
        <v>0.06</v>
      </c>
      <c r="P11">
        <f>'Measured Data'!X16</f>
        <v>3.1160000000000001</v>
      </c>
      <c r="Q11">
        <f>'Growth Regression'!P11</f>
        <v>4.9413486374640745E-3</v>
      </c>
      <c r="R11">
        <f>Q11/'Growth Regression'!$O$24</f>
        <v>0.18616239185242181</v>
      </c>
      <c r="S11">
        <f>'Post Process Calc.'!K12</f>
        <v>3.4031186971645651E-2</v>
      </c>
      <c r="T11">
        <f>'Post Process Calc.'!Q12</f>
        <v>-5.4346547775025603E-3</v>
      </c>
      <c r="U11">
        <f>'Post Process Calc.'!L12</f>
        <v>-1.9577392315362927E-3</v>
      </c>
      <c r="V11">
        <f>'Post Process Calc.'!H12</f>
        <v>3.7189671648012765E-3</v>
      </c>
      <c r="W11">
        <f>'Post Process Calc.'!I12</f>
        <v>2.6844958604214312E-4</v>
      </c>
      <c r="X11">
        <f>'Post Process Calc.'!AG12</f>
        <v>-0.15969630392353476</v>
      </c>
      <c r="Y11">
        <f t="shared" si="2"/>
        <v>21.269491857278531</v>
      </c>
      <c r="Z11">
        <f t="shared" si="2"/>
        <v>-3.3966592359390999</v>
      </c>
      <c r="AA11">
        <f t="shared" si="0"/>
        <v>-1.2235870197101828</v>
      </c>
      <c r="AB11">
        <f t="shared" si="0"/>
        <v>2.3243544780007976</v>
      </c>
      <c r="AC11">
        <f t="shared" si="0"/>
        <v>0.16778099127633944</v>
      </c>
      <c r="AD11">
        <v>100</v>
      </c>
      <c r="AE11">
        <v>0.32</v>
      </c>
      <c r="AF11">
        <v>7</v>
      </c>
      <c r="AG11">
        <v>0.7</v>
      </c>
      <c r="AH11">
        <f t="shared" si="1"/>
        <v>5.0118723362727164E-8</v>
      </c>
      <c r="AI11">
        <v>1</v>
      </c>
      <c r="AJ11">
        <v>0.311</v>
      </c>
      <c r="AK11">
        <f t="array" ref="AK11">INDEX(Transcriptome!D$2:D$28,MATCH(1,(Transcriptome!$A$2:$A$28=$B11)*(Transcriptome!$C$2:$C$28=$G11),0))</f>
        <v>0.79638815840343802</v>
      </c>
      <c r="AL11">
        <f t="array" ref="AL11">INDEX(Transcriptome!E$2:E$28,MATCH(1,(Transcriptome!$A$2:$A$28=$B11)*(Transcriptome!$C$2:$C$28=$G11),0))</f>
        <v>1.3861591991761282</v>
      </c>
      <c r="AM11">
        <f t="array" ref="AM11">INDEX(Transcriptome!F$2:F$28,MATCH(1,(Transcriptome!$A$2:$A$28=$B11)*(Transcriptome!$C$2:$C$28=$G11),0))</f>
        <v>1.2378335354860572</v>
      </c>
      <c r="AN11">
        <f t="array" ref="AN11">INDEX(Transcriptome!G$2:G$28,MATCH(1,(Transcriptome!$A$2:$A$28=$B11)*(Transcriptome!$C$2:$C$28=$G11),0))</f>
        <v>1.1146782068558136</v>
      </c>
      <c r="AO11">
        <f t="array" ref="AO11">INDEX(Transcriptome!H$2:H$28,MATCH(1,(Transcriptome!$A$2:$A$28=$B11)*(Transcriptome!$C$2:$C$28=$G11),0))</f>
        <v>0</v>
      </c>
      <c r="AP11">
        <f t="array" ref="AP11">INDEX(Transcriptome!I$2:I$28,MATCH(1,(Transcriptome!$A$2:$A$28=$B11)*(Transcriptome!$C$2:$C$28=$G11),0))</f>
        <v>1.5937672902652</v>
      </c>
      <c r="AQ11">
        <f t="array" ref="AQ11">INDEX(Transcriptome!J$2:J$28,MATCH(1,(Transcriptome!$A$2:$A$28=$B11)*(Transcriptome!$C$2:$C$28=$G11),0))</f>
        <v>1.1631873200393728</v>
      </c>
      <c r="AR11">
        <f t="array" ref="AR11">INDEX(Transcriptome!K$2:K$28,MATCH(1,(Transcriptome!$A$2:$A$28=$B11)*(Transcriptome!$C$2:$C$28=$G11),0))</f>
        <v>1.5177303868699665</v>
      </c>
      <c r="AS11">
        <f t="array" ref="AS11">INDEX(Transcriptome!L$2:L$28,MATCH(1,(Transcriptome!$A$2:$A$28=$B11)*(Transcriptome!$C$2:$C$28=$G11),0))</f>
        <v>0.94953778317608362</v>
      </c>
      <c r="AT11">
        <f t="array" ref="AT11">INDEX(Transcriptome!M$2:M$28,MATCH(1,(Transcriptome!$A$2:$A$28=$B11)*(Transcriptome!$C$2:$C$28=$G11),0))</f>
        <v>1.0504785782994102</v>
      </c>
      <c r="AU11">
        <f t="array" ref="AU11">INDEX(Transcriptome!N$2:N$28,MATCH(1,(Transcriptome!$A$2:$A$28=$B11)*(Transcriptome!$C$2:$C$28=$G11),0))</f>
        <v>1.1745786590814218</v>
      </c>
      <c r="AV11">
        <f t="array" ref="AV11">INDEX(Transcriptome!O$2:O$28,MATCH(1,(Transcriptome!$A$2:$A$28=$B11)*(Transcriptome!$C$2:$C$28=$G11),0))</f>
        <v>1.4246121383254033</v>
      </c>
      <c r="AW11">
        <f t="array" ref="AW11">INDEX(Transcriptome!P$2:P$28,MATCH(1,(Transcriptome!$A$2:$A$28=$B11)*(Transcriptome!$C$2:$C$28=$G11),0))</f>
        <v>1.4316718554573129</v>
      </c>
      <c r="AX11">
        <f t="array" ref="AX11">INDEX(Transcriptome!Q$2:Q$28,MATCH(1,(Transcriptome!$A$2:$A$28=$B11)*(Transcriptome!$C$2:$C$28=$G11),0))</f>
        <v>0.75713152819582763</v>
      </c>
      <c r="AY11">
        <f t="array" ref="AY11">INDEX(Transcriptome!R$2:R$28,MATCH(1,(Transcriptome!$A$2:$A$28=$B11)*(Transcriptome!$C$2:$C$28=$G11),0))</f>
        <v>0.60703184309084135</v>
      </c>
      <c r="AZ11">
        <f t="array" ref="AZ11">INDEX(Transcriptome!S$2:S$28,MATCH(1,(Transcriptome!$A$2:$A$28=$B11)*(Transcriptome!$C$2:$C$28=$G11),0))</f>
        <v>0.46227503814383497</v>
      </c>
      <c r="BA11">
        <f t="array" ref="BA11">INDEX(Transcriptome!T$2:T$28,MATCH(1,(Transcriptome!$A$2:$A$28=$B11)*(Transcriptome!$C$2:$C$28=$G11),0))</f>
        <v>1.1887400615608046</v>
      </c>
      <c r="BB11">
        <f t="array" ref="BB11">INDEX(Transcriptome!U$2:U$28,MATCH(1,(Transcriptome!$A$2:$A$28=$B11)*(Transcriptome!$C$2:$C$28=$G11),0))</f>
        <v>3.2846004383966516</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1.151485022865421</v>
      </c>
      <c r="BF11">
        <f t="array" ref="BF11">INDEX(Transcriptome!Y$2:Y$28,MATCH(1,(Transcriptome!$A$2:$A$28=$B11)*(Transcriptome!$C$2:$C$28=$G11),0))</f>
        <v>0</v>
      </c>
      <c r="BG11">
        <f t="array" ref="BG11">INDEX(Transcriptome!Z$2:Z$28,MATCH(1,(Transcriptome!$A$2:$A$28=$B11)*(Transcriptome!$C$2:$C$28=$G11),0))</f>
        <v>1.522345115654818</v>
      </c>
      <c r="BH11">
        <f t="array" ref="BH11">INDEX(Transcriptome!AA$2:AA$28,MATCH(1,(Transcriptome!$A$2:$A$28=$B11)*(Transcriptome!$C$2:$C$28=$G11),0))</f>
        <v>1.0868611963156045</v>
      </c>
      <c r="BI11">
        <f t="array" ref="BI11">INDEX(Transcriptome!AB$2:AB$28,MATCH(1,(Transcriptome!$A$2:$A$28=$B11)*(Transcriptome!$C$2:$C$28=$G11),0))</f>
        <v>0.47108546246307648</v>
      </c>
      <c r="BJ11">
        <f t="array" ref="BJ11">INDEX(Transcriptome!AC$2:AC$28,MATCH(1,(Transcriptome!$A$2:$A$28=$B11)*(Transcriptome!$C$2:$C$28=$G11),0))</f>
        <v>1.0143119044332307</v>
      </c>
      <c r="BK11">
        <f t="array" ref="BK11">INDEX(Transcriptome!AD$2:AD$28,MATCH(1,(Transcriptome!$A$2:$A$28=$B11)*(Transcriptome!$C$2:$C$28=$G11),0))</f>
        <v>1.2812995285762343</v>
      </c>
      <c r="BL11">
        <f t="array" ref="BL11">INDEX(Transcriptome!AE$2:AE$28,MATCH(1,(Transcriptome!$A$2:$A$28=$B11)*(Transcriptome!$C$2:$C$28=$G11),0))</f>
        <v>1.4799321306043323</v>
      </c>
      <c r="BM11">
        <f t="array" ref="BM11">INDEX(Transcriptome!AF$2:AF$28,MATCH(1,(Transcriptome!$A$2:$A$28=$B11)*(Transcriptome!$C$2:$C$28=$G11),0))</f>
        <v>0.9086559090219839</v>
      </c>
      <c r="BN11">
        <f t="array" ref="BN11">INDEX(Transcriptome!AG$2:AG$28,MATCH(1,(Transcriptome!$A$2:$A$28=$B11)*(Transcriptome!$C$2:$C$28=$G11),0))</f>
        <v>0.58759307532968807</v>
      </c>
      <c r="BO11">
        <f t="array" ref="BO11">INDEX(Transcriptome!AH$2:AH$28,MATCH(1,(Transcriptome!$A$2:$A$28=$B11)*(Transcriptome!$C$2:$C$28=$G11),0))</f>
        <v>2.0587540778292777</v>
      </c>
      <c r="BP11">
        <f t="array" ref="BP11">INDEX(Transcriptome!AI$2:AI$28,MATCH(1,(Transcriptome!$A$2:$A$28=$B11)*(Transcriptome!$C$2:$C$28=$G11),0))</f>
        <v>0.8753236435968571</v>
      </c>
      <c r="BQ11">
        <f t="array" ref="BQ11">INDEX(Transcriptome!AJ$2:AJ$28,MATCH(1,(Transcriptome!$A$2:$A$28=$B11)*(Transcriptome!$C$2:$C$28=$G11),0))</f>
        <v>0.88559206312324201</v>
      </c>
      <c r="BR11">
        <f t="array" ref="BR11">INDEX(Transcriptome!AK$2:AK$28,MATCH(1,(Transcriptome!$A$2:$A$28=$B11)*(Transcriptome!$C$2:$C$28=$G11),0))</f>
        <v>0.88259806714277234</v>
      </c>
      <c r="BS11">
        <f t="array" ref="BS11">INDEX(Transcriptome!AL$2:AL$28,MATCH(1,(Transcriptome!$A$2:$A$28=$B11)*(Transcriptome!$C$2:$C$28=$G11),0))</f>
        <v>1</v>
      </c>
      <c r="BT11">
        <f t="array" ref="BT11">INDEX(Transcriptome!AM$2:AM$28,MATCH(1,(Transcriptome!$A$2:$A$28=$B11)*(Transcriptome!$C$2:$C$28=$G11),0))</f>
        <v>0.88904773156498651</v>
      </c>
      <c r="BU11">
        <f t="array" ref="BU11">INDEX(Transcriptome!AN$2:AN$28,MATCH(1,(Transcriptome!$A$2:$A$28=$B11)*(Transcriptome!$C$2:$C$28=$G11),0))</f>
        <v>1.0909544267130757</v>
      </c>
      <c r="BV11">
        <f t="array" ref="BV11">INDEX(Transcriptome!AO$2:AO$28,MATCH(1,(Transcriptome!$A$2:$A$28=$B11)*(Transcriptome!$C$2:$C$28=$G11),0))</f>
        <v>1.2426193929744529</v>
      </c>
      <c r="BW11">
        <f t="array" ref="BW11">INDEX(Transcriptome!AP$2:AP$28,MATCH(1,(Transcriptome!$A$2:$A$28=$B11)*(Transcriptome!$C$2:$C$28=$G11),0))</f>
        <v>1.1782369279727287</v>
      </c>
      <c r="BX11">
        <f t="array" ref="BX11">INDEX(Transcriptome!AQ$2:AQ$28,MATCH(1,(Transcriptome!$A$2:$A$28=$B11)*(Transcriptome!$C$2:$C$28=$G11),0))</f>
        <v>1.5361027527678581</v>
      </c>
      <c r="BY11">
        <f t="array" ref="BY11">INDEX(Transcriptome!AR$2:AR$28,MATCH(1,(Transcriptome!$A$2:$A$28=$B11)*(Transcriptome!$C$2:$C$28=$G11),0))</f>
        <v>0.79955992801394471</v>
      </c>
      <c r="BZ11">
        <f t="array" ref="BZ11">INDEX(Transcriptome!AS$2:AS$28,MATCH(1,(Transcriptome!$A$2:$A$28=$B11)*(Transcriptome!$C$2:$C$28=$G11),0))</f>
        <v>1.0637104985025529</v>
      </c>
      <c r="CA11">
        <f t="array" ref="CA11">INDEX(Transcriptome!AT$2:AT$28,MATCH(1,(Transcriptome!$A$2:$A$28=$B11)*(Transcriptome!$C$2:$C$28=$G11),0))</f>
        <v>0.85835356565229848</v>
      </c>
      <c r="CB11">
        <f t="array" ref="CB11">INDEX(Transcriptome!AU$2:AU$28,MATCH(1,(Transcriptome!$A$2:$A$28=$B11)*(Transcriptome!$C$2:$C$28=$G11),0))</f>
        <v>1.712850383210498</v>
      </c>
      <c r="CC11">
        <f t="array" ref="CC11">INDEX(Transcriptome!AV$2:AV$28,MATCH(1,(Transcriptome!$A$2:$A$28=$B11)*(Transcriptome!$C$2:$C$28=$G11),0))</f>
        <v>0.71198577137362051</v>
      </c>
      <c r="CD11">
        <f t="array" ref="CD11">INDEX(Transcriptome!AW$2:AW$28,MATCH(1,(Transcriptome!$A$2:$A$28=$B11)*(Transcriptome!$C$2:$C$28=$G11),0))</f>
        <v>0.80094474222558609</v>
      </c>
      <c r="CE11">
        <f t="array" ref="CE11">INDEX(Transcriptome!AX$2:AX$28,MATCH(1,(Transcriptome!$A$2:$A$28=$B11)*(Transcriptome!$C$2:$C$28=$G11),0))</f>
        <v>0.82590812135401737</v>
      </c>
      <c r="CF11">
        <f t="array" ref="CF11">INDEX(Transcriptome!AY$2:AY$28,MATCH(1,(Transcriptome!$A$2:$A$28=$B11)*(Transcriptome!$C$2:$C$28=$G11),0))</f>
        <v>1.0272241552810923</v>
      </c>
      <c r="CG11">
        <f t="array" ref="CG11">INDEX(Transcriptome!AZ$2:AZ$28,MATCH(1,(Transcriptome!$A$2:$A$28=$B11)*(Transcriptome!$C$2:$C$28=$G11),0))</f>
        <v>0.96959416736772075</v>
      </c>
      <c r="CH11">
        <f t="array" ref="CH11">INDEX(Transcriptome!BA$2:BA$28,MATCH(1,(Transcriptome!$A$2:$A$28=$B11)*(Transcriptome!$C$2:$C$28=$G11),0))</f>
        <v>1.974935690525407</v>
      </c>
      <c r="CI11">
        <f t="array" ref="CI11">INDEX(Transcriptome!BB$2:BB$28,MATCH(1,(Transcriptome!$A$2:$A$28=$B11)*(Transcriptome!$C$2:$C$28=$G11),0))</f>
        <v>2.1033973998458797</v>
      </c>
      <c r="CJ11">
        <f t="array" ref="CJ11">INDEX(Transcriptome!BC$2:BC$28,MATCH(1,(Transcriptome!$A$2:$A$28=$B11)*(Transcriptome!$C$2:$C$28=$G11),0))</f>
        <v>0</v>
      </c>
      <c r="CK11">
        <f t="array" ref="CK11">INDEX(Transcriptome!BD$2:BD$28,MATCH(1,(Transcriptome!$A$2:$A$28=$B11)*(Transcriptome!$C$2:$C$28=$G11),0))</f>
        <v>1.5996061925887715</v>
      </c>
      <c r="CL11">
        <f t="array" ref="CL11">INDEX(Transcriptome!BE$2:BE$28,MATCH(1,(Transcriptome!$A$2:$A$28=$B11)*(Transcriptome!$C$2:$C$28=$G11),0))</f>
        <v>1.4949993475149961</v>
      </c>
      <c r="CM11">
        <f t="array" ref="CM11">INDEX(Transcriptome!BF$2:BF$28,MATCH(1,(Transcriptome!$A$2:$A$28=$B11)*(Transcriptome!$C$2:$C$28=$G11),0))</f>
        <v>1.5497468202012199</v>
      </c>
      <c r="CN11">
        <f t="array" ref="CN11">INDEX(Transcriptome!BG$2:BG$28,MATCH(1,(Transcriptome!$A$2:$A$28=$B11)*(Transcriptome!$C$2:$C$28=$G11),0))</f>
        <v>2.4313166778774296</v>
      </c>
      <c r="CO11">
        <f t="array" ref="CO11">INDEX(Transcriptome!BH$2:BH$28,MATCH(1,(Transcriptome!$A$2:$A$28=$B11)*(Transcriptome!$C$2:$C$28=$G11),0))</f>
        <v>0.64707001056733671</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2.1724789275552308</v>
      </c>
      <c r="CS11">
        <f t="array" ref="CS11">INDEX(Transcriptome!BL$2:BL$28,MATCH(1,(Transcriptome!$A$2:$A$28=$B11)*(Transcriptome!$C$2:$C$28=$G11),0))</f>
        <v>1.7950064664524856</v>
      </c>
      <c r="CT11">
        <f t="array" ref="CT11">INDEX(Transcriptome!BM$2:BM$28,MATCH(1,(Transcriptome!$A$2:$A$28=$B11)*(Transcriptome!$C$2:$C$28=$G11),0))</f>
        <v>0.75235595411476763</v>
      </c>
      <c r="CU11">
        <f t="array" ref="CU11">INDEX(Transcriptome!BN$2:BN$28,MATCH(1,(Transcriptome!$A$2:$A$28=$B11)*(Transcriptome!$C$2:$C$28=$G11),0))</f>
        <v>30.841627330882794</v>
      </c>
      <c r="CV11">
        <f t="array" ref="CV11">INDEX(Transcriptome!BO$2:BO$28,MATCH(1,(Transcriptome!$A$2:$A$28=$B11)*(Transcriptome!$C$2:$C$28=$G11),0))</f>
        <v>1.9998119070900044</v>
      </c>
      <c r="CW11">
        <f t="array" ref="CW11">INDEX(Transcriptome!BP$2:BP$28,MATCH(1,(Transcriptome!$A$2:$A$28=$B11)*(Transcriptome!$C$2:$C$28=$G11),0))</f>
        <v>0.64707001056733671</v>
      </c>
      <c r="CX11">
        <f t="array" ref="CX11">INDEX(Transcriptome!BQ$2:BQ$28,MATCH(1,(Transcriptome!$A$2:$A$28=$B11)*(Transcriptome!$C$2:$C$28=$G11),0))</f>
        <v>1</v>
      </c>
      <c r="CY11">
        <f t="array" ref="CY11">INDEX(Transcriptome!BR$2:BR$28,MATCH(1,(Transcriptome!$A$2:$A$28=$B11)*(Transcriptome!$C$2:$C$28=$G11),0))</f>
        <v>1.4503728796128219</v>
      </c>
    </row>
    <row r="12" spans="1:103">
      <c r="A12">
        <f>'Measured Data'!A17</f>
        <v>10</v>
      </c>
      <c r="B12" t="s">
        <v>582</v>
      </c>
      <c r="C12" s="324" t="s">
        <v>586</v>
      </c>
      <c r="D12">
        <v>1</v>
      </c>
      <c r="E12">
        <f>'Measured Data'!H17</f>
        <v>15.10840020904541</v>
      </c>
      <c r="F12" s="477">
        <f>'Measured Data'!K17</f>
        <v>98.040603637695312</v>
      </c>
      <c r="G12" t="s">
        <v>512</v>
      </c>
      <c r="H12" s="321">
        <f>'Measured Data'!B17</f>
        <v>9.9277777777824667</v>
      </c>
      <c r="I12" s="322">
        <f>'Measured Data'!C17</f>
        <v>238.2666666667792</v>
      </c>
      <c r="J12">
        <f>'In Process Calc.'!B13</f>
        <v>9.9277777777824667</v>
      </c>
      <c r="K12">
        <f>'In Process Calc.'!C13</f>
        <v>238.2666666667792</v>
      </c>
      <c r="L12">
        <f>'Measured Data'!Z17</f>
        <v>5.6617598081662557</v>
      </c>
      <c r="M12">
        <f>'Measured Data'!AF17</f>
        <v>3.4413854351687392</v>
      </c>
      <c r="N12">
        <f>'Measured Data'!AA17</f>
        <v>5.8840000000000003</v>
      </c>
      <c r="O12">
        <f>'Measured Data'!W17</f>
        <v>7.1999999999999995E-2</v>
      </c>
      <c r="P12">
        <f>'Measured Data'!X17</f>
        <v>2.4220000000000002</v>
      </c>
      <c r="Q12">
        <f>'Growth Regression'!P12</f>
        <v>2.7896448655290607E-3</v>
      </c>
      <c r="R12">
        <f>Q12/'Growth Regression'!$O$24</f>
        <v>0.10509822291192124</v>
      </c>
      <c r="S12">
        <f>'Post Process Calc.'!K13</f>
        <v>3.6115258863786089E-2</v>
      </c>
      <c r="T12">
        <f>'Post Process Calc.'!Q13</f>
        <v>-6.8355867380543592E-3</v>
      </c>
      <c r="U12">
        <f>'Post Process Calc.'!L13</f>
        <v>6.935851052849209E-4</v>
      </c>
      <c r="V12">
        <f>'Post Process Calc.'!H13</f>
        <v>3.3720608448230905E-3</v>
      </c>
      <c r="W12">
        <f>'Post Process Calc.'!I13</f>
        <v>8.1739620857980725E-4</v>
      </c>
      <c r="X12">
        <f>'Post Process Calc.'!AG13</f>
        <v>-0.1892714313314425</v>
      </c>
      <c r="Y12">
        <f t="shared" si="2"/>
        <v>22.572036789866303</v>
      </c>
      <c r="Z12">
        <f t="shared" si="2"/>
        <v>-4.2722417112839741</v>
      </c>
      <c r="AA12">
        <f t="shared" si="0"/>
        <v>0.43349069080307556</v>
      </c>
      <c r="AB12">
        <f t="shared" si="0"/>
        <v>2.1075380280144316</v>
      </c>
      <c r="AC12">
        <f t="shared" si="0"/>
        <v>0.51087263036237951</v>
      </c>
      <c r="AD12">
        <v>100</v>
      </c>
      <c r="AE12">
        <v>0.32</v>
      </c>
      <c r="AF12">
        <v>7</v>
      </c>
      <c r="AG12">
        <v>0.7</v>
      </c>
      <c r="AH12">
        <f t="shared" si="1"/>
        <v>5.0118723362727164E-8</v>
      </c>
      <c r="AI12">
        <v>1</v>
      </c>
      <c r="AJ12">
        <v>0.311</v>
      </c>
      <c r="AK12">
        <f t="array" ref="AK12">INDEX(Transcriptome!D$2:D$28,MATCH(1,(Transcriptome!$A$2:$A$28=$B12)*(Transcriptome!$C$2:$C$28=$G12),0))</f>
        <v>0.79911115968947066</v>
      </c>
      <c r="AL12">
        <f t="array" ref="AL12">INDEX(Transcriptome!E$2:E$28,MATCH(1,(Transcriptome!$A$2:$A$28=$B12)*(Transcriptome!$C$2:$C$28=$G12),0))</f>
        <v>1.395845883804042</v>
      </c>
      <c r="AM12">
        <f t="array" ref="AM12">INDEX(Transcriptome!F$2:F$28,MATCH(1,(Transcriptome!$A$2:$A$28=$B12)*(Transcriptome!$C$2:$C$28=$G12),0))</f>
        <v>1.2386820755987473</v>
      </c>
      <c r="AN12">
        <f t="array" ref="AN12">INDEX(Transcriptome!G$2:G$28,MATCH(1,(Transcriptome!$A$2:$A$28=$B12)*(Transcriptome!$C$2:$C$28=$G12),0))</f>
        <v>0.41313915958702108</v>
      </c>
      <c r="AO12">
        <f t="array" ref="AO12">INDEX(Transcriptome!H$2:H$28,MATCH(1,(Transcriptome!$A$2:$A$28=$B12)*(Transcriptome!$C$2:$C$28=$G12),0))</f>
        <v>0</v>
      </c>
      <c r="AP12">
        <f t="array" ref="AP12">INDEX(Transcriptome!I$2:I$28,MATCH(1,(Transcriptome!$A$2:$A$28=$B12)*(Transcriptome!$C$2:$C$28=$G12),0))</f>
        <v>1.6373902208828588</v>
      </c>
      <c r="AQ12">
        <f t="array" ref="AQ12">INDEX(Transcriptome!J$2:J$28,MATCH(1,(Transcriptome!$A$2:$A$28=$B12)*(Transcriptome!$C$2:$C$28=$G12),0))</f>
        <v>1.0934992172910949</v>
      </c>
      <c r="AR12">
        <f t="array" ref="AR12">INDEX(Transcriptome!K$2:K$28,MATCH(1,(Transcriptome!$A$2:$A$28=$B12)*(Transcriptome!$C$2:$C$28=$G12),0))</f>
        <v>1.4036482118242957</v>
      </c>
      <c r="AS12">
        <f t="array" ref="AS12">INDEX(Transcriptome!L$2:L$28,MATCH(1,(Transcriptome!$A$2:$A$28=$B12)*(Transcriptome!$C$2:$C$28=$G12),0))</f>
        <v>0.94961435084723056</v>
      </c>
      <c r="AT12">
        <f t="array" ref="AT12">INDEX(Transcriptome!M$2:M$28,MATCH(1,(Transcriptome!$A$2:$A$28=$B12)*(Transcriptome!$C$2:$C$28=$G12),0))</f>
        <v>1.0343862396420227</v>
      </c>
      <c r="AU12">
        <f t="array" ref="AU12">INDEX(Transcriptome!N$2:N$28,MATCH(1,(Transcriptome!$A$2:$A$28=$B12)*(Transcriptome!$C$2:$C$28=$G12),0))</f>
        <v>1.1417637658643289</v>
      </c>
      <c r="AV12">
        <f t="array" ref="AV12">INDEX(Transcriptome!O$2:O$28,MATCH(1,(Transcriptome!$A$2:$A$28=$B12)*(Transcriptome!$C$2:$C$28=$G12),0))</f>
        <v>1.3965472309808804</v>
      </c>
      <c r="AW12">
        <f t="array" ref="AW12">INDEX(Transcriptome!P$2:P$28,MATCH(1,(Transcriptome!$A$2:$A$28=$B12)*(Transcriptome!$C$2:$C$28=$G12),0))</f>
        <v>1.3919262992893948</v>
      </c>
      <c r="AX12">
        <f t="array" ref="AX12">INDEX(Transcriptome!Q$2:Q$28,MATCH(1,(Transcriptome!$A$2:$A$28=$B12)*(Transcriptome!$C$2:$C$28=$G12),0))</f>
        <v>0.73359669576377562</v>
      </c>
      <c r="AY12">
        <f t="array" ref="AY12">INDEX(Transcriptome!R$2:R$28,MATCH(1,(Transcriptome!$A$2:$A$28=$B12)*(Transcriptome!$C$2:$C$28=$G12),0))</f>
        <v>0.59836270430598559</v>
      </c>
      <c r="AZ12">
        <f t="array" ref="AZ12">INDEX(Transcriptome!S$2:S$28,MATCH(1,(Transcriptome!$A$2:$A$28=$B12)*(Transcriptome!$C$2:$C$28=$G12),0))</f>
        <v>0.44894986261624537</v>
      </c>
      <c r="BA12">
        <f t="array" ref="BA12">INDEX(Transcriptome!T$2:T$28,MATCH(1,(Transcriptome!$A$2:$A$28=$B12)*(Transcriptome!$C$2:$C$28=$G12),0))</f>
        <v>1.1873267962928766</v>
      </c>
      <c r="BB12">
        <f t="array" ref="BB12">INDEX(Transcriptome!U$2:U$28,MATCH(1,(Transcriptome!$A$2:$A$28=$B12)*(Transcriptome!$C$2:$C$28=$G12),0))</f>
        <v>2.9346206754839992</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1.1338718139260324</v>
      </c>
      <c r="BF12">
        <f t="array" ref="BF12">INDEX(Transcriptome!Y$2:Y$28,MATCH(1,(Transcriptome!$A$2:$A$28=$B12)*(Transcriptome!$C$2:$C$28=$G12),0))</f>
        <v>0</v>
      </c>
      <c r="BG12">
        <f t="array" ref="BG12">INDEX(Transcriptome!Z$2:Z$28,MATCH(1,(Transcriptome!$A$2:$A$28=$B12)*(Transcriptome!$C$2:$C$28=$G12),0))</f>
        <v>1.5384366899444268</v>
      </c>
      <c r="BH12">
        <f t="array" ref="BH12">INDEX(Transcriptome!AA$2:AA$28,MATCH(1,(Transcriptome!$A$2:$A$28=$B12)*(Transcriptome!$C$2:$C$28=$G12),0))</f>
        <v>1.0764313688936573</v>
      </c>
      <c r="BI12">
        <f t="array" ref="BI12">INDEX(Transcriptome!AB$2:AB$28,MATCH(1,(Transcriptome!$A$2:$A$28=$B12)*(Transcriptome!$C$2:$C$28=$G12),0))</f>
        <v>0.47159130437877711</v>
      </c>
      <c r="BJ12">
        <f t="array" ref="BJ12">INDEX(Transcriptome!AC$2:AC$28,MATCH(1,(Transcriptome!$A$2:$A$28=$B12)*(Transcriptome!$C$2:$C$28=$G12),0))</f>
        <v>1.0571838358251406</v>
      </c>
      <c r="BK12">
        <f t="array" ref="BK12">INDEX(Transcriptome!AD$2:AD$28,MATCH(1,(Transcriptome!$A$2:$A$28=$B12)*(Transcriptome!$C$2:$C$28=$G12),0))</f>
        <v>1.2979820354545486</v>
      </c>
      <c r="BL12">
        <f t="array" ref="BL12">INDEX(Transcriptome!AE$2:AE$28,MATCH(1,(Transcriptome!$A$2:$A$28=$B12)*(Transcriptome!$C$2:$C$28=$G12),0))</f>
        <v>1.502511326716075</v>
      </c>
      <c r="BM12">
        <f t="array" ref="BM12">INDEX(Transcriptome!AF$2:AF$28,MATCH(1,(Transcriptome!$A$2:$A$28=$B12)*(Transcriptome!$C$2:$C$28=$G12),0))</f>
        <v>0.92275337933209434</v>
      </c>
      <c r="BN12">
        <f t="array" ref="BN12">INDEX(Transcriptome!AG$2:AG$28,MATCH(1,(Transcriptome!$A$2:$A$28=$B12)*(Transcriptome!$C$2:$C$28=$G12),0))</f>
        <v>0.57492789139254974</v>
      </c>
      <c r="BO12">
        <f t="array" ref="BO12">INDEX(Transcriptome!AH$2:AH$28,MATCH(1,(Transcriptome!$A$2:$A$28=$B12)*(Transcriptome!$C$2:$C$28=$G12),0))</f>
        <v>2.1154284091716771</v>
      </c>
      <c r="BP12">
        <f t="array" ref="BP12">INDEX(Transcriptome!AI$2:AI$28,MATCH(1,(Transcriptome!$A$2:$A$28=$B12)*(Transcriptome!$C$2:$C$28=$G12),0))</f>
        <v>0.85597038518299884</v>
      </c>
      <c r="BQ12">
        <f t="array" ref="BQ12">INDEX(Transcriptome!AJ$2:AJ$28,MATCH(1,(Transcriptome!$A$2:$A$28=$B12)*(Transcriptome!$C$2:$C$28=$G12),0))</f>
        <v>0.9270169484475107</v>
      </c>
      <c r="BR12">
        <f t="array" ref="BR12">INDEX(Transcriptome!AK$2:AK$28,MATCH(1,(Transcriptome!$A$2:$A$28=$B12)*(Transcriptome!$C$2:$C$28=$G12),0))</f>
        <v>0.91392647570710206</v>
      </c>
      <c r="BS12">
        <f t="array" ref="BS12">INDEX(Transcriptome!AL$2:AL$28,MATCH(1,(Transcriptome!$A$2:$A$28=$B12)*(Transcriptome!$C$2:$C$28=$G12),0))</f>
        <v>1</v>
      </c>
      <c r="BT12">
        <f t="array" ref="BT12">INDEX(Transcriptome!AM$2:AM$28,MATCH(1,(Transcriptome!$A$2:$A$28=$B12)*(Transcriptome!$C$2:$C$28=$G12),0))</f>
        <v>0.87506702113635604</v>
      </c>
      <c r="BU12">
        <f t="array" ref="BU12">INDEX(Transcriptome!AN$2:AN$28,MATCH(1,(Transcriptome!$A$2:$A$28=$B12)*(Transcriptome!$C$2:$C$28=$G12),0))</f>
        <v>1.0812931656942111</v>
      </c>
      <c r="BV12">
        <f t="array" ref="BV12">INDEX(Transcriptome!AO$2:AO$28,MATCH(1,(Transcriptome!$A$2:$A$28=$B12)*(Transcriptome!$C$2:$C$28=$G12),0))</f>
        <v>1.2412757853546588</v>
      </c>
      <c r="BW12">
        <f t="array" ref="BW12">INDEX(Transcriptome!AP$2:AP$28,MATCH(1,(Transcriptome!$A$2:$A$28=$B12)*(Transcriptome!$C$2:$C$28=$G12),0))</f>
        <v>1.1463769840236129</v>
      </c>
      <c r="BX12">
        <f t="array" ref="BX12">INDEX(Transcriptome!AQ$2:AQ$28,MATCH(1,(Transcriptome!$A$2:$A$28=$B12)*(Transcriptome!$C$2:$C$28=$G12),0))</f>
        <v>1.5376111207797365</v>
      </c>
      <c r="BY12">
        <f t="array" ref="BY12">INDEX(Transcriptome!AR$2:AR$28,MATCH(1,(Transcriptome!$A$2:$A$28=$B12)*(Transcriptome!$C$2:$C$28=$G12),0))</f>
        <v>0.78312832126036092</v>
      </c>
      <c r="BZ12">
        <f t="array" ref="BZ12">INDEX(Transcriptome!AS$2:AS$28,MATCH(1,(Transcriptome!$A$2:$A$28=$B12)*(Transcriptome!$C$2:$C$28=$G12),0))</f>
        <v>1.0554455360573771</v>
      </c>
      <c r="CA12">
        <f t="array" ref="CA12">INDEX(Transcriptome!AT$2:AT$28,MATCH(1,(Transcriptome!$A$2:$A$28=$B12)*(Transcriptome!$C$2:$C$28=$G12),0))</f>
        <v>0.8368102605762836</v>
      </c>
      <c r="CB12">
        <f t="array" ref="CB12">INDEX(Transcriptome!AU$2:AU$28,MATCH(1,(Transcriptome!$A$2:$A$28=$B12)*(Transcriptome!$C$2:$C$28=$G12),0))</f>
        <v>1.7524949277791828</v>
      </c>
      <c r="CC12">
        <f t="array" ref="CC12">INDEX(Transcriptome!AV$2:AV$28,MATCH(1,(Transcriptome!$A$2:$A$28=$B12)*(Transcriptome!$C$2:$C$28=$G12),0))</f>
        <v>0.67651836917863639</v>
      </c>
      <c r="CD12">
        <f t="array" ref="CD12">INDEX(Transcriptome!AW$2:AW$28,MATCH(1,(Transcriptome!$A$2:$A$28=$B12)*(Transcriptome!$C$2:$C$28=$G12),0))</f>
        <v>0.79957736892979914</v>
      </c>
      <c r="CE12">
        <f t="array" ref="CE12">INDEX(Transcriptome!AX$2:AX$28,MATCH(1,(Transcriptome!$A$2:$A$28=$B12)*(Transcriptome!$C$2:$C$28=$G12),0))</f>
        <v>0.84066476768291531</v>
      </c>
      <c r="CF12">
        <f t="array" ref="CF12">INDEX(Transcriptome!AY$2:AY$28,MATCH(1,(Transcriptome!$A$2:$A$28=$B12)*(Transcriptome!$C$2:$C$28=$G12),0))</f>
        <v>0.99862338389680116</v>
      </c>
      <c r="CG12">
        <f t="array" ref="CG12">INDEX(Transcriptome!AZ$2:AZ$28,MATCH(1,(Transcriptome!$A$2:$A$28=$B12)*(Transcriptome!$C$2:$C$28=$G12),0))</f>
        <v>0.95974063131380538</v>
      </c>
      <c r="CH12">
        <f t="array" ref="CH12">INDEX(Transcriptome!BA$2:BA$28,MATCH(1,(Transcriptome!$A$2:$A$28=$B12)*(Transcriptome!$C$2:$C$28=$G12),0))</f>
        <v>1.9813944974991031</v>
      </c>
      <c r="CI12">
        <f t="array" ref="CI12">INDEX(Transcriptome!BB$2:BB$28,MATCH(1,(Transcriptome!$A$2:$A$28=$B12)*(Transcriptome!$C$2:$C$28=$G12),0))</f>
        <v>2.1376571317272437</v>
      </c>
      <c r="CJ12">
        <f t="array" ref="CJ12">INDEX(Transcriptome!BC$2:BC$28,MATCH(1,(Transcriptome!$A$2:$A$28=$B12)*(Transcriptome!$C$2:$C$28=$G12),0))</f>
        <v>0</v>
      </c>
      <c r="CK12">
        <f t="array" ref="CK12">INDEX(Transcriptome!BD$2:BD$28,MATCH(1,(Transcriptome!$A$2:$A$28=$B12)*(Transcriptome!$C$2:$C$28=$G12),0))</f>
        <v>1.5663129663080484</v>
      </c>
      <c r="CL12">
        <f t="array" ref="CL12">INDEX(Transcriptome!BE$2:BE$28,MATCH(1,(Transcriptome!$A$2:$A$28=$B12)*(Transcriptome!$C$2:$C$28=$G12),0))</f>
        <v>1.4453935097704496</v>
      </c>
      <c r="CM12">
        <f t="array" ref="CM12">INDEX(Transcriptome!BF$2:BF$28,MATCH(1,(Transcriptome!$A$2:$A$28=$B12)*(Transcriptome!$C$2:$C$28=$G12),0))</f>
        <v>1.6277485452435247</v>
      </c>
      <c r="CN12">
        <f t="array" ref="CN12">INDEX(Transcriptome!BG$2:BG$28,MATCH(1,(Transcriptome!$A$2:$A$28=$B12)*(Transcriptome!$C$2:$C$28=$G12),0))</f>
        <v>2.3611743621600545</v>
      </c>
      <c r="CO12">
        <f t="array" ref="CO12">INDEX(Transcriptome!BH$2:BH$28,MATCH(1,(Transcriptome!$A$2:$A$28=$B12)*(Transcriptome!$C$2:$C$28=$G12),0))</f>
        <v>0.66157773370407957</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2.2177081080211609</v>
      </c>
      <c r="CS12">
        <f t="array" ref="CS12">INDEX(Transcriptome!BL$2:BL$28,MATCH(1,(Transcriptome!$A$2:$A$28=$B12)*(Transcriptome!$C$2:$C$28=$G12),0))</f>
        <v>1.8689744295700941</v>
      </c>
      <c r="CT12">
        <f t="array" ref="CT12">INDEX(Transcriptome!BM$2:BM$28,MATCH(1,(Transcriptome!$A$2:$A$28=$B12)*(Transcriptome!$C$2:$C$28=$G12),0))</f>
        <v>0.71999310841955522</v>
      </c>
      <c r="CU12">
        <f t="array" ref="CU12">INDEX(Transcriptome!BN$2:BN$28,MATCH(1,(Transcriptome!$A$2:$A$28=$B12)*(Transcriptome!$C$2:$C$28=$G12),0))</f>
        <v>31.051492934824005</v>
      </c>
      <c r="CV12">
        <f t="array" ref="CV12">INDEX(Transcriptome!BO$2:BO$28,MATCH(1,(Transcriptome!$A$2:$A$28=$B12)*(Transcriptome!$C$2:$C$28=$G12),0))</f>
        <v>1.7199426312342987</v>
      </c>
      <c r="CW12">
        <f t="array" ref="CW12">INDEX(Transcriptome!BP$2:BP$28,MATCH(1,(Transcriptome!$A$2:$A$28=$B12)*(Transcriptome!$C$2:$C$28=$G12),0))</f>
        <v>0.66157773370407957</v>
      </c>
      <c r="CX12">
        <f t="array" ref="CX12">INDEX(Transcriptome!BQ$2:BQ$28,MATCH(1,(Transcriptome!$A$2:$A$28=$B12)*(Transcriptome!$C$2:$C$28=$G12),0))</f>
        <v>1</v>
      </c>
      <c r="CY12">
        <f t="array" ref="CY12">INDEX(Transcriptome!BR$2:BR$28,MATCH(1,(Transcriptome!$A$2:$A$28=$B12)*(Transcriptome!$C$2:$C$28=$G12),0))</f>
        <v>1.3004604300657727</v>
      </c>
    </row>
    <row r="13" spans="1:103">
      <c r="A13">
        <f>'Measured Data'!A18</f>
        <v>11</v>
      </c>
      <c r="B13" t="s">
        <v>582</v>
      </c>
      <c r="C13" s="324" t="s">
        <v>586</v>
      </c>
      <c r="D13">
        <v>1</v>
      </c>
      <c r="E13">
        <f>'Measured Data'!H18</f>
        <v>15.682599885559082</v>
      </c>
      <c r="F13" s="477">
        <f>'Measured Data'!K18</f>
        <v>98.085899353027344</v>
      </c>
      <c r="G13" t="s">
        <v>512</v>
      </c>
      <c r="H13" s="321">
        <f>'Measured Data'!B18</f>
        <v>10.913194444445253</v>
      </c>
      <c r="I13" s="322">
        <f>'Measured Data'!C18</f>
        <v>261.91666666668607</v>
      </c>
      <c r="J13">
        <f>'In Process Calc.'!B14</f>
        <v>10.913194444445253</v>
      </c>
      <c r="K13">
        <f>'In Process Calc.'!C14</f>
        <v>261.91666666668607</v>
      </c>
      <c r="L13">
        <f>'Measured Data'!Z18</f>
        <v>6.605386442860631</v>
      </c>
      <c r="M13">
        <f>'Measured Data'!AF18</f>
        <v>3.2193605683836588</v>
      </c>
      <c r="N13">
        <f>'Measured Data'!AA18</f>
        <v>4.4249999999999998</v>
      </c>
      <c r="O13">
        <f>'Measured Data'!W18</f>
        <v>7.6999999999999999E-2</v>
      </c>
      <c r="P13">
        <f>'Measured Data'!X18</f>
        <v>2.5569999999999999</v>
      </c>
      <c r="Q13">
        <f>'Growth Regression'!P13</f>
        <v>1.5658140435642546E-3</v>
      </c>
      <c r="R13">
        <f>Q13/'Growth Regression'!$O$24</f>
        <v>5.8991119415453944E-2</v>
      </c>
      <c r="S13">
        <f>'Post Process Calc.'!K14</f>
        <v>3.7909932102069825E-2</v>
      </c>
      <c r="T13">
        <f>'Post Process Calc.'!Q14</f>
        <v>-6.1209030930378036E-3</v>
      </c>
      <c r="U13">
        <f>'Post Process Calc.'!L14</f>
        <v>3.3639362758156456E-3</v>
      </c>
      <c r="V13">
        <f>'Post Process Calc.'!H14</f>
        <v>2.2929165592122111E-3</v>
      </c>
      <c r="W13">
        <f>'Post Process Calc.'!I14</f>
        <v>1.0835911789715722E-3</v>
      </c>
      <c r="X13">
        <f>'Post Process Calc.'!AG14</f>
        <v>-0.16145908878332207</v>
      </c>
      <c r="Y13">
        <f t="shared" si="2"/>
        <v>23.693707563793641</v>
      </c>
      <c r="Z13">
        <f t="shared" si="2"/>
        <v>-3.8255644331486272</v>
      </c>
      <c r="AA13">
        <f t="shared" si="0"/>
        <v>2.1024601723847782</v>
      </c>
      <c r="AB13">
        <f t="shared" si="0"/>
        <v>1.4330728495076319</v>
      </c>
      <c r="AC13">
        <f t="shared" si="0"/>
        <v>0.6772444868572326</v>
      </c>
      <c r="AD13">
        <v>100</v>
      </c>
      <c r="AE13">
        <v>0.32</v>
      </c>
      <c r="AF13">
        <v>7</v>
      </c>
      <c r="AG13">
        <v>0.7</v>
      </c>
      <c r="AH13">
        <f t="shared" si="1"/>
        <v>5.0118723362727164E-8</v>
      </c>
      <c r="AI13">
        <v>1</v>
      </c>
      <c r="AJ13">
        <v>0.311</v>
      </c>
      <c r="AK13">
        <f t="array" ref="AK13">INDEX(Transcriptome!D$2:D$28,MATCH(1,(Transcriptome!$A$2:$A$28=$B13)*(Transcriptome!$C$2:$C$28=$G13),0))</f>
        <v>0.79911115968947066</v>
      </c>
      <c r="AL13">
        <f t="array" ref="AL13">INDEX(Transcriptome!E$2:E$28,MATCH(1,(Transcriptome!$A$2:$A$28=$B13)*(Transcriptome!$C$2:$C$28=$G13),0))</f>
        <v>1.395845883804042</v>
      </c>
      <c r="AM13">
        <f t="array" ref="AM13">INDEX(Transcriptome!F$2:F$28,MATCH(1,(Transcriptome!$A$2:$A$28=$B13)*(Transcriptome!$C$2:$C$28=$G13),0))</f>
        <v>1.2386820755987473</v>
      </c>
      <c r="AN13">
        <f t="array" ref="AN13">INDEX(Transcriptome!G$2:G$28,MATCH(1,(Transcriptome!$A$2:$A$28=$B13)*(Transcriptome!$C$2:$C$28=$G13),0))</f>
        <v>0.41313915958702108</v>
      </c>
      <c r="AO13">
        <f t="array" ref="AO13">INDEX(Transcriptome!H$2:H$28,MATCH(1,(Transcriptome!$A$2:$A$28=$B13)*(Transcriptome!$C$2:$C$28=$G13),0))</f>
        <v>0</v>
      </c>
      <c r="AP13">
        <f t="array" ref="AP13">INDEX(Transcriptome!I$2:I$28,MATCH(1,(Transcriptome!$A$2:$A$28=$B13)*(Transcriptome!$C$2:$C$28=$G13),0))</f>
        <v>1.6373902208828588</v>
      </c>
      <c r="AQ13">
        <f t="array" ref="AQ13">INDEX(Transcriptome!J$2:J$28,MATCH(1,(Transcriptome!$A$2:$A$28=$B13)*(Transcriptome!$C$2:$C$28=$G13),0))</f>
        <v>1.0934992172910949</v>
      </c>
      <c r="AR13">
        <f t="array" ref="AR13">INDEX(Transcriptome!K$2:K$28,MATCH(1,(Transcriptome!$A$2:$A$28=$B13)*(Transcriptome!$C$2:$C$28=$G13),0))</f>
        <v>1.4036482118242957</v>
      </c>
      <c r="AS13">
        <f t="array" ref="AS13">INDEX(Transcriptome!L$2:L$28,MATCH(1,(Transcriptome!$A$2:$A$28=$B13)*(Transcriptome!$C$2:$C$28=$G13),0))</f>
        <v>0.94961435084723056</v>
      </c>
      <c r="AT13">
        <f t="array" ref="AT13">INDEX(Transcriptome!M$2:M$28,MATCH(1,(Transcriptome!$A$2:$A$28=$B13)*(Transcriptome!$C$2:$C$28=$G13),0))</f>
        <v>1.0343862396420227</v>
      </c>
      <c r="AU13">
        <f t="array" ref="AU13">INDEX(Transcriptome!N$2:N$28,MATCH(1,(Transcriptome!$A$2:$A$28=$B13)*(Transcriptome!$C$2:$C$28=$G13),0))</f>
        <v>1.1417637658643289</v>
      </c>
      <c r="AV13">
        <f t="array" ref="AV13">INDEX(Transcriptome!O$2:O$28,MATCH(1,(Transcriptome!$A$2:$A$28=$B13)*(Transcriptome!$C$2:$C$28=$G13),0))</f>
        <v>1.3965472309808804</v>
      </c>
      <c r="AW13">
        <f t="array" ref="AW13">INDEX(Transcriptome!P$2:P$28,MATCH(1,(Transcriptome!$A$2:$A$28=$B13)*(Transcriptome!$C$2:$C$28=$G13),0))</f>
        <v>1.3919262992893948</v>
      </c>
      <c r="AX13">
        <f t="array" ref="AX13">INDEX(Transcriptome!Q$2:Q$28,MATCH(1,(Transcriptome!$A$2:$A$28=$B13)*(Transcriptome!$C$2:$C$28=$G13),0))</f>
        <v>0.73359669576377562</v>
      </c>
      <c r="AY13">
        <f t="array" ref="AY13">INDEX(Transcriptome!R$2:R$28,MATCH(1,(Transcriptome!$A$2:$A$28=$B13)*(Transcriptome!$C$2:$C$28=$G13),0))</f>
        <v>0.59836270430598559</v>
      </c>
      <c r="AZ13">
        <f t="array" ref="AZ13">INDEX(Transcriptome!S$2:S$28,MATCH(1,(Transcriptome!$A$2:$A$28=$B13)*(Transcriptome!$C$2:$C$28=$G13),0))</f>
        <v>0.44894986261624537</v>
      </c>
      <c r="BA13">
        <f t="array" ref="BA13">INDEX(Transcriptome!T$2:T$28,MATCH(1,(Transcriptome!$A$2:$A$28=$B13)*(Transcriptome!$C$2:$C$28=$G13),0))</f>
        <v>1.1873267962928766</v>
      </c>
      <c r="BB13">
        <f t="array" ref="BB13">INDEX(Transcriptome!U$2:U$28,MATCH(1,(Transcriptome!$A$2:$A$28=$B13)*(Transcriptome!$C$2:$C$28=$G13),0))</f>
        <v>2.9346206754839992</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1.1338718139260324</v>
      </c>
      <c r="BF13">
        <f t="array" ref="BF13">INDEX(Transcriptome!Y$2:Y$28,MATCH(1,(Transcriptome!$A$2:$A$28=$B13)*(Transcriptome!$C$2:$C$28=$G13),0))</f>
        <v>0</v>
      </c>
      <c r="BG13">
        <f t="array" ref="BG13">INDEX(Transcriptome!Z$2:Z$28,MATCH(1,(Transcriptome!$A$2:$A$28=$B13)*(Transcriptome!$C$2:$C$28=$G13),0))</f>
        <v>1.5384366899444268</v>
      </c>
      <c r="BH13">
        <f t="array" ref="BH13">INDEX(Transcriptome!AA$2:AA$28,MATCH(1,(Transcriptome!$A$2:$A$28=$B13)*(Transcriptome!$C$2:$C$28=$G13),0))</f>
        <v>1.0764313688936573</v>
      </c>
      <c r="BI13">
        <f t="array" ref="BI13">INDEX(Transcriptome!AB$2:AB$28,MATCH(1,(Transcriptome!$A$2:$A$28=$B13)*(Transcriptome!$C$2:$C$28=$G13),0))</f>
        <v>0.47159130437877711</v>
      </c>
      <c r="BJ13">
        <f t="array" ref="BJ13">INDEX(Transcriptome!AC$2:AC$28,MATCH(1,(Transcriptome!$A$2:$A$28=$B13)*(Transcriptome!$C$2:$C$28=$G13),0))</f>
        <v>1.0571838358251406</v>
      </c>
      <c r="BK13">
        <f t="array" ref="BK13">INDEX(Transcriptome!AD$2:AD$28,MATCH(1,(Transcriptome!$A$2:$A$28=$B13)*(Transcriptome!$C$2:$C$28=$G13),0))</f>
        <v>1.2979820354545486</v>
      </c>
      <c r="BL13">
        <f t="array" ref="BL13">INDEX(Transcriptome!AE$2:AE$28,MATCH(1,(Transcriptome!$A$2:$A$28=$B13)*(Transcriptome!$C$2:$C$28=$G13),0))</f>
        <v>1.502511326716075</v>
      </c>
      <c r="BM13">
        <f t="array" ref="BM13">INDEX(Transcriptome!AF$2:AF$28,MATCH(1,(Transcriptome!$A$2:$A$28=$B13)*(Transcriptome!$C$2:$C$28=$G13),0))</f>
        <v>0.92275337933209434</v>
      </c>
      <c r="BN13">
        <f t="array" ref="BN13">INDEX(Transcriptome!AG$2:AG$28,MATCH(1,(Transcriptome!$A$2:$A$28=$B13)*(Transcriptome!$C$2:$C$28=$G13),0))</f>
        <v>0.57492789139254974</v>
      </c>
      <c r="BO13">
        <f t="array" ref="BO13">INDEX(Transcriptome!AH$2:AH$28,MATCH(1,(Transcriptome!$A$2:$A$28=$B13)*(Transcriptome!$C$2:$C$28=$G13),0))</f>
        <v>2.1154284091716771</v>
      </c>
      <c r="BP13">
        <f t="array" ref="BP13">INDEX(Transcriptome!AI$2:AI$28,MATCH(1,(Transcriptome!$A$2:$A$28=$B13)*(Transcriptome!$C$2:$C$28=$G13),0))</f>
        <v>0.85597038518299884</v>
      </c>
      <c r="BQ13">
        <f t="array" ref="BQ13">INDEX(Transcriptome!AJ$2:AJ$28,MATCH(1,(Transcriptome!$A$2:$A$28=$B13)*(Transcriptome!$C$2:$C$28=$G13),0))</f>
        <v>0.9270169484475107</v>
      </c>
      <c r="BR13">
        <f t="array" ref="BR13">INDEX(Transcriptome!AK$2:AK$28,MATCH(1,(Transcriptome!$A$2:$A$28=$B13)*(Transcriptome!$C$2:$C$28=$G13),0))</f>
        <v>0.91392647570710206</v>
      </c>
      <c r="BS13">
        <f t="array" ref="BS13">INDEX(Transcriptome!AL$2:AL$28,MATCH(1,(Transcriptome!$A$2:$A$28=$B13)*(Transcriptome!$C$2:$C$28=$G13),0))</f>
        <v>1</v>
      </c>
      <c r="BT13">
        <f t="array" ref="BT13">INDEX(Transcriptome!AM$2:AM$28,MATCH(1,(Transcriptome!$A$2:$A$28=$B13)*(Transcriptome!$C$2:$C$28=$G13),0))</f>
        <v>0.87506702113635604</v>
      </c>
      <c r="BU13">
        <f t="array" ref="BU13">INDEX(Transcriptome!AN$2:AN$28,MATCH(1,(Transcriptome!$A$2:$A$28=$B13)*(Transcriptome!$C$2:$C$28=$G13),0))</f>
        <v>1.0812931656942111</v>
      </c>
      <c r="BV13">
        <f t="array" ref="BV13">INDEX(Transcriptome!AO$2:AO$28,MATCH(1,(Transcriptome!$A$2:$A$28=$B13)*(Transcriptome!$C$2:$C$28=$G13),0))</f>
        <v>1.2412757853546588</v>
      </c>
      <c r="BW13">
        <f t="array" ref="BW13">INDEX(Transcriptome!AP$2:AP$28,MATCH(1,(Transcriptome!$A$2:$A$28=$B13)*(Transcriptome!$C$2:$C$28=$G13),0))</f>
        <v>1.1463769840236129</v>
      </c>
      <c r="BX13">
        <f t="array" ref="BX13">INDEX(Transcriptome!AQ$2:AQ$28,MATCH(1,(Transcriptome!$A$2:$A$28=$B13)*(Transcriptome!$C$2:$C$28=$G13),0))</f>
        <v>1.5376111207797365</v>
      </c>
      <c r="BY13">
        <f t="array" ref="BY13">INDEX(Transcriptome!AR$2:AR$28,MATCH(1,(Transcriptome!$A$2:$A$28=$B13)*(Transcriptome!$C$2:$C$28=$G13),0))</f>
        <v>0.78312832126036092</v>
      </c>
      <c r="BZ13">
        <f t="array" ref="BZ13">INDEX(Transcriptome!AS$2:AS$28,MATCH(1,(Transcriptome!$A$2:$A$28=$B13)*(Transcriptome!$C$2:$C$28=$G13),0))</f>
        <v>1.0554455360573771</v>
      </c>
      <c r="CA13">
        <f t="array" ref="CA13">INDEX(Transcriptome!AT$2:AT$28,MATCH(1,(Transcriptome!$A$2:$A$28=$B13)*(Transcriptome!$C$2:$C$28=$G13),0))</f>
        <v>0.8368102605762836</v>
      </c>
      <c r="CB13">
        <f t="array" ref="CB13">INDEX(Transcriptome!AU$2:AU$28,MATCH(1,(Transcriptome!$A$2:$A$28=$B13)*(Transcriptome!$C$2:$C$28=$G13),0))</f>
        <v>1.7524949277791828</v>
      </c>
      <c r="CC13">
        <f t="array" ref="CC13">INDEX(Transcriptome!AV$2:AV$28,MATCH(1,(Transcriptome!$A$2:$A$28=$B13)*(Transcriptome!$C$2:$C$28=$G13),0))</f>
        <v>0.67651836917863639</v>
      </c>
      <c r="CD13">
        <f t="array" ref="CD13">INDEX(Transcriptome!AW$2:AW$28,MATCH(1,(Transcriptome!$A$2:$A$28=$B13)*(Transcriptome!$C$2:$C$28=$G13),0))</f>
        <v>0.79957736892979914</v>
      </c>
      <c r="CE13">
        <f t="array" ref="CE13">INDEX(Transcriptome!AX$2:AX$28,MATCH(1,(Transcriptome!$A$2:$A$28=$B13)*(Transcriptome!$C$2:$C$28=$G13),0))</f>
        <v>0.84066476768291531</v>
      </c>
      <c r="CF13">
        <f t="array" ref="CF13">INDEX(Transcriptome!AY$2:AY$28,MATCH(1,(Transcriptome!$A$2:$A$28=$B13)*(Transcriptome!$C$2:$C$28=$G13),0))</f>
        <v>0.99862338389680116</v>
      </c>
      <c r="CG13">
        <f t="array" ref="CG13">INDEX(Transcriptome!AZ$2:AZ$28,MATCH(1,(Transcriptome!$A$2:$A$28=$B13)*(Transcriptome!$C$2:$C$28=$G13),0))</f>
        <v>0.95974063131380538</v>
      </c>
      <c r="CH13">
        <f t="array" ref="CH13">INDEX(Transcriptome!BA$2:BA$28,MATCH(1,(Transcriptome!$A$2:$A$28=$B13)*(Transcriptome!$C$2:$C$28=$G13),0))</f>
        <v>1.9813944974991031</v>
      </c>
      <c r="CI13">
        <f t="array" ref="CI13">INDEX(Transcriptome!BB$2:BB$28,MATCH(1,(Transcriptome!$A$2:$A$28=$B13)*(Transcriptome!$C$2:$C$28=$G13),0))</f>
        <v>2.1376571317272437</v>
      </c>
      <c r="CJ13">
        <f t="array" ref="CJ13">INDEX(Transcriptome!BC$2:BC$28,MATCH(1,(Transcriptome!$A$2:$A$28=$B13)*(Transcriptome!$C$2:$C$28=$G13),0))</f>
        <v>0</v>
      </c>
      <c r="CK13">
        <f t="array" ref="CK13">INDEX(Transcriptome!BD$2:BD$28,MATCH(1,(Transcriptome!$A$2:$A$28=$B13)*(Transcriptome!$C$2:$C$28=$G13),0))</f>
        <v>1.5663129663080484</v>
      </c>
      <c r="CL13">
        <f t="array" ref="CL13">INDEX(Transcriptome!BE$2:BE$28,MATCH(1,(Transcriptome!$A$2:$A$28=$B13)*(Transcriptome!$C$2:$C$28=$G13),0))</f>
        <v>1.4453935097704496</v>
      </c>
      <c r="CM13">
        <f t="array" ref="CM13">INDEX(Transcriptome!BF$2:BF$28,MATCH(1,(Transcriptome!$A$2:$A$28=$B13)*(Transcriptome!$C$2:$C$28=$G13),0))</f>
        <v>1.6277485452435247</v>
      </c>
      <c r="CN13">
        <f t="array" ref="CN13">INDEX(Transcriptome!BG$2:BG$28,MATCH(1,(Transcriptome!$A$2:$A$28=$B13)*(Transcriptome!$C$2:$C$28=$G13),0))</f>
        <v>2.3611743621600545</v>
      </c>
      <c r="CO13">
        <f t="array" ref="CO13">INDEX(Transcriptome!BH$2:BH$28,MATCH(1,(Transcriptome!$A$2:$A$28=$B13)*(Transcriptome!$C$2:$C$28=$G13),0))</f>
        <v>0.66157773370407957</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2.2177081080211609</v>
      </c>
      <c r="CS13">
        <f t="array" ref="CS13">INDEX(Transcriptome!BL$2:BL$28,MATCH(1,(Transcriptome!$A$2:$A$28=$B13)*(Transcriptome!$C$2:$C$28=$G13),0))</f>
        <v>1.8689744295700941</v>
      </c>
      <c r="CT13">
        <f t="array" ref="CT13">INDEX(Transcriptome!BM$2:BM$28,MATCH(1,(Transcriptome!$A$2:$A$28=$B13)*(Transcriptome!$C$2:$C$28=$G13),0))</f>
        <v>0.71999310841955522</v>
      </c>
      <c r="CU13">
        <f t="array" ref="CU13">INDEX(Transcriptome!BN$2:BN$28,MATCH(1,(Transcriptome!$A$2:$A$28=$B13)*(Transcriptome!$C$2:$C$28=$G13),0))</f>
        <v>31.051492934824005</v>
      </c>
      <c r="CV13">
        <f t="array" ref="CV13">INDEX(Transcriptome!BO$2:BO$28,MATCH(1,(Transcriptome!$A$2:$A$28=$B13)*(Transcriptome!$C$2:$C$28=$G13),0))</f>
        <v>1.7199426312342987</v>
      </c>
      <c r="CW13">
        <f t="array" ref="CW13">INDEX(Transcriptome!BP$2:BP$28,MATCH(1,(Transcriptome!$A$2:$A$28=$B13)*(Transcriptome!$C$2:$C$28=$G13),0))</f>
        <v>0.66157773370407957</v>
      </c>
      <c r="CX13">
        <f t="array" ref="CX13">INDEX(Transcriptome!BQ$2:BQ$28,MATCH(1,(Transcriptome!$A$2:$A$28=$B13)*(Transcriptome!$C$2:$C$28=$G13),0))</f>
        <v>1</v>
      </c>
      <c r="CY13">
        <f t="array" ref="CY13">INDEX(Transcriptome!BR$2:BR$28,MATCH(1,(Transcriptome!$A$2:$A$28=$B13)*(Transcriptome!$C$2:$C$28=$G13),0))</f>
        <v>1.3004604300657727</v>
      </c>
    </row>
    <row r="14" spans="1:103">
      <c r="A14">
        <f>'Measured Data'!A19</f>
        <v>12</v>
      </c>
      <c r="B14" t="s">
        <v>582</v>
      </c>
      <c r="C14" s="324" t="s">
        <v>586</v>
      </c>
      <c r="D14">
        <v>1</v>
      </c>
      <c r="E14">
        <f>'Measured Data'!H19</f>
        <v>14.457500321960449</v>
      </c>
      <c r="F14" s="477">
        <f>'Measured Data'!K19</f>
        <v>95.143501281738281</v>
      </c>
      <c r="G14" t="s">
        <v>512</v>
      </c>
      <c r="H14" s="321">
        <f>'Measured Data'!B19</f>
        <v>11.871527777781012</v>
      </c>
      <c r="I14" s="322">
        <f>'Measured Data'!C19</f>
        <v>284.91666666674428</v>
      </c>
      <c r="J14">
        <f>'In Process Calc.'!B15</f>
        <v>11.871527777781012</v>
      </c>
      <c r="K14">
        <f>'In Process Calc.'!C15</f>
        <v>284.91666666674428</v>
      </c>
      <c r="L14">
        <f>'Measured Data'!Z19</f>
        <v>7.2714758320566615</v>
      </c>
      <c r="M14">
        <f>'Measured Data'!AF19</f>
        <v>3.4413854351687392</v>
      </c>
      <c r="N14">
        <f>'Measured Data'!AA19</f>
        <v>2.4260000000000002</v>
      </c>
      <c r="O14">
        <f>'Measured Data'!W19</f>
        <v>7.5999999999999998E-2</v>
      </c>
      <c r="P14">
        <f>'Measured Data'!X19</f>
        <v>2.4289999999999998</v>
      </c>
      <c r="Q14">
        <f>'Growth Regression'!P14</f>
        <v>8.7392201529787349E-4</v>
      </c>
      <c r="R14">
        <f>Q14/'Growth Regression'!$O$24</f>
        <v>3.2924495840438203E-2</v>
      </c>
      <c r="S14">
        <f>'Post Process Calc.'!K15</f>
        <v>4.4297629416349911E-2</v>
      </c>
      <c r="T14">
        <f>'Post Process Calc.'!Q15</f>
        <v>-3.5160782177537792E-3</v>
      </c>
      <c r="U14">
        <f>'Post Process Calc.'!L15</f>
        <v>5.3290088709318836E-3</v>
      </c>
      <c r="V14">
        <f>'Post Process Calc.'!H15</f>
        <v>5.9009153747328371E-4</v>
      </c>
      <c r="W14">
        <f>'Post Process Calc.'!I15</f>
        <v>1.1610614637019526E-3</v>
      </c>
      <c r="X14">
        <f>'Post Process Calc.'!AG15</f>
        <v>-7.937395892467379E-2</v>
      </c>
      <c r="Y14">
        <f t="shared" si="2"/>
        <v>27.686018385218691</v>
      </c>
      <c r="Z14">
        <f t="shared" si="2"/>
        <v>-2.1975488860961119</v>
      </c>
      <c r="AA14">
        <f t="shared" si="0"/>
        <v>3.3306305443324269</v>
      </c>
      <c r="AB14">
        <f t="shared" si="0"/>
        <v>0.36880721092080232</v>
      </c>
      <c r="AC14">
        <f t="shared" si="0"/>
        <v>0.72566341481372032</v>
      </c>
      <c r="AD14">
        <v>100</v>
      </c>
      <c r="AE14">
        <v>0.32</v>
      </c>
      <c r="AF14">
        <v>7</v>
      </c>
      <c r="AG14">
        <v>0.7</v>
      </c>
      <c r="AH14">
        <f t="shared" si="1"/>
        <v>5.0118723362727164E-8</v>
      </c>
      <c r="AI14">
        <v>1</v>
      </c>
      <c r="AJ14">
        <v>0.311</v>
      </c>
      <c r="AK14">
        <f t="array" ref="AK14">INDEX(Transcriptome!D$2:D$28,MATCH(1,(Transcriptome!$A$2:$A$28=$B14)*(Transcriptome!$C$2:$C$28=$G14),0))</f>
        <v>0.79911115968947066</v>
      </c>
      <c r="AL14">
        <f t="array" ref="AL14">INDEX(Transcriptome!E$2:E$28,MATCH(1,(Transcriptome!$A$2:$A$28=$B14)*(Transcriptome!$C$2:$C$28=$G14),0))</f>
        <v>1.395845883804042</v>
      </c>
      <c r="AM14">
        <f t="array" ref="AM14">INDEX(Transcriptome!F$2:F$28,MATCH(1,(Transcriptome!$A$2:$A$28=$B14)*(Transcriptome!$C$2:$C$28=$G14),0))</f>
        <v>1.2386820755987473</v>
      </c>
      <c r="AN14">
        <f t="array" ref="AN14">INDEX(Transcriptome!G$2:G$28,MATCH(1,(Transcriptome!$A$2:$A$28=$B14)*(Transcriptome!$C$2:$C$28=$G14),0))</f>
        <v>0.41313915958702108</v>
      </c>
      <c r="AO14">
        <f t="array" ref="AO14">INDEX(Transcriptome!H$2:H$28,MATCH(1,(Transcriptome!$A$2:$A$28=$B14)*(Transcriptome!$C$2:$C$28=$G14),0))</f>
        <v>0</v>
      </c>
      <c r="AP14">
        <f t="array" ref="AP14">INDEX(Transcriptome!I$2:I$28,MATCH(1,(Transcriptome!$A$2:$A$28=$B14)*(Transcriptome!$C$2:$C$28=$G14),0))</f>
        <v>1.6373902208828588</v>
      </c>
      <c r="AQ14">
        <f t="array" ref="AQ14">INDEX(Transcriptome!J$2:J$28,MATCH(1,(Transcriptome!$A$2:$A$28=$B14)*(Transcriptome!$C$2:$C$28=$G14),0))</f>
        <v>1.0934992172910949</v>
      </c>
      <c r="AR14">
        <f t="array" ref="AR14">INDEX(Transcriptome!K$2:K$28,MATCH(1,(Transcriptome!$A$2:$A$28=$B14)*(Transcriptome!$C$2:$C$28=$G14),0))</f>
        <v>1.4036482118242957</v>
      </c>
      <c r="AS14">
        <f t="array" ref="AS14">INDEX(Transcriptome!L$2:L$28,MATCH(1,(Transcriptome!$A$2:$A$28=$B14)*(Transcriptome!$C$2:$C$28=$G14),0))</f>
        <v>0.94961435084723056</v>
      </c>
      <c r="AT14">
        <f t="array" ref="AT14">INDEX(Transcriptome!M$2:M$28,MATCH(1,(Transcriptome!$A$2:$A$28=$B14)*(Transcriptome!$C$2:$C$28=$G14),0))</f>
        <v>1.0343862396420227</v>
      </c>
      <c r="AU14">
        <f t="array" ref="AU14">INDEX(Transcriptome!N$2:N$28,MATCH(1,(Transcriptome!$A$2:$A$28=$B14)*(Transcriptome!$C$2:$C$28=$G14),0))</f>
        <v>1.1417637658643289</v>
      </c>
      <c r="AV14">
        <f t="array" ref="AV14">INDEX(Transcriptome!O$2:O$28,MATCH(1,(Transcriptome!$A$2:$A$28=$B14)*(Transcriptome!$C$2:$C$28=$G14),0))</f>
        <v>1.3965472309808804</v>
      </c>
      <c r="AW14">
        <f t="array" ref="AW14">INDEX(Transcriptome!P$2:P$28,MATCH(1,(Transcriptome!$A$2:$A$28=$B14)*(Transcriptome!$C$2:$C$28=$G14),0))</f>
        <v>1.3919262992893948</v>
      </c>
      <c r="AX14">
        <f t="array" ref="AX14">INDEX(Transcriptome!Q$2:Q$28,MATCH(1,(Transcriptome!$A$2:$A$28=$B14)*(Transcriptome!$C$2:$C$28=$G14),0))</f>
        <v>0.73359669576377562</v>
      </c>
      <c r="AY14">
        <f t="array" ref="AY14">INDEX(Transcriptome!R$2:R$28,MATCH(1,(Transcriptome!$A$2:$A$28=$B14)*(Transcriptome!$C$2:$C$28=$G14),0))</f>
        <v>0.59836270430598559</v>
      </c>
      <c r="AZ14">
        <f t="array" ref="AZ14">INDEX(Transcriptome!S$2:S$28,MATCH(1,(Transcriptome!$A$2:$A$28=$B14)*(Transcriptome!$C$2:$C$28=$G14),0))</f>
        <v>0.44894986261624537</v>
      </c>
      <c r="BA14">
        <f t="array" ref="BA14">INDEX(Transcriptome!T$2:T$28,MATCH(1,(Transcriptome!$A$2:$A$28=$B14)*(Transcriptome!$C$2:$C$28=$G14),0))</f>
        <v>1.1873267962928766</v>
      </c>
      <c r="BB14">
        <f t="array" ref="BB14">INDEX(Transcriptome!U$2:U$28,MATCH(1,(Transcriptome!$A$2:$A$28=$B14)*(Transcriptome!$C$2:$C$28=$G14),0))</f>
        <v>2.9346206754839992</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1.1338718139260324</v>
      </c>
      <c r="BF14">
        <f t="array" ref="BF14">INDEX(Transcriptome!Y$2:Y$28,MATCH(1,(Transcriptome!$A$2:$A$28=$B14)*(Transcriptome!$C$2:$C$28=$G14),0))</f>
        <v>0</v>
      </c>
      <c r="BG14">
        <f t="array" ref="BG14">INDEX(Transcriptome!Z$2:Z$28,MATCH(1,(Transcriptome!$A$2:$A$28=$B14)*(Transcriptome!$C$2:$C$28=$G14),0))</f>
        <v>1.5384366899444268</v>
      </c>
      <c r="BH14">
        <f t="array" ref="BH14">INDEX(Transcriptome!AA$2:AA$28,MATCH(1,(Transcriptome!$A$2:$A$28=$B14)*(Transcriptome!$C$2:$C$28=$G14),0))</f>
        <v>1.0764313688936573</v>
      </c>
      <c r="BI14">
        <f t="array" ref="BI14">INDEX(Transcriptome!AB$2:AB$28,MATCH(1,(Transcriptome!$A$2:$A$28=$B14)*(Transcriptome!$C$2:$C$28=$G14),0))</f>
        <v>0.47159130437877711</v>
      </c>
      <c r="BJ14">
        <f t="array" ref="BJ14">INDEX(Transcriptome!AC$2:AC$28,MATCH(1,(Transcriptome!$A$2:$A$28=$B14)*(Transcriptome!$C$2:$C$28=$G14),0))</f>
        <v>1.0571838358251406</v>
      </c>
      <c r="BK14">
        <f t="array" ref="BK14">INDEX(Transcriptome!AD$2:AD$28,MATCH(1,(Transcriptome!$A$2:$A$28=$B14)*(Transcriptome!$C$2:$C$28=$G14),0))</f>
        <v>1.2979820354545486</v>
      </c>
      <c r="BL14">
        <f t="array" ref="BL14">INDEX(Transcriptome!AE$2:AE$28,MATCH(1,(Transcriptome!$A$2:$A$28=$B14)*(Transcriptome!$C$2:$C$28=$G14),0))</f>
        <v>1.502511326716075</v>
      </c>
      <c r="BM14">
        <f t="array" ref="BM14">INDEX(Transcriptome!AF$2:AF$28,MATCH(1,(Transcriptome!$A$2:$A$28=$B14)*(Transcriptome!$C$2:$C$28=$G14),0))</f>
        <v>0.92275337933209434</v>
      </c>
      <c r="BN14">
        <f t="array" ref="BN14">INDEX(Transcriptome!AG$2:AG$28,MATCH(1,(Transcriptome!$A$2:$A$28=$B14)*(Transcriptome!$C$2:$C$28=$G14),0))</f>
        <v>0.57492789139254974</v>
      </c>
      <c r="BO14">
        <f t="array" ref="BO14">INDEX(Transcriptome!AH$2:AH$28,MATCH(1,(Transcriptome!$A$2:$A$28=$B14)*(Transcriptome!$C$2:$C$28=$G14),0))</f>
        <v>2.1154284091716771</v>
      </c>
      <c r="BP14">
        <f t="array" ref="BP14">INDEX(Transcriptome!AI$2:AI$28,MATCH(1,(Transcriptome!$A$2:$A$28=$B14)*(Transcriptome!$C$2:$C$28=$G14),0))</f>
        <v>0.85597038518299884</v>
      </c>
      <c r="BQ14">
        <f t="array" ref="BQ14">INDEX(Transcriptome!AJ$2:AJ$28,MATCH(1,(Transcriptome!$A$2:$A$28=$B14)*(Transcriptome!$C$2:$C$28=$G14),0))</f>
        <v>0.9270169484475107</v>
      </c>
      <c r="BR14">
        <f t="array" ref="BR14">INDEX(Transcriptome!AK$2:AK$28,MATCH(1,(Transcriptome!$A$2:$A$28=$B14)*(Transcriptome!$C$2:$C$28=$G14),0))</f>
        <v>0.91392647570710206</v>
      </c>
      <c r="BS14">
        <f t="array" ref="BS14">INDEX(Transcriptome!AL$2:AL$28,MATCH(1,(Transcriptome!$A$2:$A$28=$B14)*(Transcriptome!$C$2:$C$28=$G14),0))</f>
        <v>1</v>
      </c>
      <c r="BT14">
        <f t="array" ref="BT14">INDEX(Transcriptome!AM$2:AM$28,MATCH(1,(Transcriptome!$A$2:$A$28=$B14)*(Transcriptome!$C$2:$C$28=$G14),0))</f>
        <v>0.87506702113635604</v>
      </c>
      <c r="BU14">
        <f t="array" ref="BU14">INDEX(Transcriptome!AN$2:AN$28,MATCH(1,(Transcriptome!$A$2:$A$28=$B14)*(Transcriptome!$C$2:$C$28=$G14),0))</f>
        <v>1.0812931656942111</v>
      </c>
      <c r="BV14">
        <f t="array" ref="BV14">INDEX(Transcriptome!AO$2:AO$28,MATCH(1,(Transcriptome!$A$2:$A$28=$B14)*(Transcriptome!$C$2:$C$28=$G14),0))</f>
        <v>1.2412757853546588</v>
      </c>
      <c r="BW14">
        <f t="array" ref="BW14">INDEX(Transcriptome!AP$2:AP$28,MATCH(1,(Transcriptome!$A$2:$A$28=$B14)*(Transcriptome!$C$2:$C$28=$G14),0))</f>
        <v>1.1463769840236129</v>
      </c>
      <c r="BX14">
        <f t="array" ref="BX14">INDEX(Transcriptome!AQ$2:AQ$28,MATCH(1,(Transcriptome!$A$2:$A$28=$B14)*(Transcriptome!$C$2:$C$28=$G14),0))</f>
        <v>1.5376111207797365</v>
      </c>
      <c r="BY14">
        <f t="array" ref="BY14">INDEX(Transcriptome!AR$2:AR$28,MATCH(1,(Transcriptome!$A$2:$A$28=$B14)*(Transcriptome!$C$2:$C$28=$G14),0))</f>
        <v>0.78312832126036092</v>
      </c>
      <c r="BZ14">
        <f t="array" ref="BZ14">INDEX(Transcriptome!AS$2:AS$28,MATCH(1,(Transcriptome!$A$2:$A$28=$B14)*(Transcriptome!$C$2:$C$28=$G14),0))</f>
        <v>1.0554455360573771</v>
      </c>
      <c r="CA14">
        <f t="array" ref="CA14">INDEX(Transcriptome!AT$2:AT$28,MATCH(1,(Transcriptome!$A$2:$A$28=$B14)*(Transcriptome!$C$2:$C$28=$G14),0))</f>
        <v>0.8368102605762836</v>
      </c>
      <c r="CB14">
        <f t="array" ref="CB14">INDEX(Transcriptome!AU$2:AU$28,MATCH(1,(Transcriptome!$A$2:$A$28=$B14)*(Transcriptome!$C$2:$C$28=$G14),0))</f>
        <v>1.7524949277791828</v>
      </c>
      <c r="CC14">
        <f t="array" ref="CC14">INDEX(Transcriptome!AV$2:AV$28,MATCH(1,(Transcriptome!$A$2:$A$28=$B14)*(Transcriptome!$C$2:$C$28=$G14),0))</f>
        <v>0.67651836917863639</v>
      </c>
      <c r="CD14">
        <f t="array" ref="CD14">INDEX(Transcriptome!AW$2:AW$28,MATCH(1,(Transcriptome!$A$2:$A$28=$B14)*(Transcriptome!$C$2:$C$28=$G14),0))</f>
        <v>0.79957736892979914</v>
      </c>
      <c r="CE14">
        <f t="array" ref="CE14">INDEX(Transcriptome!AX$2:AX$28,MATCH(1,(Transcriptome!$A$2:$A$28=$B14)*(Transcriptome!$C$2:$C$28=$G14),0))</f>
        <v>0.84066476768291531</v>
      </c>
      <c r="CF14">
        <f t="array" ref="CF14">INDEX(Transcriptome!AY$2:AY$28,MATCH(1,(Transcriptome!$A$2:$A$28=$B14)*(Transcriptome!$C$2:$C$28=$G14),0))</f>
        <v>0.99862338389680116</v>
      </c>
      <c r="CG14">
        <f t="array" ref="CG14">INDEX(Transcriptome!AZ$2:AZ$28,MATCH(1,(Transcriptome!$A$2:$A$28=$B14)*(Transcriptome!$C$2:$C$28=$G14),0))</f>
        <v>0.95974063131380538</v>
      </c>
      <c r="CH14">
        <f t="array" ref="CH14">INDEX(Transcriptome!BA$2:BA$28,MATCH(1,(Transcriptome!$A$2:$A$28=$B14)*(Transcriptome!$C$2:$C$28=$G14),0))</f>
        <v>1.9813944974991031</v>
      </c>
      <c r="CI14">
        <f t="array" ref="CI14">INDEX(Transcriptome!BB$2:BB$28,MATCH(1,(Transcriptome!$A$2:$A$28=$B14)*(Transcriptome!$C$2:$C$28=$G14),0))</f>
        <v>2.1376571317272437</v>
      </c>
      <c r="CJ14">
        <f t="array" ref="CJ14">INDEX(Transcriptome!BC$2:BC$28,MATCH(1,(Transcriptome!$A$2:$A$28=$B14)*(Transcriptome!$C$2:$C$28=$G14),0))</f>
        <v>0</v>
      </c>
      <c r="CK14">
        <f t="array" ref="CK14">INDEX(Transcriptome!BD$2:BD$28,MATCH(1,(Transcriptome!$A$2:$A$28=$B14)*(Transcriptome!$C$2:$C$28=$G14),0))</f>
        <v>1.5663129663080484</v>
      </c>
      <c r="CL14">
        <f t="array" ref="CL14">INDEX(Transcriptome!BE$2:BE$28,MATCH(1,(Transcriptome!$A$2:$A$28=$B14)*(Transcriptome!$C$2:$C$28=$G14),0))</f>
        <v>1.4453935097704496</v>
      </c>
      <c r="CM14">
        <f t="array" ref="CM14">INDEX(Transcriptome!BF$2:BF$28,MATCH(1,(Transcriptome!$A$2:$A$28=$B14)*(Transcriptome!$C$2:$C$28=$G14),0))</f>
        <v>1.6277485452435247</v>
      </c>
      <c r="CN14">
        <f t="array" ref="CN14">INDEX(Transcriptome!BG$2:BG$28,MATCH(1,(Transcriptome!$A$2:$A$28=$B14)*(Transcriptome!$C$2:$C$28=$G14),0))</f>
        <v>2.3611743621600545</v>
      </c>
      <c r="CO14">
        <f t="array" ref="CO14">INDEX(Transcriptome!BH$2:BH$28,MATCH(1,(Transcriptome!$A$2:$A$28=$B14)*(Transcriptome!$C$2:$C$28=$G14),0))</f>
        <v>0.66157773370407957</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2.2177081080211609</v>
      </c>
      <c r="CS14">
        <f t="array" ref="CS14">INDEX(Transcriptome!BL$2:BL$28,MATCH(1,(Transcriptome!$A$2:$A$28=$B14)*(Transcriptome!$C$2:$C$28=$G14),0))</f>
        <v>1.8689744295700941</v>
      </c>
      <c r="CT14">
        <f t="array" ref="CT14">INDEX(Transcriptome!BM$2:BM$28,MATCH(1,(Transcriptome!$A$2:$A$28=$B14)*(Transcriptome!$C$2:$C$28=$G14),0))</f>
        <v>0.71999310841955522</v>
      </c>
      <c r="CU14">
        <f t="array" ref="CU14">INDEX(Transcriptome!BN$2:BN$28,MATCH(1,(Transcriptome!$A$2:$A$28=$B14)*(Transcriptome!$C$2:$C$28=$G14),0))</f>
        <v>31.051492934824005</v>
      </c>
      <c r="CV14">
        <f t="array" ref="CV14">INDEX(Transcriptome!BO$2:BO$28,MATCH(1,(Transcriptome!$A$2:$A$28=$B14)*(Transcriptome!$C$2:$C$28=$G14),0))</f>
        <v>1.7199426312342987</v>
      </c>
      <c r="CW14">
        <f t="array" ref="CW14">INDEX(Transcriptome!BP$2:BP$28,MATCH(1,(Transcriptome!$A$2:$A$28=$B14)*(Transcriptome!$C$2:$C$28=$G14),0))</f>
        <v>0.66157773370407957</v>
      </c>
      <c r="CX14">
        <f t="array" ref="CX14">INDEX(Transcriptome!BQ$2:BQ$28,MATCH(1,(Transcriptome!$A$2:$A$28=$B14)*(Transcriptome!$C$2:$C$28=$G14),0))</f>
        <v>1</v>
      </c>
      <c r="CY14">
        <f t="array" ref="CY14">INDEX(Transcriptome!BR$2:BR$28,MATCH(1,(Transcriptome!$A$2:$A$28=$B14)*(Transcriptome!$C$2:$C$28=$G14),0))</f>
        <v>1.3004604300657727</v>
      </c>
    </row>
    <row r="15" spans="1:103">
      <c r="A15">
        <f>'Measured Data'!A20</f>
        <v>13</v>
      </c>
      <c r="B15" t="s">
        <v>582</v>
      </c>
      <c r="C15" s="324" t="s">
        <v>586</v>
      </c>
      <c r="D15">
        <v>1</v>
      </c>
      <c r="E15">
        <f>'Measured Data'!H20</f>
        <v>13.934400422668457</v>
      </c>
      <c r="F15" s="477">
        <f>'Measured Data'!K20</f>
        <v>92.429901123046875</v>
      </c>
      <c r="G15" t="s">
        <v>712</v>
      </c>
      <c r="H15" s="321">
        <f>'Measured Data'!B20</f>
        <v>12.864583333335759</v>
      </c>
      <c r="I15" s="322">
        <f>'Measured Data'!C20</f>
        <v>308.75000000005821</v>
      </c>
      <c r="J15">
        <f>'In Process Calc.'!B16</f>
        <v>12.864583333335759</v>
      </c>
      <c r="K15">
        <f>'In Process Calc.'!C16</f>
        <v>308.75000000005821</v>
      </c>
      <c r="L15">
        <f>'Measured Data'!Z20</f>
        <v>11.878594107329203</v>
      </c>
      <c r="M15">
        <f>'Measured Data'!AF20</f>
        <v>2.4422735346358793</v>
      </c>
      <c r="N15">
        <f>'Measured Data'!AA20</f>
        <v>2.2829999999999999</v>
      </c>
      <c r="O15">
        <f>'Measured Data'!W20</f>
        <v>7.4999999999999997E-2</v>
      </c>
      <c r="P15">
        <f>'Measured Data'!X20</f>
        <v>2.351</v>
      </c>
      <c r="Q15">
        <f>'Growth Regression'!P15</f>
        <v>4.7150661224136737E-4</v>
      </c>
      <c r="R15">
        <f>Q15/'Growth Regression'!$O$24</f>
        <v>1.7763733172677498E-2</v>
      </c>
      <c r="S15">
        <f>'Post Process Calc.'!K16</f>
        <v>4.9252557578227649E-2</v>
      </c>
      <c r="T15">
        <f>'Post Process Calc.'!Q16</f>
        <v>3.8379280228994965E-3</v>
      </c>
      <c r="U15">
        <f>'Post Process Calc.'!L16</f>
        <v>2.9734576302321947E-3</v>
      </c>
      <c r="V15">
        <f>'Post Process Calc.'!H16</f>
        <v>-2.6692039361311997E-3</v>
      </c>
      <c r="W15">
        <f>'Post Process Calc.'!I16</f>
        <v>7.1740331519524515E-4</v>
      </c>
      <c r="X15">
        <f>'Post Process Calc.'!AG16</f>
        <v>7.7923425941967175E-2</v>
      </c>
      <c r="Y15">
        <f t="shared" ref="Y15:Y16" si="3">S15/0.0016</f>
        <v>30.782848486392279</v>
      </c>
      <c r="Z15">
        <f t="shared" ref="Z15:Z16" si="4">T15/0.0016</f>
        <v>2.3987050143121853</v>
      </c>
      <c r="AA15">
        <f t="shared" ref="AA15:AA16" si="5">U15/0.0016</f>
        <v>1.8584110188951215</v>
      </c>
      <c r="AB15">
        <f t="shared" ref="AB15:AB16" si="6">V15/0.0016</f>
        <v>-1.6682524600819997</v>
      </c>
      <c r="AC15">
        <f t="shared" ref="AC15:AC16" si="7">W15/0.0016</f>
        <v>0.4483770719970282</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582</v>
      </c>
      <c r="C16" s="324" t="s">
        <v>586</v>
      </c>
      <c r="D16">
        <v>1</v>
      </c>
      <c r="E16">
        <f>'Measured Data'!H21</f>
        <v>13.162699563598633</v>
      </c>
      <c r="F16" s="477">
        <f>'Measured Data'!K21</f>
        <v>87.281097412109375</v>
      </c>
      <c r="G16" t="s">
        <v>712</v>
      </c>
      <c r="H16" s="321">
        <f>'Measured Data'!B21</f>
        <v>13.879166666665697</v>
      </c>
      <c r="I16" s="322">
        <f>'Measured Data'!C21</f>
        <v>333.09999999997672</v>
      </c>
      <c r="J16">
        <f>'In Process Calc.'!B17</f>
        <v>13.879166666665697</v>
      </c>
      <c r="K16">
        <f>'In Process Calc.'!C17</f>
        <v>333.09999999997672</v>
      </c>
      <c r="L16">
        <f>'Measured Data'!Z21</f>
        <v>11.823086658229533</v>
      </c>
      <c r="M16">
        <f>'Measured Data'!AF21</f>
        <v>4.6625222024866781</v>
      </c>
      <c r="N16">
        <f>'Measured Data'!AA21</f>
        <v>2.0430000000000001</v>
      </c>
      <c r="O16">
        <f>'Measured Data'!W21</f>
        <v>7.1999999999999995E-2</v>
      </c>
      <c r="P16">
        <f>'Measured Data'!X21</f>
        <v>2.363</v>
      </c>
      <c r="Q16">
        <f>'Growth Regression'!P16</f>
        <v>2.4916065630882679E-4</v>
      </c>
      <c r="R16">
        <f>Q16/'Growth Regression'!$O$24</f>
        <v>9.3869805871004252E-3</v>
      </c>
      <c r="S16">
        <f>'Post Process Calc.'!K17</f>
        <v>5.5565061907294058E-2</v>
      </c>
      <c r="T16">
        <f>'Post Process Calc.'!Q17</f>
        <v>1.7781059056384815E-2</v>
      </c>
      <c r="U16">
        <f>'Post Process Calc.'!L17</f>
        <v>-9.1248312900920111E-3</v>
      </c>
      <c r="V16">
        <f>'Post Process Calc.'!H17</f>
        <v>-7.9007957299269179E-3</v>
      </c>
      <c r="W16">
        <f>'Post Process Calc.'!I17</f>
        <v>-4.2644277684159146E-4</v>
      </c>
      <c r="X16">
        <f>'Post Process Calc.'!AG17</f>
        <v>0.32000430569214727</v>
      </c>
      <c r="Y16">
        <f t="shared" si="3"/>
        <v>34.728163692058786</v>
      </c>
      <c r="Z16">
        <f t="shared" si="4"/>
        <v>11.113161910240509</v>
      </c>
      <c r="AA16">
        <f t="shared" si="5"/>
        <v>-5.703019556307507</v>
      </c>
      <c r="AB16">
        <f t="shared" si="6"/>
        <v>-4.9379973312043237</v>
      </c>
      <c r="AC16">
        <f t="shared" si="7"/>
        <v>-0.26652673552599465</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'Measured Data'!A6</f>
        <v>SAMPLE #</v>
      </c>
      <c r="B1" t="s">
        <v>112</v>
      </c>
      <c r="C1" t="s">
        <v>507</v>
      </c>
      <c r="D1" t="s">
        <v>508</v>
      </c>
      <c r="E1" t="s">
        <v>509</v>
      </c>
      <c r="F1" t="str">
        <f>'In Process Calc.'!B2</f>
        <v>RUN TIME (DAYS)</v>
      </c>
      <c r="G1" t="str">
        <f>'In Process Calc.'!C2</f>
        <v>RUN TIME (HOURS)</v>
      </c>
      <c r="H1" t="s">
        <v>489</v>
      </c>
      <c r="I1" t="s">
        <v>491</v>
      </c>
      <c r="J1" t="s">
        <v>490</v>
      </c>
      <c r="K1" t="s">
        <v>492</v>
      </c>
      <c r="L1" t="s">
        <v>493</v>
      </c>
      <c r="M1" t="s">
        <v>494</v>
      </c>
      <c r="N1" t="s">
        <v>711</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495</v>
      </c>
      <c r="V1" t="s">
        <v>496</v>
      </c>
      <c r="W1" t="s">
        <v>497</v>
      </c>
      <c r="X1" t="s">
        <v>498</v>
      </c>
      <c r="Y1" t="s">
        <v>499</v>
      </c>
      <c r="Z1" t="s">
        <v>500</v>
      </c>
      <c r="AA1" t="s">
        <v>501</v>
      </c>
      <c r="AB1" t="s">
        <v>502</v>
      </c>
      <c r="AC1" t="s">
        <v>503</v>
      </c>
      <c r="AD1" t="s">
        <v>504</v>
      </c>
      <c r="AE1" t="s">
        <v>505</v>
      </c>
      <c r="AF1" t="s">
        <v>506</v>
      </c>
      <c r="AG1" t="s">
        <v>514</v>
      </c>
      <c r="AH1" t="s">
        <v>515</v>
      </c>
      <c r="AI1" t="s">
        <v>516</v>
      </c>
      <c r="AJ1" t="s">
        <v>517</v>
      </c>
      <c r="AK1" t="s">
        <v>518</v>
      </c>
      <c r="AL1" t="s">
        <v>519</v>
      </c>
      <c r="AM1" t="s">
        <v>520</v>
      </c>
      <c r="AN1" t="s">
        <v>521</v>
      </c>
      <c r="AO1" t="s">
        <v>522</v>
      </c>
      <c r="AP1" t="s">
        <v>523</v>
      </c>
      <c r="AQ1" t="s">
        <v>524</v>
      </c>
      <c r="AR1" t="s">
        <v>525</v>
      </c>
      <c r="AS1" t="s">
        <v>526</v>
      </c>
      <c r="AT1" t="s">
        <v>527</v>
      </c>
      <c r="AU1" t="s">
        <v>528</v>
      </c>
      <c r="AV1" t="s">
        <v>529</v>
      </c>
      <c r="AW1" t="s">
        <v>530</v>
      </c>
      <c r="AX1" t="s">
        <v>531</v>
      </c>
      <c r="AY1" t="s">
        <v>532</v>
      </c>
      <c r="AZ1" t="s">
        <v>533</v>
      </c>
      <c r="BA1" t="s">
        <v>534</v>
      </c>
      <c r="BB1" t="s">
        <v>535</v>
      </c>
      <c r="BC1" t="s">
        <v>536</v>
      </c>
      <c r="BD1" t="s">
        <v>537</v>
      </c>
      <c r="BE1" t="s">
        <v>538</v>
      </c>
      <c r="BF1" t="s">
        <v>539</v>
      </c>
      <c r="BG1" t="s">
        <v>540</v>
      </c>
      <c r="BH1" t="s">
        <v>541</v>
      </c>
      <c r="BI1" t="s">
        <v>542</v>
      </c>
      <c r="BJ1" t="s">
        <v>543</v>
      </c>
      <c r="BK1" t="s">
        <v>544</v>
      </c>
      <c r="BL1" t="s">
        <v>545</v>
      </c>
      <c r="BM1" t="s">
        <v>546</v>
      </c>
      <c r="BN1" t="s">
        <v>547</v>
      </c>
      <c r="BO1" t="s">
        <v>548</v>
      </c>
      <c r="BP1" t="s">
        <v>549</v>
      </c>
      <c r="BQ1" t="s">
        <v>550</v>
      </c>
      <c r="BR1" t="s">
        <v>551</v>
      </c>
      <c r="BS1" t="s">
        <v>552</v>
      </c>
      <c r="BT1" t="s">
        <v>553</v>
      </c>
      <c r="BU1" t="s">
        <v>554</v>
      </c>
      <c r="BV1" t="s">
        <v>555</v>
      </c>
      <c r="BW1" t="s">
        <v>556</v>
      </c>
      <c r="BX1" t="s">
        <v>557</v>
      </c>
      <c r="BY1" t="s">
        <v>558</v>
      </c>
      <c r="BZ1" t="s">
        <v>559</v>
      </c>
      <c r="CA1" t="s">
        <v>560</v>
      </c>
      <c r="CB1" t="s">
        <v>561</v>
      </c>
      <c r="CC1" t="s">
        <v>562</v>
      </c>
      <c r="CD1" t="s">
        <v>563</v>
      </c>
      <c r="CE1" t="s">
        <v>564</v>
      </c>
      <c r="CF1" t="s">
        <v>565</v>
      </c>
      <c r="CG1" t="s">
        <v>566</v>
      </c>
      <c r="CH1" t="s">
        <v>567</v>
      </c>
      <c r="CI1" t="s">
        <v>568</v>
      </c>
      <c r="CJ1" t="s">
        <v>569</v>
      </c>
      <c r="CK1" t="s">
        <v>570</v>
      </c>
      <c r="CL1" t="s">
        <v>571</v>
      </c>
      <c r="CM1" t="s">
        <v>572</v>
      </c>
      <c r="CN1" t="s">
        <v>573</v>
      </c>
      <c r="CO1" t="s">
        <v>574</v>
      </c>
      <c r="CP1" t="s">
        <v>575</v>
      </c>
      <c r="CQ1" t="s">
        <v>576</v>
      </c>
      <c r="CR1" t="s">
        <v>587</v>
      </c>
      <c r="CS1" t="s">
        <v>588</v>
      </c>
      <c r="CT1" t="s">
        <v>577</v>
      </c>
      <c r="CU1" t="s">
        <v>709</v>
      </c>
    </row>
    <row r="2" spans="1:99">
      <c r="A2">
        <f>'Measured Data'!A7</f>
        <v>0</v>
      </c>
      <c r="B2" t="s">
        <v>582</v>
      </c>
      <c r="C2" s="324" t="s">
        <v>586</v>
      </c>
      <c r="D2">
        <v>1</v>
      </c>
      <c r="E2" t="s">
        <v>513</v>
      </c>
      <c r="F2" s="477">
        <f>'Growth Regression'!R2</f>
        <v>0.45625000000291038</v>
      </c>
      <c r="G2" s="477">
        <f>'Growth Regression'!S2</f>
        <v>10.950000000069849</v>
      </c>
      <c r="H2">
        <f>AVERAGE('TL input - regression'!L2:L3)</f>
        <v>33.470991807100511</v>
      </c>
      <c r="I2">
        <f>AVERAGE('TL input - regression'!M2:M3)</f>
        <v>0.9991119005328597</v>
      </c>
      <c r="J2">
        <f>AVERAGE('TL input - regression'!N2:N3)</f>
        <v>0</v>
      </c>
      <c r="K2">
        <f>AVERAGE('TL input - regression'!O2:O3)</f>
        <v>6.5404999999999998</v>
      </c>
      <c r="L2">
        <f>AVERAGE('TL input - regression'!P2:P3)</f>
        <v>1.9079999999999999</v>
      </c>
      <c r="M2">
        <f>'Growth Regression'!P2</f>
        <v>2.61377814069895E-2</v>
      </c>
      <c r="N2">
        <f>M2/'Growth Regression'!$O$24</f>
        <v>0.98472547910282948</v>
      </c>
      <c r="O2">
        <f>'Post Process Calc.'!C20</f>
        <v>-3.1743132469760522E-2</v>
      </c>
      <c r="P2">
        <f>'Post Process Calc.'!D20</f>
        <v>-7.6275798642896547E-2</v>
      </c>
      <c r="Q2">
        <f>'Post Process Calc.'!E20</f>
        <v>-1.6363427720700739E-2</v>
      </c>
      <c r="R2">
        <f>'Post Process Calc.'!F20</f>
        <v>6.8210324291244198E-2</v>
      </c>
      <c r="S2">
        <f>'Post Process Calc.'!G20</f>
        <v>6.9559044570637413E-2</v>
      </c>
      <c r="T2">
        <f>P2/O2</f>
        <v>2.4029071080353903</v>
      </c>
      <c r="U2">
        <f>O2/0.0016</f>
        <v>-19.839457793600324</v>
      </c>
      <c r="V2">
        <f>P2/0.0016</f>
        <v>-47.672374151810338</v>
      </c>
      <c r="W2">
        <f t="shared" ref="W2:Y13" si="0">Q2/0.0016</f>
        <v>-10.227142325437962</v>
      </c>
      <c r="X2">
        <f t="shared" si="0"/>
        <v>42.631452682027621</v>
      </c>
      <c r="Y2">
        <f t="shared" si="0"/>
        <v>43.474402856648382</v>
      </c>
      <c r="Z2">
        <v>100</v>
      </c>
      <c r="AA2">
        <v>0.32</v>
      </c>
      <c r="AB2">
        <v>7</v>
      </c>
      <c r="AC2">
        <v>0.7</v>
      </c>
      <c r="AD2">
        <f t="shared" ref="AD2:AD15" si="1">10^(-7.3)</f>
        <v>5.0118723362727164E-8</v>
      </c>
      <c r="AE2">
        <v>1</v>
      </c>
      <c r="AF2">
        <v>0.311</v>
      </c>
      <c r="AG2">
        <f t="array" ref="AG2">INDEX(Transcriptome!D$2:D$28,MATCH(1,(Transcriptome!$A$2:$A$28=$B2)*(Transcriptome!$C$2:$C$28=$E2),0))</f>
        <v>0.75120083781418034</v>
      </c>
      <c r="AH2">
        <f t="array" ref="AH2">INDEX(Transcriptome!E$2:E$28,MATCH(1,(Transcriptome!$A$2:$A$28=$B2)*(Transcriptome!$C$2:$C$28=$E2),0))</f>
        <v>1.3452090544846451</v>
      </c>
      <c r="AI2">
        <f t="array" ref="AI2">INDEX(Transcriptome!F$2:F$28,MATCH(1,(Transcriptome!$A$2:$A$28=$B2)*(Transcriptome!$C$2:$C$28=$E2),0))</f>
        <v>1.1599251488993827</v>
      </c>
      <c r="AJ2">
        <f t="array" ref="AJ2">INDEX(Transcriptome!G$2:G$28,MATCH(1,(Transcriptome!$A$2:$A$28=$B2)*(Transcriptome!$C$2:$C$28=$E2),0))</f>
        <v>0.70921905462414569</v>
      </c>
      <c r="AK2">
        <f t="array" ref="AK2">INDEX(Transcriptome!H$2:H$28,MATCH(1,(Transcriptome!$A$2:$A$28=$B2)*(Transcriptome!$C$2:$C$28=$E2),0))</f>
        <v>0</v>
      </c>
      <c r="AL2">
        <f t="array" ref="AL2">INDEX(Transcriptome!I$2:I$28,MATCH(1,(Transcriptome!$A$2:$A$28=$B2)*(Transcriptome!$C$2:$C$28=$E2),0))</f>
        <v>1.6282553995115943</v>
      </c>
      <c r="AM2">
        <f t="array" ref="AM2">INDEX(Transcriptome!J$2:J$28,MATCH(1,(Transcriptome!$A$2:$A$28=$B2)*(Transcriptome!$C$2:$C$28=$E2),0))</f>
        <v>1.0870691735149791</v>
      </c>
      <c r="AN2">
        <f t="array" ref="AN2">INDEX(Transcriptome!K$2:K$28,MATCH(1,(Transcriptome!$A$2:$A$28=$B2)*(Transcriptome!$C$2:$C$28=$E2),0))</f>
        <v>1.4630306834308657</v>
      </c>
      <c r="AO2">
        <f t="array" ref="AO2">INDEX(Transcriptome!L$2:L$28,MATCH(1,(Transcriptome!$A$2:$A$28=$B2)*(Transcriptome!$C$2:$C$28=$E2),0))</f>
        <v>1.0171797240321683</v>
      </c>
      <c r="AP2">
        <f t="array" ref="AP2">INDEX(Transcriptome!M$2:M$28,MATCH(1,(Transcriptome!$A$2:$A$28=$B2)*(Transcriptome!$C$2:$C$28=$E2),0))</f>
        <v>1.0744738748130889</v>
      </c>
      <c r="AQ2">
        <f t="array" ref="AQ2">INDEX(Transcriptome!N$2:N$28,MATCH(1,(Transcriptome!$A$2:$A$28=$B2)*(Transcriptome!$C$2:$C$28=$E2),0))</f>
        <v>1.2349088890793825</v>
      </c>
      <c r="AR2">
        <f t="array" ref="AR2">INDEX(Transcriptome!O$2:O$28,MATCH(1,(Transcriptome!$A$2:$A$28=$B2)*(Transcriptome!$C$2:$C$28=$E2),0))</f>
        <v>1.5128732832839087</v>
      </c>
      <c r="AS2">
        <f t="array" ref="AS2">INDEX(Transcriptome!P$2:P$28,MATCH(1,(Transcriptome!$A$2:$A$28=$B2)*(Transcriptome!$C$2:$C$28=$E2),0))</f>
        <v>1.418626571205134</v>
      </c>
      <c r="AT2">
        <f t="array" ref="AT2">INDEX(Transcriptome!Q$2:Q$28,MATCH(1,(Transcriptome!$A$2:$A$28=$B2)*(Transcriptome!$C$2:$C$28=$E2),0))</f>
        <v>0.75818627044108666</v>
      </c>
      <c r="AU2">
        <f t="array" ref="AU2">INDEX(Transcriptome!R$2:R$28,MATCH(1,(Transcriptome!$A$2:$A$28=$B2)*(Transcriptome!$C$2:$C$28=$E2),0))</f>
        <v>0.62222364572130617</v>
      </c>
      <c r="AV2">
        <f t="array" ref="AV2">INDEX(Transcriptome!S$2:S$28,MATCH(1,(Transcriptome!$A$2:$A$28=$B2)*(Transcriptome!$C$2:$C$28=$E2),0))</f>
        <v>0.45398180100126823</v>
      </c>
      <c r="AW2">
        <f t="array" ref="AW2">INDEX(Transcriptome!T$2:T$28,MATCH(1,(Transcriptome!$A$2:$A$28=$B2)*(Transcriptome!$C$2:$C$28=$E2),0))</f>
        <v>1.2443611151314311</v>
      </c>
      <c r="AX2">
        <f t="array" ref="AX2">INDEX(Transcriptome!U$2:U$28,MATCH(1,(Transcriptome!$A$2:$A$28=$B2)*(Transcriptome!$C$2:$C$28=$E2),0))</f>
        <v>3.4109020413139706</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1.1597576413818276</v>
      </c>
      <c r="BB2">
        <f t="array" ref="BB2">INDEX(Transcriptome!Y$2:Y$28,MATCH(1,(Transcriptome!$A$2:$A$28=$B2)*(Transcriptome!$C$2:$C$28=$E2),0))</f>
        <v>0</v>
      </c>
      <c r="BC2">
        <f t="array" ref="BC2">INDEX(Transcriptome!Z$2:Z$28,MATCH(1,(Transcriptome!$A$2:$A$28=$B2)*(Transcriptome!$C$2:$C$28=$E2),0))</f>
        <v>1.4224053459159063</v>
      </c>
      <c r="BD2">
        <f t="array" ref="BD2">INDEX(Transcriptome!AA$2:AA$28,MATCH(1,(Transcriptome!$A$2:$A$28=$B2)*(Transcriptome!$C$2:$C$28=$E2),0))</f>
        <v>1.0785765460349117</v>
      </c>
      <c r="BE2">
        <f t="array" ref="BE2">INDEX(Transcriptome!AB$2:AB$28,MATCH(1,(Transcriptome!$A$2:$A$28=$B2)*(Transcriptome!$C$2:$C$28=$E2),0))</f>
        <v>0.473674659694519</v>
      </c>
      <c r="BF2">
        <f t="array" ref="BF2">INDEX(Transcriptome!AC$2:AC$28,MATCH(1,(Transcriptome!$A$2:$A$28=$B2)*(Transcriptome!$C$2:$C$28=$E2),0))</f>
        <v>1.0599593993610694</v>
      </c>
      <c r="BG2">
        <f t="array" ref="BG2">INDEX(Transcriptome!AD$2:AD$28,MATCH(1,(Transcriptome!$A$2:$A$28=$B2)*(Transcriptome!$C$2:$C$28=$E2),0))</f>
        <v>1.2080921631861166</v>
      </c>
      <c r="BH2">
        <f t="array" ref="BH2">INDEX(Transcriptome!AE$2:AE$28,MATCH(1,(Transcriptome!$A$2:$A$28=$B2)*(Transcriptome!$C$2:$C$28=$E2),0))</f>
        <v>1.5382205274541896</v>
      </c>
      <c r="BI2">
        <f t="array" ref="BI2">INDEX(Transcriptome!AF$2:AF$28,MATCH(1,(Transcriptome!$A$2:$A$28=$B2)*(Transcriptome!$C$2:$C$28=$E2),0))</f>
        <v>0.8896276701542809</v>
      </c>
      <c r="BJ2">
        <f t="array" ref="BJ2">INDEX(Transcriptome!AG$2:AG$28,MATCH(1,(Transcriptome!$A$2:$A$28=$B2)*(Transcriptome!$C$2:$C$28=$E2),0))</f>
        <v>0.5163962964725155</v>
      </c>
      <c r="BK2">
        <f t="array" ref="BK2">INDEX(Transcriptome!AH$2:AH$28,MATCH(1,(Transcriptome!$A$2:$A$28=$B2)*(Transcriptome!$C$2:$C$28=$E2),0))</f>
        <v>2.1130256851285192</v>
      </c>
      <c r="BL2">
        <f t="array" ref="BL2">INDEX(Transcriptome!AI$2:AI$28,MATCH(1,(Transcriptome!$A$2:$A$28=$B2)*(Transcriptome!$C$2:$C$28=$E2),0))</f>
        <v>0.83004246210802102</v>
      </c>
      <c r="BM2">
        <f t="array" ref="BM2">INDEX(Transcriptome!AJ$2:AJ$28,MATCH(1,(Transcriptome!$A$2:$A$28=$B2)*(Transcriptome!$C$2:$C$28=$E2),0))</f>
        <v>0.91927335509585972</v>
      </c>
      <c r="BN2">
        <f t="array" ref="BN2">INDEX(Transcriptome!AK$2:AK$28,MATCH(1,(Transcriptome!$A$2:$A$28=$B2)*(Transcriptome!$C$2:$C$28=$E2),0))</f>
        <v>0.86442341502752595</v>
      </c>
      <c r="BO2">
        <f t="array" ref="BO2">INDEX(Transcriptome!AL$2:AL$28,MATCH(1,(Transcriptome!$A$2:$A$28=$B2)*(Transcriptome!$C$2:$C$28=$E2),0))</f>
        <v>1</v>
      </c>
      <c r="BP2">
        <f t="array" ref="BP2">INDEX(Transcriptome!AM$2:AM$28,MATCH(1,(Transcriptome!$A$2:$A$28=$B2)*(Transcriptome!$C$2:$C$28=$E2),0))</f>
        <v>0.77410003444406195</v>
      </c>
      <c r="BQ2">
        <f t="array" ref="BQ2">INDEX(Transcriptome!AN$2:AN$28,MATCH(1,(Transcriptome!$A$2:$A$28=$B2)*(Transcriptome!$C$2:$C$28=$E2),0))</f>
        <v>1.0525309554062177</v>
      </c>
      <c r="BR2">
        <f t="array" ref="BR2">INDEX(Transcriptome!AO$2:AO$28,MATCH(1,(Transcriptome!$A$2:$A$28=$B2)*(Transcriptome!$C$2:$C$28=$E2),0))</f>
        <v>1.2717687051722399</v>
      </c>
      <c r="BS2">
        <f t="array" ref="BS2">INDEX(Transcriptome!AP$2:AP$28,MATCH(1,(Transcriptome!$A$2:$A$28=$B2)*(Transcriptome!$C$2:$C$28=$E2),0))</f>
        <v>1.1267475274689782</v>
      </c>
      <c r="BT2">
        <f t="array" ref="BT2">INDEX(Transcriptome!AQ$2:AQ$28,MATCH(1,(Transcriptome!$A$2:$A$28=$B2)*(Transcriptome!$C$2:$C$28=$E2),0))</f>
        <v>1.4322233621409421</v>
      </c>
      <c r="BU2">
        <f t="array" ref="BU2">INDEX(Transcriptome!AR$2:AR$28,MATCH(1,(Transcriptome!$A$2:$A$28=$B2)*(Transcriptome!$C$2:$C$28=$E2),0))</f>
        <v>0.78466234379208444</v>
      </c>
      <c r="BV2">
        <f t="array" ref="BV2">INDEX(Transcriptome!AS$2:AS$28,MATCH(1,(Transcriptome!$A$2:$A$28=$B2)*(Transcriptome!$C$2:$C$28=$E2),0))</f>
        <v>1.0494434523058931</v>
      </c>
      <c r="BW2">
        <f t="array" ref="BW2">INDEX(Transcriptome!AT$2:AT$28,MATCH(1,(Transcriptome!$A$2:$A$28=$B2)*(Transcriptome!$C$2:$C$28=$E2),0))</f>
        <v>0.83007572688612297</v>
      </c>
      <c r="BX2">
        <f t="array" ref="BX2">INDEX(Transcriptome!AU$2:AU$28,MATCH(1,(Transcriptome!$A$2:$A$28=$B2)*(Transcriptome!$C$2:$C$28=$E2),0))</f>
        <v>1.7460276276240947</v>
      </c>
      <c r="BY2">
        <f t="array" ref="BY2">INDEX(Transcriptome!AV$2:AV$28,MATCH(1,(Transcriptome!$A$2:$A$28=$B2)*(Transcriptome!$C$2:$C$28=$E2),0))</f>
        <v>0.66402112588341244</v>
      </c>
      <c r="BZ2">
        <f t="array" ref="BZ2">INDEX(Transcriptome!AW$2:AW$28,MATCH(1,(Transcriptome!$A$2:$A$28=$B2)*(Transcriptome!$C$2:$C$28=$E2),0))</f>
        <v>0.81142190925227209</v>
      </c>
      <c r="CA2">
        <f t="array" ref="CA2">INDEX(Transcriptome!AX$2:AX$28,MATCH(1,(Transcriptome!$A$2:$A$28=$B2)*(Transcriptome!$C$2:$C$28=$E2),0))</f>
        <v>0.81666505828774349</v>
      </c>
      <c r="CB2">
        <f t="array" ref="CB2">INDEX(Transcriptome!AY$2:AY$28,MATCH(1,(Transcriptome!$A$2:$A$28=$B2)*(Transcriptome!$C$2:$C$28=$E2),0))</f>
        <v>0.95021814160116058</v>
      </c>
      <c r="CC2">
        <f t="array" ref="CC2">INDEX(Transcriptome!AZ$2:AZ$28,MATCH(1,(Transcriptome!$A$2:$A$28=$B2)*(Transcriptome!$C$2:$C$28=$E2),0))</f>
        <v>0.94937399788501819</v>
      </c>
      <c r="CD2">
        <f t="array" ref="CD2">INDEX(Transcriptome!BA$2:BA$28,MATCH(1,(Transcriptome!$A$2:$A$28=$B2)*(Transcriptome!$C$2:$C$28=$E2),0))</f>
        <v>1.8902342706959754</v>
      </c>
      <c r="CE2">
        <f t="array" ref="CE2">INDEX(Transcriptome!BB$2:BB$28,MATCH(1,(Transcriptome!$A$2:$A$28=$B2)*(Transcriptome!$C$2:$C$28=$E2),0))</f>
        <v>2.3470969042014311</v>
      </c>
      <c r="CF2">
        <f t="array" ref="CF2">INDEX(Transcriptome!BC$2:BC$28,MATCH(1,(Transcriptome!$A$2:$A$28=$B2)*(Transcriptome!$C$2:$C$28=$E2),0))</f>
        <v>0</v>
      </c>
      <c r="CG2">
        <f t="array" ref="CG2">INDEX(Transcriptome!BD$2:BD$28,MATCH(1,(Transcriptome!$A$2:$A$28=$B2)*(Transcriptome!$C$2:$C$28=$E2),0))</f>
        <v>1.5657670378943449</v>
      </c>
      <c r="CH2">
        <f t="array" ref="CH2">INDEX(Transcriptome!BE$2:BE$28,MATCH(1,(Transcriptome!$A$2:$A$28=$B2)*(Transcriptome!$C$2:$C$28=$E2),0))</f>
        <v>1.3747651173760067</v>
      </c>
      <c r="CI2">
        <f t="array" ref="CI2">INDEX(Transcriptome!BF$2:BF$28,MATCH(1,(Transcriptome!$A$2:$A$28=$B2)*(Transcriptome!$C$2:$C$28=$E2),0))</f>
        <v>1.643579659112117</v>
      </c>
      <c r="CJ2">
        <f t="array" ref="CJ2">INDEX(Transcriptome!BG$2:BG$28,MATCH(1,(Transcriptome!$A$2:$A$28=$B2)*(Transcriptome!$C$2:$C$28=$E2),0))</f>
        <v>2.3378670928049927</v>
      </c>
      <c r="CK2">
        <f t="array" ref="CK2">INDEX(Transcriptome!BH$2:BH$28,MATCH(1,(Transcriptome!$A$2:$A$28=$B2)*(Transcriptome!$C$2:$C$28=$E2),0))</f>
        <v>0.67281144000502036</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2.2087413434455483</v>
      </c>
      <c r="CO2">
        <f t="array" ref="CO2">INDEX(Transcriptome!BL$2:BL$28,MATCH(1,(Transcriptome!$A$2:$A$28=$B2)*(Transcriptome!$C$2:$C$28=$E2),0))</f>
        <v>1.8626260215226293</v>
      </c>
      <c r="CP2">
        <f t="array" ref="CP2">INDEX(Transcriptome!BM$2:BM$28,MATCH(1,(Transcriptome!$A$2:$A$28=$B2)*(Transcriptome!$C$2:$C$28=$E2),0))</f>
        <v>0.6498926544427488</v>
      </c>
      <c r="CQ2">
        <f t="array" ref="CQ2">INDEX(Transcriptome!BN$2:BN$28,MATCH(1,(Transcriptome!$A$2:$A$28=$B2)*(Transcriptome!$C$2:$C$28=$E2),0))</f>
        <v>30.252756592141139</v>
      </c>
      <c r="CR2">
        <f t="array" ref="CR2">INDEX(Transcriptome!BO$2:BO$28,MATCH(1,(Transcriptome!$A$2:$A$28=$B2)*(Transcriptome!$C$2:$C$28=$E2),0))</f>
        <v>1.8572773148073258</v>
      </c>
      <c r="CS2">
        <f t="array" ref="CS2">INDEX(Transcriptome!BP$2:BP$28,MATCH(1,(Transcriptome!$A$2:$A$28=$B2)*(Transcriptome!$C$2:$C$28=$E2),0))</f>
        <v>0.67281144000502036</v>
      </c>
      <c r="CT2">
        <f t="array" ref="CT2">INDEX(Transcriptome!BQ$2:BQ$28,MATCH(1,(Transcriptome!$A$2:$A$28=$B2)*(Transcriptome!$C$2:$C$28=$E2),0))</f>
        <v>1</v>
      </c>
      <c r="CU2">
        <f t="array" ref="CU2">INDEX(Transcriptome!BR$2:BR$28,MATCH(1,(Transcriptome!$A$2:$A$28=$B2)*(Transcriptome!$C$2:$C$28=$E2),0))</f>
        <v>1.2652823875258563</v>
      </c>
    </row>
    <row r="3" spans="1:99">
      <c r="A3">
        <f>'Measured Data'!A8</f>
        <v>1</v>
      </c>
      <c r="B3" t="s">
        <v>582</v>
      </c>
      <c r="C3" s="324" t="s">
        <v>586</v>
      </c>
      <c r="D3">
        <v>1</v>
      </c>
      <c r="E3" t="s">
        <v>513</v>
      </c>
      <c r="F3" s="477">
        <f>'Growth Regression'!R3</f>
        <v>1.4548611111131322</v>
      </c>
      <c r="G3" s="477">
        <f>'Growth Regression'!S3</f>
        <v>34.916666666715173</v>
      </c>
      <c r="H3">
        <f>AVERAGE('TL input - regression'!L3:L4)</f>
        <v>32.471857723306471</v>
      </c>
      <c r="I3">
        <f>AVERAGE('TL input - regression'!M3:M4)</f>
        <v>1.9427175843694495</v>
      </c>
      <c r="J3">
        <f>AVERAGE('TL input - regression'!N3:N4)</f>
        <v>0.16600000000000001</v>
      </c>
      <c r="K3">
        <f>AVERAGE('TL input - regression'!O3:O4)</f>
        <v>5.7744999999999997</v>
      </c>
      <c r="L3">
        <f>AVERAGE('TL input - regression'!P3:P4)</f>
        <v>1.875</v>
      </c>
      <c r="M3">
        <f>'Growth Regression'!P3</f>
        <v>2.5849252378696761E-2</v>
      </c>
      <c r="N3">
        <f>M3/'Growth Regression'!$O$24</f>
        <v>0.97385531834983363</v>
      </c>
      <c r="O3">
        <f>'Post Process Calc.'!C21</f>
        <v>8.6618527994357999E-2</v>
      </c>
      <c r="P3">
        <f>'Post Process Calc.'!D21</f>
        <v>6.7525886130626642E-2</v>
      </c>
      <c r="Q3">
        <f>'Post Process Calc.'!E21</f>
        <v>-1.4165038298557255E-2</v>
      </c>
      <c r="R3">
        <f>'Post Process Calc.'!F21</f>
        <v>9.5480416362657642E-3</v>
      </c>
      <c r="S3">
        <f>'Post Process Calc.'!G21</f>
        <v>1.0469630871844358E-2</v>
      </c>
      <c r="T3">
        <f t="shared" ref="T3:T13" si="2">P3/O3</f>
        <v>0.77957785353989184</v>
      </c>
      <c r="U3">
        <f>O3/0.0016</f>
        <v>54.136579996473749</v>
      </c>
      <c r="V3">
        <f t="shared" ref="V3" si="3">P3/0.0016</f>
        <v>42.203678831641646</v>
      </c>
      <c r="W3">
        <f t="shared" si="0"/>
        <v>-8.8531489365982843</v>
      </c>
      <c r="X3">
        <f t="shared" si="0"/>
        <v>5.9675260226661022</v>
      </c>
      <c r="Y3">
        <f t="shared" si="0"/>
        <v>6.5435192949027234</v>
      </c>
      <c r="Z3">
        <v>100</v>
      </c>
      <c r="AA3">
        <v>0.32</v>
      </c>
      <c r="AB3">
        <v>7</v>
      </c>
      <c r="AC3">
        <v>0.7</v>
      </c>
      <c r="AD3">
        <f t="shared" si="1"/>
        <v>5.0118723362727164E-8</v>
      </c>
      <c r="AE3">
        <v>1</v>
      </c>
      <c r="AF3">
        <v>0.311</v>
      </c>
      <c r="AG3">
        <f t="array" ref="AG3">INDEX(Transcriptome!D$2:D$28,MATCH(1,(Transcriptome!$A$2:$A$28=$B3)*(Transcriptome!$C$2:$C$28=$E3),0))</f>
        <v>0.75120083781418034</v>
      </c>
      <c r="AH3">
        <f t="array" ref="AH3">INDEX(Transcriptome!E$2:E$28,MATCH(1,(Transcriptome!$A$2:$A$28=$B3)*(Transcriptome!$C$2:$C$28=$E3),0))</f>
        <v>1.3452090544846451</v>
      </c>
      <c r="AI3">
        <f t="array" ref="AI3">INDEX(Transcriptome!F$2:F$28,MATCH(1,(Transcriptome!$A$2:$A$28=$B3)*(Transcriptome!$C$2:$C$28=$E3),0))</f>
        <v>1.1599251488993827</v>
      </c>
      <c r="AJ3">
        <f t="array" ref="AJ3">INDEX(Transcriptome!G$2:G$28,MATCH(1,(Transcriptome!$A$2:$A$28=$B3)*(Transcriptome!$C$2:$C$28=$E3),0))</f>
        <v>0.70921905462414569</v>
      </c>
      <c r="AK3">
        <f t="array" ref="AK3">INDEX(Transcriptome!H$2:H$28,MATCH(1,(Transcriptome!$A$2:$A$28=$B3)*(Transcriptome!$C$2:$C$28=$E3),0))</f>
        <v>0</v>
      </c>
      <c r="AL3">
        <f t="array" ref="AL3">INDEX(Transcriptome!I$2:I$28,MATCH(1,(Transcriptome!$A$2:$A$28=$B3)*(Transcriptome!$C$2:$C$28=$E3),0))</f>
        <v>1.6282553995115943</v>
      </c>
      <c r="AM3">
        <f t="array" ref="AM3">INDEX(Transcriptome!J$2:J$28,MATCH(1,(Transcriptome!$A$2:$A$28=$B3)*(Transcriptome!$C$2:$C$28=$E3),0))</f>
        <v>1.0870691735149791</v>
      </c>
      <c r="AN3">
        <f t="array" ref="AN3">INDEX(Transcriptome!K$2:K$28,MATCH(1,(Transcriptome!$A$2:$A$28=$B3)*(Transcriptome!$C$2:$C$28=$E3),0))</f>
        <v>1.4630306834308657</v>
      </c>
      <c r="AO3">
        <f t="array" ref="AO3">INDEX(Transcriptome!L$2:L$28,MATCH(1,(Transcriptome!$A$2:$A$28=$B3)*(Transcriptome!$C$2:$C$28=$E3),0))</f>
        <v>1.0171797240321683</v>
      </c>
      <c r="AP3">
        <f t="array" ref="AP3">INDEX(Transcriptome!M$2:M$28,MATCH(1,(Transcriptome!$A$2:$A$28=$B3)*(Transcriptome!$C$2:$C$28=$E3),0))</f>
        <v>1.0744738748130889</v>
      </c>
      <c r="AQ3">
        <f t="array" ref="AQ3">INDEX(Transcriptome!N$2:N$28,MATCH(1,(Transcriptome!$A$2:$A$28=$B3)*(Transcriptome!$C$2:$C$28=$E3),0))</f>
        <v>1.2349088890793825</v>
      </c>
      <c r="AR3">
        <f t="array" ref="AR3">INDEX(Transcriptome!O$2:O$28,MATCH(1,(Transcriptome!$A$2:$A$28=$B3)*(Transcriptome!$C$2:$C$28=$E3),0))</f>
        <v>1.5128732832839087</v>
      </c>
      <c r="AS3">
        <f t="array" ref="AS3">INDEX(Transcriptome!P$2:P$28,MATCH(1,(Transcriptome!$A$2:$A$28=$B3)*(Transcriptome!$C$2:$C$28=$E3),0))</f>
        <v>1.418626571205134</v>
      </c>
      <c r="AT3">
        <f t="array" ref="AT3">INDEX(Transcriptome!Q$2:Q$28,MATCH(1,(Transcriptome!$A$2:$A$28=$B3)*(Transcriptome!$C$2:$C$28=$E3),0))</f>
        <v>0.75818627044108666</v>
      </c>
      <c r="AU3">
        <f t="array" ref="AU3">INDEX(Transcriptome!R$2:R$28,MATCH(1,(Transcriptome!$A$2:$A$28=$B3)*(Transcriptome!$C$2:$C$28=$E3),0))</f>
        <v>0.62222364572130617</v>
      </c>
      <c r="AV3">
        <f t="array" ref="AV3">INDEX(Transcriptome!S$2:S$28,MATCH(1,(Transcriptome!$A$2:$A$28=$B3)*(Transcriptome!$C$2:$C$28=$E3),0))</f>
        <v>0.45398180100126823</v>
      </c>
      <c r="AW3">
        <f t="array" ref="AW3">INDEX(Transcriptome!T$2:T$28,MATCH(1,(Transcriptome!$A$2:$A$28=$B3)*(Transcriptome!$C$2:$C$28=$E3),0))</f>
        <v>1.2443611151314311</v>
      </c>
      <c r="AX3">
        <f t="array" ref="AX3">INDEX(Transcriptome!U$2:U$28,MATCH(1,(Transcriptome!$A$2:$A$28=$B3)*(Transcriptome!$C$2:$C$28=$E3),0))</f>
        <v>3.4109020413139706</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1.1597576413818276</v>
      </c>
      <c r="BB3">
        <f t="array" ref="BB3">INDEX(Transcriptome!Y$2:Y$28,MATCH(1,(Transcriptome!$A$2:$A$28=$B3)*(Transcriptome!$C$2:$C$28=$E3),0))</f>
        <v>0</v>
      </c>
      <c r="BC3">
        <f t="array" ref="BC3">INDEX(Transcriptome!Z$2:Z$28,MATCH(1,(Transcriptome!$A$2:$A$28=$B3)*(Transcriptome!$C$2:$C$28=$E3),0))</f>
        <v>1.4224053459159063</v>
      </c>
      <c r="BD3">
        <f t="array" ref="BD3">INDEX(Transcriptome!AA$2:AA$28,MATCH(1,(Transcriptome!$A$2:$A$28=$B3)*(Transcriptome!$C$2:$C$28=$E3),0))</f>
        <v>1.0785765460349117</v>
      </c>
      <c r="BE3">
        <f t="array" ref="BE3">INDEX(Transcriptome!AB$2:AB$28,MATCH(1,(Transcriptome!$A$2:$A$28=$B3)*(Transcriptome!$C$2:$C$28=$E3),0))</f>
        <v>0.473674659694519</v>
      </c>
      <c r="BF3">
        <f t="array" ref="BF3">INDEX(Transcriptome!AC$2:AC$28,MATCH(1,(Transcriptome!$A$2:$A$28=$B3)*(Transcriptome!$C$2:$C$28=$E3),0))</f>
        <v>1.0599593993610694</v>
      </c>
      <c r="BG3">
        <f t="array" ref="BG3">INDEX(Transcriptome!AD$2:AD$28,MATCH(1,(Transcriptome!$A$2:$A$28=$B3)*(Transcriptome!$C$2:$C$28=$E3),0))</f>
        <v>1.2080921631861166</v>
      </c>
      <c r="BH3">
        <f t="array" ref="BH3">INDEX(Transcriptome!AE$2:AE$28,MATCH(1,(Transcriptome!$A$2:$A$28=$B3)*(Transcriptome!$C$2:$C$28=$E3),0))</f>
        <v>1.5382205274541896</v>
      </c>
      <c r="BI3">
        <f t="array" ref="BI3">INDEX(Transcriptome!AF$2:AF$28,MATCH(1,(Transcriptome!$A$2:$A$28=$B3)*(Transcriptome!$C$2:$C$28=$E3),0))</f>
        <v>0.8896276701542809</v>
      </c>
      <c r="BJ3">
        <f t="array" ref="BJ3">INDEX(Transcriptome!AG$2:AG$28,MATCH(1,(Transcriptome!$A$2:$A$28=$B3)*(Transcriptome!$C$2:$C$28=$E3),0))</f>
        <v>0.5163962964725155</v>
      </c>
      <c r="BK3">
        <f t="array" ref="BK3">INDEX(Transcriptome!AH$2:AH$28,MATCH(1,(Transcriptome!$A$2:$A$28=$B3)*(Transcriptome!$C$2:$C$28=$E3),0))</f>
        <v>2.1130256851285192</v>
      </c>
      <c r="BL3">
        <f t="array" ref="BL3">INDEX(Transcriptome!AI$2:AI$28,MATCH(1,(Transcriptome!$A$2:$A$28=$B3)*(Transcriptome!$C$2:$C$28=$E3),0))</f>
        <v>0.83004246210802102</v>
      </c>
      <c r="BM3">
        <f t="array" ref="BM3">INDEX(Transcriptome!AJ$2:AJ$28,MATCH(1,(Transcriptome!$A$2:$A$28=$B3)*(Transcriptome!$C$2:$C$28=$E3),0))</f>
        <v>0.91927335509585972</v>
      </c>
      <c r="BN3">
        <f t="array" ref="BN3">INDEX(Transcriptome!AK$2:AK$28,MATCH(1,(Transcriptome!$A$2:$A$28=$B3)*(Transcriptome!$C$2:$C$28=$E3),0))</f>
        <v>0.86442341502752595</v>
      </c>
      <c r="BO3">
        <f t="array" ref="BO3">INDEX(Transcriptome!AL$2:AL$28,MATCH(1,(Transcriptome!$A$2:$A$28=$B3)*(Transcriptome!$C$2:$C$28=$E3),0))</f>
        <v>1</v>
      </c>
      <c r="BP3">
        <f t="array" ref="BP3">INDEX(Transcriptome!AM$2:AM$28,MATCH(1,(Transcriptome!$A$2:$A$28=$B3)*(Transcriptome!$C$2:$C$28=$E3),0))</f>
        <v>0.77410003444406195</v>
      </c>
      <c r="BQ3">
        <f t="array" ref="BQ3">INDEX(Transcriptome!AN$2:AN$28,MATCH(1,(Transcriptome!$A$2:$A$28=$B3)*(Transcriptome!$C$2:$C$28=$E3),0))</f>
        <v>1.0525309554062177</v>
      </c>
      <c r="BR3">
        <f t="array" ref="BR3">INDEX(Transcriptome!AO$2:AO$28,MATCH(1,(Transcriptome!$A$2:$A$28=$B3)*(Transcriptome!$C$2:$C$28=$E3),0))</f>
        <v>1.2717687051722399</v>
      </c>
      <c r="BS3">
        <f t="array" ref="BS3">INDEX(Transcriptome!AP$2:AP$28,MATCH(1,(Transcriptome!$A$2:$A$28=$B3)*(Transcriptome!$C$2:$C$28=$E3),0))</f>
        <v>1.1267475274689782</v>
      </c>
      <c r="BT3">
        <f t="array" ref="BT3">INDEX(Transcriptome!AQ$2:AQ$28,MATCH(1,(Transcriptome!$A$2:$A$28=$B3)*(Transcriptome!$C$2:$C$28=$E3),0))</f>
        <v>1.4322233621409421</v>
      </c>
      <c r="BU3">
        <f t="array" ref="BU3">INDEX(Transcriptome!AR$2:AR$28,MATCH(1,(Transcriptome!$A$2:$A$28=$B3)*(Transcriptome!$C$2:$C$28=$E3),0))</f>
        <v>0.78466234379208444</v>
      </c>
      <c r="BV3">
        <f t="array" ref="BV3">INDEX(Transcriptome!AS$2:AS$28,MATCH(1,(Transcriptome!$A$2:$A$28=$B3)*(Transcriptome!$C$2:$C$28=$E3),0))</f>
        <v>1.0494434523058931</v>
      </c>
      <c r="BW3">
        <f t="array" ref="BW3">INDEX(Transcriptome!AT$2:AT$28,MATCH(1,(Transcriptome!$A$2:$A$28=$B3)*(Transcriptome!$C$2:$C$28=$E3),0))</f>
        <v>0.83007572688612297</v>
      </c>
      <c r="BX3">
        <f t="array" ref="BX3">INDEX(Transcriptome!AU$2:AU$28,MATCH(1,(Transcriptome!$A$2:$A$28=$B3)*(Transcriptome!$C$2:$C$28=$E3),0))</f>
        <v>1.7460276276240947</v>
      </c>
      <c r="BY3">
        <f t="array" ref="BY3">INDEX(Transcriptome!AV$2:AV$28,MATCH(1,(Transcriptome!$A$2:$A$28=$B3)*(Transcriptome!$C$2:$C$28=$E3),0))</f>
        <v>0.66402112588341244</v>
      </c>
      <c r="BZ3">
        <f t="array" ref="BZ3">INDEX(Transcriptome!AW$2:AW$28,MATCH(1,(Transcriptome!$A$2:$A$28=$B3)*(Transcriptome!$C$2:$C$28=$E3),0))</f>
        <v>0.81142190925227209</v>
      </c>
      <c r="CA3">
        <f t="array" ref="CA3">INDEX(Transcriptome!AX$2:AX$28,MATCH(1,(Transcriptome!$A$2:$A$28=$B3)*(Transcriptome!$C$2:$C$28=$E3),0))</f>
        <v>0.81666505828774349</v>
      </c>
      <c r="CB3">
        <f t="array" ref="CB3">INDEX(Transcriptome!AY$2:AY$28,MATCH(1,(Transcriptome!$A$2:$A$28=$B3)*(Transcriptome!$C$2:$C$28=$E3),0))</f>
        <v>0.95021814160116058</v>
      </c>
      <c r="CC3">
        <f t="array" ref="CC3">INDEX(Transcriptome!AZ$2:AZ$28,MATCH(1,(Transcriptome!$A$2:$A$28=$B3)*(Transcriptome!$C$2:$C$28=$E3),0))</f>
        <v>0.94937399788501819</v>
      </c>
      <c r="CD3">
        <f t="array" ref="CD3">INDEX(Transcriptome!BA$2:BA$28,MATCH(1,(Transcriptome!$A$2:$A$28=$B3)*(Transcriptome!$C$2:$C$28=$E3),0))</f>
        <v>1.8902342706959754</v>
      </c>
      <c r="CE3">
        <f t="array" ref="CE3">INDEX(Transcriptome!BB$2:BB$28,MATCH(1,(Transcriptome!$A$2:$A$28=$B3)*(Transcriptome!$C$2:$C$28=$E3),0))</f>
        <v>2.3470969042014311</v>
      </c>
      <c r="CF3">
        <f t="array" ref="CF3">INDEX(Transcriptome!BC$2:BC$28,MATCH(1,(Transcriptome!$A$2:$A$28=$B3)*(Transcriptome!$C$2:$C$28=$E3),0))</f>
        <v>0</v>
      </c>
      <c r="CG3">
        <f t="array" ref="CG3">INDEX(Transcriptome!BD$2:BD$28,MATCH(1,(Transcriptome!$A$2:$A$28=$B3)*(Transcriptome!$C$2:$C$28=$E3),0))</f>
        <v>1.5657670378943449</v>
      </c>
      <c r="CH3">
        <f t="array" ref="CH3">INDEX(Transcriptome!BE$2:BE$28,MATCH(1,(Transcriptome!$A$2:$A$28=$B3)*(Transcriptome!$C$2:$C$28=$E3),0))</f>
        <v>1.3747651173760067</v>
      </c>
      <c r="CI3">
        <f t="array" ref="CI3">INDEX(Transcriptome!BF$2:BF$28,MATCH(1,(Transcriptome!$A$2:$A$28=$B3)*(Transcriptome!$C$2:$C$28=$E3),0))</f>
        <v>1.643579659112117</v>
      </c>
      <c r="CJ3">
        <f t="array" ref="CJ3">INDEX(Transcriptome!BG$2:BG$28,MATCH(1,(Transcriptome!$A$2:$A$28=$B3)*(Transcriptome!$C$2:$C$28=$E3),0))</f>
        <v>2.3378670928049927</v>
      </c>
      <c r="CK3">
        <f t="array" ref="CK3">INDEX(Transcriptome!BH$2:BH$28,MATCH(1,(Transcriptome!$A$2:$A$28=$B3)*(Transcriptome!$C$2:$C$28=$E3),0))</f>
        <v>0.67281144000502036</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2.2087413434455483</v>
      </c>
      <c r="CO3">
        <f t="array" ref="CO3">INDEX(Transcriptome!BL$2:BL$28,MATCH(1,(Transcriptome!$A$2:$A$28=$B3)*(Transcriptome!$C$2:$C$28=$E3),0))</f>
        <v>1.8626260215226293</v>
      </c>
      <c r="CP3">
        <f t="array" ref="CP3">INDEX(Transcriptome!BM$2:BM$28,MATCH(1,(Transcriptome!$A$2:$A$28=$B3)*(Transcriptome!$C$2:$C$28=$E3),0))</f>
        <v>0.6498926544427488</v>
      </c>
      <c r="CQ3">
        <f t="array" ref="CQ3">INDEX(Transcriptome!BN$2:BN$28,MATCH(1,(Transcriptome!$A$2:$A$28=$B3)*(Transcriptome!$C$2:$C$28=$E3),0))</f>
        <v>30.252756592141139</v>
      </c>
      <c r="CR3">
        <f t="array" ref="CR3">INDEX(Transcriptome!BO$2:BO$28,MATCH(1,(Transcriptome!$A$2:$A$28=$B3)*(Transcriptome!$C$2:$C$28=$E3),0))</f>
        <v>1.8572773148073258</v>
      </c>
      <c r="CS3">
        <f t="array" ref="CS3">INDEX(Transcriptome!BP$2:BP$28,MATCH(1,(Transcriptome!$A$2:$A$28=$B3)*(Transcriptome!$C$2:$C$28=$E3),0))</f>
        <v>0.67281144000502036</v>
      </c>
      <c r="CT3">
        <f t="array" ref="CT3">INDEX(Transcriptome!BQ$2:BQ$28,MATCH(1,(Transcriptome!$A$2:$A$28=$B3)*(Transcriptome!$C$2:$C$28=$E3),0))</f>
        <v>1</v>
      </c>
      <c r="CU3">
        <f t="array" ref="CU3">INDEX(Transcriptome!BR$2:BR$28,MATCH(1,(Transcriptome!$A$2:$A$28=$B3)*(Transcriptome!$C$2:$C$28=$E3),0))</f>
        <v>1.2652823875258563</v>
      </c>
    </row>
    <row r="4" spans="1:99">
      <c r="A4">
        <f>'Measured Data'!A9</f>
        <v>2</v>
      </c>
      <c r="B4" t="s">
        <v>582</v>
      </c>
      <c r="C4" s="324" t="s">
        <v>586</v>
      </c>
      <c r="D4">
        <v>1</v>
      </c>
      <c r="E4" t="s">
        <v>513</v>
      </c>
      <c r="F4" s="477">
        <f>'Growth Regression'!R4</f>
        <v>2.4916666666686069</v>
      </c>
      <c r="G4" s="477">
        <f>'Growth Regression'!S4</f>
        <v>59.800000000046566</v>
      </c>
      <c r="H4">
        <f>AVERAGE('TL input - regression'!L4:L5)</f>
        <v>30.945402873065564</v>
      </c>
      <c r="I4">
        <f>AVERAGE('TL input - regression'!M4:M5)</f>
        <v>2.9973357015985793</v>
      </c>
      <c r="J4">
        <f>AVERAGE('TL input - regression'!N4:N5)</f>
        <v>0.34399999999999997</v>
      </c>
      <c r="K4">
        <f>AVERAGE('TL input - regression'!O4:O5)</f>
        <v>4.8494999999999999</v>
      </c>
      <c r="L4">
        <f>AVERAGE('TL input - regression'!P4:P5)</f>
        <v>1.7565</v>
      </c>
      <c r="M4">
        <f>'Growth Regression'!P4</f>
        <v>2.5150830105033578E-2</v>
      </c>
      <c r="N4">
        <f>M4/'Growth Regression'!$O$24</f>
        <v>0.94754267163586459</v>
      </c>
      <c r="O4">
        <f>'Post Process Calc.'!C22</f>
        <v>0.10474980475284927</v>
      </c>
      <c r="P4">
        <f>'Post Process Calc.'!D22</f>
        <v>7.3787039022381137E-2</v>
      </c>
      <c r="Q4">
        <f>'Post Process Calc.'!E22</f>
        <v>-3.8057943766748909E-3</v>
      </c>
      <c r="R4">
        <f>'Post Process Calc.'!F22</f>
        <v>-3.5288505103937384E-4</v>
      </c>
      <c r="S4">
        <f>'Post Process Calc.'!G22</f>
        <v>-4.6196812616518933E-3</v>
      </c>
      <c r="T4">
        <f t="shared" si="2"/>
        <v>0.70441218670027239</v>
      </c>
      <c r="U4">
        <f t="shared" ref="U4:V13" si="4">O4/0.0016</f>
        <v>65.46862797053079</v>
      </c>
      <c r="V4">
        <f t="shared" si="4"/>
        <v>46.116899388988209</v>
      </c>
      <c r="W4">
        <f t="shared" si="0"/>
        <v>-2.3786214854218066</v>
      </c>
      <c r="X4">
        <f t="shared" si="0"/>
        <v>-0.22055315689960864</v>
      </c>
      <c r="Y4">
        <f t="shared" si="0"/>
        <v>-2.8873007885324333</v>
      </c>
      <c r="Z4">
        <v>100</v>
      </c>
      <c r="AA4">
        <v>0.32</v>
      </c>
      <c r="AB4">
        <v>7</v>
      </c>
      <c r="AC4">
        <v>0.7</v>
      </c>
      <c r="AD4">
        <f t="shared" si="1"/>
        <v>5.0118723362727164E-8</v>
      </c>
      <c r="AE4">
        <v>1</v>
      </c>
      <c r="AF4">
        <v>0.311</v>
      </c>
      <c r="AG4">
        <f t="array" ref="AG4">INDEX(Transcriptome!D$2:D$28,MATCH(1,(Transcriptome!$A$2:$A$28=$B4)*(Transcriptome!$C$2:$C$28=$E4),0))</f>
        <v>0.75120083781418034</v>
      </c>
      <c r="AH4">
        <f t="array" ref="AH4">INDEX(Transcriptome!E$2:E$28,MATCH(1,(Transcriptome!$A$2:$A$28=$B4)*(Transcriptome!$C$2:$C$28=$E4),0))</f>
        <v>1.3452090544846451</v>
      </c>
      <c r="AI4">
        <f t="array" ref="AI4">INDEX(Transcriptome!F$2:F$28,MATCH(1,(Transcriptome!$A$2:$A$28=$B4)*(Transcriptome!$C$2:$C$28=$E4),0))</f>
        <v>1.1599251488993827</v>
      </c>
      <c r="AJ4">
        <f t="array" ref="AJ4">INDEX(Transcriptome!G$2:G$28,MATCH(1,(Transcriptome!$A$2:$A$28=$B4)*(Transcriptome!$C$2:$C$28=$E4),0))</f>
        <v>0.70921905462414569</v>
      </c>
      <c r="AK4">
        <f t="array" ref="AK4">INDEX(Transcriptome!H$2:H$28,MATCH(1,(Transcriptome!$A$2:$A$28=$B4)*(Transcriptome!$C$2:$C$28=$E4),0))</f>
        <v>0</v>
      </c>
      <c r="AL4">
        <f t="array" ref="AL4">INDEX(Transcriptome!I$2:I$28,MATCH(1,(Transcriptome!$A$2:$A$28=$B4)*(Transcriptome!$C$2:$C$28=$E4),0))</f>
        <v>1.6282553995115943</v>
      </c>
      <c r="AM4">
        <f t="array" ref="AM4">INDEX(Transcriptome!J$2:J$28,MATCH(1,(Transcriptome!$A$2:$A$28=$B4)*(Transcriptome!$C$2:$C$28=$E4),0))</f>
        <v>1.0870691735149791</v>
      </c>
      <c r="AN4">
        <f t="array" ref="AN4">INDEX(Transcriptome!K$2:K$28,MATCH(1,(Transcriptome!$A$2:$A$28=$B4)*(Transcriptome!$C$2:$C$28=$E4),0))</f>
        <v>1.4630306834308657</v>
      </c>
      <c r="AO4">
        <f t="array" ref="AO4">INDEX(Transcriptome!L$2:L$28,MATCH(1,(Transcriptome!$A$2:$A$28=$B4)*(Transcriptome!$C$2:$C$28=$E4),0))</f>
        <v>1.0171797240321683</v>
      </c>
      <c r="AP4">
        <f t="array" ref="AP4">INDEX(Transcriptome!M$2:M$28,MATCH(1,(Transcriptome!$A$2:$A$28=$B4)*(Transcriptome!$C$2:$C$28=$E4),0))</f>
        <v>1.0744738748130889</v>
      </c>
      <c r="AQ4">
        <f t="array" ref="AQ4">INDEX(Transcriptome!N$2:N$28,MATCH(1,(Transcriptome!$A$2:$A$28=$B4)*(Transcriptome!$C$2:$C$28=$E4),0))</f>
        <v>1.2349088890793825</v>
      </c>
      <c r="AR4">
        <f t="array" ref="AR4">INDEX(Transcriptome!O$2:O$28,MATCH(1,(Transcriptome!$A$2:$A$28=$B4)*(Transcriptome!$C$2:$C$28=$E4),0))</f>
        <v>1.5128732832839087</v>
      </c>
      <c r="AS4">
        <f t="array" ref="AS4">INDEX(Transcriptome!P$2:P$28,MATCH(1,(Transcriptome!$A$2:$A$28=$B4)*(Transcriptome!$C$2:$C$28=$E4),0))</f>
        <v>1.418626571205134</v>
      </c>
      <c r="AT4">
        <f t="array" ref="AT4">INDEX(Transcriptome!Q$2:Q$28,MATCH(1,(Transcriptome!$A$2:$A$28=$B4)*(Transcriptome!$C$2:$C$28=$E4),0))</f>
        <v>0.75818627044108666</v>
      </c>
      <c r="AU4">
        <f t="array" ref="AU4">INDEX(Transcriptome!R$2:R$28,MATCH(1,(Transcriptome!$A$2:$A$28=$B4)*(Transcriptome!$C$2:$C$28=$E4),0))</f>
        <v>0.62222364572130617</v>
      </c>
      <c r="AV4">
        <f t="array" ref="AV4">INDEX(Transcriptome!S$2:S$28,MATCH(1,(Transcriptome!$A$2:$A$28=$B4)*(Transcriptome!$C$2:$C$28=$E4),0))</f>
        <v>0.45398180100126823</v>
      </c>
      <c r="AW4">
        <f t="array" ref="AW4">INDEX(Transcriptome!T$2:T$28,MATCH(1,(Transcriptome!$A$2:$A$28=$B4)*(Transcriptome!$C$2:$C$28=$E4),0))</f>
        <v>1.2443611151314311</v>
      </c>
      <c r="AX4">
        <f t="array" ref="AX4">INDEX(Transcriptome!U$2:U$28,MATCH(1,(Transcriptome!$A$2:$A$28=$B4)*(Transcriptome!$C$2:$C$28=$E4),0))</f>
        <v>3.4109020413139706</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1.1597576413818276</v>
      </c>
      <c r="BB4">
        <f t="array" ref="BB4">INDEX(Transcriptome!Y$2:Y$28,MATCH(1,(Transcriptome!$A$2:$A$28=$B4)*(Transcriptome!$C$2:$C$28=$E4),0))</f>
        <v>0</v>
      </c>
      <c r="BC4">
        <f t="array" ref="BC4">INDEX(Transcriptome!Z$2:Z$28,MATCH(1,(Transcriptome!$A$2:$A$28=$B4)*(Transcriptome!$C$2:$C$28=$E4),0))</f>
        <v>1.4224053459159063</v>
      </c>
      <c r="BD4">
        <f t="array" ref="BD4">INDEX(Transcriptome!AA$2:AA$28,MATCH(1,(Transcriptome!$A$2:$A$28=$B4)*(Transcriptome!$C$2:$C$28=$E4),0))</f>
        <v>1.0785765460349117</v>
      </c>
      <c r="BE4">
        <f t="array" ref="BE4">INDEX(Transcriptome!AB$2:AB$28,MATCH(1,(Transcriptome!$A$2:$A$28=$B4)*(Transcriptome!$C$2:$C$28=$E4),0))</f>
        <v>0.473674659694519</v>
      </c>
      <c r="BF4">
        <f t="array" ref="BF4">INDEX(Transcriptome!AC$2:AC$28,MATCH(1,(Transcriptome!$A$2:$A$28=$B4)*(Transcriptome!$C$2:$C$28=$E4),0))</f>
        <v>1.0599593993610694</v>
      </c>
      <c r="BG4">
        <f t="array" ref="BG4">INDEX(Transcriptome!AD$2:AD$28,MATCH(1,(Transcriptome!$A$2:$A$28=$B4)*(Transcriptome!$C$2:$C$28=$E4),0))</f>
        <v>1.2080921631861166</v>
      </c>
      <c r="BH4">
        <f t="array" ref="BH4">INDEX(Transcriptome!AE$2:AE$28,MATCH(1,(Transcriptome!$A$2:$A$28=$B4)*(Transcriptome!$C$2:$C$28=$E4),0))</f>
        <v>1.5382205274541896</v>
      </c>
      <c r="BI4">
        <f t="array" ref="BI4">INDEX(Transcriptome!AF$2:AF$28,MATCH(1,(Transcriptome!$A$2:$A$28=$B4)*(Transcriptome!$C$2:$C$28=$E4),0))</f>
        <v>0.8896276701542809</v>
      </c>
      <c r="BJ4">
        <f t="array" ref="BJ4">INDEX(Transcriptome!AG$2:AG$28,MATCH(1,(Transcriptome!$A$2:$A$28=$B4)*(Transcriptome!$C$2:$C$28=$E4),0))</f>
        <v>0.5163962964725155</v>
      </c>
      <c r="BK4">
        <f t="array" ref="BK4">INDEX(Transcriptome!AH$2:AH$28,MATCH(1,(Transcriptome!$A$2:$A$28=$B4)*(Transcriptome!$C$2:$C$28=$E4),0))</f>
        <v>2.1130256851285192</v>
      </c>
      <c r="BL4">
        <f t="array" ref="BL4">INDEX(Transcriptome!AI$2:AI$28,MATCH(1,(Transcriptome!$A$2:$A$28=$B4)*(Transcriptome!$C$2:$C$28=$E4),0))</f>
        <v>0.83004246210802102</v>
      </c>
      <c r="BM4">
        <f t="array" ref="BM4">INDEX(Transcriptome!AJ$2:AJ$28,MATCH(1,(Transcriptome!$A$2:$A$28=$B4)*(Transcriptome!$C$2:$C$28=$E4),0))</f>
        <v>0.91927335509585972</v>
      </c>
      <c r="BN4">
        <f t="array" ref="BN4">INDEX(Transcriptome!AK$2:AK$28,MATCH(1,(Transcriptome!$A$2:$A$28=$B4)*(Transcriptome!$C$2:$C$28=$E4),0))</f>
        <v>0.86442341502752595</v>
      </c>
      <c r="BO4">
        <f t="array" ref="BO4">INDEX(Transcriptome!AL$2:AL$28,MATCH(1,(Transcriptome!$A$2:$A$28=$B4)*(Transcriptome!$C$2:$C$28=$E4),0))</f>
        <v>1</v>
      </c>
      <c r="BP4">
        <f t="array" ref="BP4">INDEX(Transcriptome!AM$2:AM$28,MATCH(1,(Transcriptome!$A$2:$A$28=$B4)*(Transcriptome!$C$2:$C$28=$E4),0))</f>
        <v>0.77410003444406195</v>
      </c>
      <c r="BQ4">
        <f t="array" ref="BQ4">INDEX(Transcriptome!AN$2:AN$28,MATCH(1,(Transcriptome!$A$2:$A$28=$B4)*(Transcriptome!$C$2:$C$28=$E4),0))</f>
        <v>1.0525309554062177</v>
      </c>
      <c r="BR4">
        <f t="array" ref="BR4">INDEX(Transcriptome!AO$2:AO$28,MATCH(1,(Transcriptome!$A$2:$A$28=$B4)*(Transcriptome!$C$2:$C$28=$E4),0))</f>
        <v>1.2717687051722399</v>
      </c>
      <c r="BS4">
        <f t="array" ref="BS4">INDEX(Transcriptome!AP$2:AP$28,MATCH(1,(Transcriptome!$A$2:$A$28=$B4)*(Transcriptome!$C$2:$C$28=$E4),0))</f>
        <v>1.1267475274689782</v>
      </c>
      <c r="BT4">
        <f t="array" ref="BT4">INDEX(Transcriptome!AQ$2:AQ$28,MATCH(1,(Transcriptome!$A$2:$A$28=$B4)*(Transcriptome!$C$2:$C$28=$E4),0))</f>
        <v>1.4322233621409421</v>
      </c>
      <c r="BU4">
        <f t="array" ref="BU4">INDEX(Transcriptome!AR$2:AR$28,MATCH(1,(Transcriptome!$A$2:$A$28=$B4)*(Transcriptome!$C$2:$C$28=$E4),0))</f>
        <v>0.78466234379208444</v>
      </c>
      <c r="BV4">
        <f t="array" ref="BV4">INDEX(Transcriptome!AS$2:AS$28,MATCH(1,(Transcriptome!$A$2:$A$28=$B4)*(Transcriptome!$C$2:$C$28=$E4),0))</f>
        <v>1.0494434523058931</v>
      </c>
      <c r="BW4">
        <f t="array" ref="BW4">INDEX(Transcriptome!AT$2:AT$28,MATCH(1,(Transcriptome!$A$2:$A$28=$B4)*(Transcriptome!$C$2:$C$28=$E4),0))</f>
        <v>0.83007572688612297</v>
      </c>
      <c r="BX4">
        <f t="array" ref="BX4">INDEX(Transcriptome!AU$2:AU$28,MATCH(1,(Transcriptome!$A$2:$A$28=$B4)*(Transcriptome!$C$2:$C$28=$E4),0))</f>
        <v>1.7460276276240947</v>
      </c>
      <c r="BY4">
        <f t="array" ref="BY4">INDEX(Transcriptome!AV$2:AV$28,MATCH(1,(Transcriptome!$A$2:$A$28=$B4)*(Transcriptome!$C$2:$C$28=$E4),0))</f>
        <v>0.66402112588341244</v>
      </c>
      <c r="BZ4">
        <f t="array" ref="BZ4">INDEX(Transcriptome!AW$2:AW$28,MATCH(1,(Transcriptome!$A$2:$A$28=$B4)*(Transcriptome!$C$2:$C$28=$E4),0))</f>
        <v>0.81142190925227209</v>
      </c>
      <c r="CA4">
        <f t="array" ref="CA4">INDEX(Transcriptome!AX$2:AX$28,MATCH(1,(Transcriptome!$A$2:$A$28=$B4)*(Transcriptome!$C$2:$C$28=$E4),0))</f>
        <v>0.81666505828774349</v>
      </c>
      <c r="CB4">
        <f t="array" ref="CB4">INDEX(Transcriptome!AY$2:AY$28,MATCH(1,(Transcriptome!$A$2:$A$28=$B4)*(Transcriptome!$C$2:$C$28=$E4),0))</f>
        <v>0.95021814160116058</v>
      </c>
      <c r="CC4">
        <f t="array" ref="CC4">INDEX(Transcriptome!AZ$2:AZ$28,MATCH(1,(Transcriptome!$A$2:$A$28=$B4)*(Transcriptome!$C$2:$C$28=$E4),0))</f>
        <v>0.94937399788501819</v>
      </c>
      <c r="CD4">
        <f t="array" ref="CD4">INDEX(Transcriptome!BA$2:BA$28,MATCH(1,(Transcriptome!$A$2:$A$28=$B4)*(Transcriptome!$C$2:$C$28=$E4),0))</f>
        <v>1.8902342706959754</v>
      </c>
      <c r="CE4">
        <f t="array" ref="CE4">INDEX(Transcriptome!BB$2:BB$28,MATCH(1,(Transcriptome!$A$2:$A$28=$B4)*(Transcriptome!$C$2:$C$28=$E4),0))</f>
        <v>2.3470969042014311</v>
      </c>
      <c r="CF4">
        <f t="array" ref="CF4">INDEX(Transcriptome!BC$2:BC$28,MATCH(1,(Transcriptome!$A$2:$A$28=$B4)*(Transcriptome!$C$2:$C$28=$E4),0))</f>
        <v>0</v>
      </c>
      <c r="CG4">
        <f t="array" ref="CG4">INDEX(Transcriptome!BD$2:BD$28,MATCH(1,(Transcriptome!$A$2:$A$28=$B4)*(Transcriptome!$C$2:$C$28=$E4),0))</f>
        <v>1.5657670378943449</v>
      </c>
      <c r="CH4">
        <f t="array" ref="CH4">INDEX(Transcriptome!BE$2:BE$28,MATCH(1,(Transcriptome!$A$2:$A$28=$B4)*(Transcriptome!$C$2:$C$28=$E4),0))</f>
        <v>1.3747651173760067</v>
      </c>
      <c r="CI4">
        <f t="array" ref="CI4">INDEX(Transcriptome!BF$2:BF$28,MATCH(1,(Transcriptome!$A$2:$A$28=$B4)*(Transcriptome!$C$2:$C$28=$E4),0))</f>
        <v>1.643579659112117</v>
      </c>
      <c r="CJ4">
        <f t="array" ref="CJ4">INDEX(Transcriptome!BG$2:BG$28,MATCH(1,(Transcriptome!$A$2:$A$28=$B4)*(Transcriptome!$C$2:$C$28=$E4),0))</f>
        <v>2.3378670928049927</v>
      </c>
      <c r="CK4">
        <f t="array" ref="CK4">INDEX(Transcriptome!BH$2:BH$28,MATCH(1,(Transcriptome!$A$2:$A$28=$B4)*(Transcriptome!$C$2:$C$28=$E4),0))</f>
        <v>0.67281144000502036</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2.2087413434455483</v>
      </c>
      <c r="CO4">
        <f t="array" ref="CO4">INDEX(Transcriptome!BL$2:BL$28,MATCH(1,(Transcriptome!$A$2:$A$28=$B4)*(Transcriptome!$C$2:$C$28=$E4),0))</f>
        <v>1.8626260215226293</v>
      </c>
      <c r="CP4">
        <f t="array" ref="CP4">INDEX(Transcriptome!BM$2:BM$28,MATCH(1,(Transcriptome!$A$2:$A$28=$B4)*(Transcriptome!$C$2:$C$28=$E4),0))</f>
        <v>0.6498926544427488</v>
      </c>
      <c r="CQ4">
        <f t="array" ref="CQ4">INDEX(Transcriptome!BN$2:BN$28,MATCH(1,(Transcriptome!$A$2:$A$28=$B4)*(Transcriptome!$C$2:$C$28=$E4),0))</f>
        <v>30.252756592141139</v>
      </c>
      <c r="CR4">
        <f t="array" ref="CR4">INDEX(Transcriptome!BO$2:BO$28,MATCH(1,(Transcriptome!$A$2:$A$28=$B4)*(Transcriptome!$C$2:$C$28=$E4),0))</f>
        <v>1.8572773148073258</v>
      </c>
      <c r="CS4">
        <f t="array" ref="CS4">INDEX(Transcriptome!BP$2:BP$28,MATCH(1,(Transcriptome!$A$2:$A$28=$B4)*(Transcriptome!$C$2:$C$28=$E4),0))</f>
        <v>0.67281144000502036</v>
      </c>
      <c r="CT4">
        <f t="array" ref="CT4">INDEX(Transcriptome!BQ$2:BQ$28,MATCH(1,(Transcriptome!$A$2:$A$28=$B4)*(Transcriptome!$C$2:$C$28=$E4),0))</f>
        <v>1</v>
      </c>
      <c r="CU4">
        <f t="array" ref="CU4">INDEX(Transcriptome!BR$2:BR$28,MATCH(1,(Transcriptome!$A$2:$A$28=$B4)*(Transcriptome!$C$2:$C$28=$E4),0))</f>
        <v>1.2652823875258563</v>
      </c>
    </row>
    <row r="5" spans="1:99">
      <c r="A5">
        <f>'Measured Data'!A10</f>
        <v>3</v>
      </c>
      <c r="B5" t="s">
        <v>582</v>
      </c>
      <c r="C5" s="324" t="s">
        <v>586</v>
      </c>
      <c r="D5">
        <v>1</v>
      </c>
      <c r="E5" t="s">
        <v>513</v>
      </c>
      <c r="F5" s="477">
        <f>'Growth Regression'!R5</f>
        <v>3.4704861111131322</v>
      </c>
      <c r="G5" s="477">
        <f>'Growth Regression'!S5</f>
        <v>83.291666666715173</v>
      </c>
      <c r="H5">
        <f>AVERAGE('TL input - regression'!L5:L6)</f>
        <v>31.50047736406226</v>
      </c>
      <c r="I5">
        <f>AVERAGE('TL input - regression'!M5:M6)</f>
        <v>4.2739786856127893</v>
      </c>
      <c r="J5">
        <f>AVERAGE('TL input - regression'!N5:N6)</f>
        <v>0.4955</v>
      </c>
      <c r="K5">
        <f>AVERAGE('TL input - regression'!O5:O6)</f>
        <v>5.1400000000000006</v>
      </c>
      <c r="L5">
        <f>AVERAGE('TL input - regression'!P5:P6)</f>
        <v>1.6619999999999999</v>
      </c>
      <c r="M5">
        <f>'Growth Regression'!P5</f>
        <v>2.4117144489471783E-2</v>
      </c>
      <c r="N5">
        <f>M5/'Growth Regression'!$O$24</f>
        <v>0.90859917650227995</v>
      </c>
      <c r="O5">
        <f>'Post Process Calc.'!C23</f>
        <v>8.7354887472543288E-2</v>
      </c>
      <c r="P5">
        <f>'Post Process Calc.'!D23</f>
        <v>4.7908332507792757E-2</v>
      </c>
      <c r="Q5">
        <f>'Post Process Calc.'!E23</f>
        <v>-2.8531310213022183E-3</v>
      </c>
      <c r="R5">
        <f>'Post Process Calc.'!F23</f>
        <v>9.976109249474369E-4</v>
      </c>
      <c r="S5">
        <f>'Post Process Calc.'!G23</f>
        <v>-5.6642413545730441E-3</v>
      </c>
      <c r="T5">
        <f t="shared" si="2"/>
        <v>0.54843333777804859</v>
      </c>
      <c r="U5">
        <f t="shared" si="4"/>
        <v>54.596804670339552</v>
      </c>
      <c r="V5">
        <f t="shared" si="4"/>
        <v>29.942707817370472</v>
      </c>
      <c r="W5">
        <f t="shared" si="0"/>
        <v>-1.7832068883138863</v>
      </c>
      <c r="X5">
        <f t="shared" si="0"/>
        <v>0.62350682809214808</v>
      </c>
      <c r="Y5">
        <f t="shared" si="0"/>
        <v>-3.5401508466081526</v>
      </c>
      <c r="Z5">
        <v>100</v>
      </c>
      <c r="AA5">
        <v>0.32</v>
      </c>
      <c r="AB5">
        <v>7</v>
      </c>
      <c r="AC5">
        <v>0.7</v>
      </c>
      <c r="AD5">
        <f t="shared" si="1"/>
        <v>5.0118723362727164E-8</v>
      </c>
      <c r="AE5">
        <v>1</v>
      </c>
      <c r="AF5">
        <v>0.311</v>
      </c>
      <c r="AG5">
        <f t="array" ref="AG5">INDEX(Transcriptome!D$2:D$28,MATCH(1,(Transcriptome!$A$2:$A$28=$B5)*(Transcriptome!$C$2:$C$28=$E5),0))</f>
        <v>0.75120083781418034</v>
      </c>
      <c r="AH5">
        <f t="array" ref="AH5">INDEX(Transcriptome!E$2:E$28,MATCH(1,(Transcriptome!$A$2:$A$28=$B5)*(Transcriptome!$C$2:$C$28=$E5),0))</f>
        <v>1.3452090544846451</v>
      </c>
      <c r="AI5">
        <f t="array" ref="AI5">INDEX(Transcriptome!F$2:F$28,MATCH(1,(Transcriptome!$A$2:$A$28=$B5)*(Transcriptome!$C$2:$C$28=$E5),0))</f>
        <v>1.1599251488993827</v>
      </c>
      <c r="AJ5">
        <f t="array" ref="AJ5">INDEX(Transcriptome!G$2:G$28,MATCH(1,(Transcriptome!$A$2:$A$28=$B5)*(Transcriptome!$C$2:$C$28=$E5),0))</f>
        <v>0.70921905462414569</v>
      </c>
      <c r="AK5">
        <f t="array" ref="AK5">INDEX(Transcriptome!H$2:H$28,MATCH(1,(Transcriptome!$A$2:$A$28=$B5)*(Transcriptome!$C$2:$C$28=$E5),0))</f>
        <v>0</v>
      </c>
      <c r="AL5">
        <f t="array" ref="AL5">INDEX(Transcriptome!I$2:I$28,MATCH(1,(Transcriptome!$A$2:$A$28=$B5)*(Transcriptome!$C$2:$C$28=$E5),0))</f>
        <v>1.6282553995115943</v>
      </c>
      <c r="AM5">
        <f t="array" ref="AM5">INDEX(Transcriptome!J$2:J$28,MATCH(1,(Transcriptome!$A$2:$A$28=$B5)*(Transcriptome!$C$2:$C$28=$E5),0))</f>
        <v>1.0870691735149791</v>
      </c>
      <c r="AN5">
        <f t="array" ref="AN5">INDEX(Transcriptome!K$2:K$28,MATCH(1,(Transcriptome!$A$2:$A$28=$B5)*(Transcriptome!$C$2:$C$28=$E5),0))</f>
        <v>1.4630306834308657</v>
      </c>
      <c r="AO5">
        <f t="array" ref="AO5">INDEX(Transcriptome!L$2:L$28,MATCH(1,(Transcriptome!$A$2:$A$28=$B5)*(Transcriptome!$C$2:$C$28=$E5),0))</f>
        <v>1.0171797240321683</v>
      </c>
      <c r="AP5">
        <f t="array" ref="AP5">INDEX(Transcriptome!M$2:M$28,MATCH(1,(Transcriptome!$A$2:$A$28=$B5)*(Transcriptome!$C$2:$C$28=$E5),0))</f>
        <v>1.0744738748130889</v>
      </c>
      <c r="AQ5">
        <f t="array" ref="AQ5">INDEX(Transcriptome!N$2:N$28,MATCH(1,(Transcriptome!$A$2:$A$28=$B5)*(Transcriptome!$C$2:$C$28=$E5),0))</f>
        <v>1.2349088890793825</v>
      </c>
      <c r="AR5">
        <f t="array" ref="AR5">INDEX(Transcriptome!O$2:O$28,MATCH(1,(Transcriptome!$A$2:$A$28=$B5)*(Transcriptome!$C$2:$C$28=$E5),0))</f>
        <v>1.5128732832839087</v>
      </c>
      <c r="AS5">
        <f t="array" ref="AS5">INDEX(Transcriptome!P$2:P$28,MATCH(1,(Transcriptome!$A$2:$A$28=$B5)*(Transcriptome!$C$2:$C$28=$E5),0))</f>
        <v>1.418626571205134</v>
      </c>
      <c r="AT5">
        <f t="array" ref="AT5">INDEX(Transcriptome!Q$2:Q$28,MATCH(1,(Transcriptome!$A$2:$A$28=$B5)*(Transcriptome!$C$2:$C$28=$E5),0))</f>
        <v>0.75818627044108666</v>
      </c>
      <c r="AU5">
        <f t="array" ref="AU5">INDEX(Transcriptome!R$2:R$28,MATCH(1,(Transcriptome!$A$2:$A$28=$B5)*(Transcriptome!$C$2:$C$28=$E5),0))</f>
        <v>0.62222364572130617</v>
      </c>
      <c r="AV5">
        <f t="array" ref="AV5">INDEX(Transcriptome!S$2:S$28,MATCH(1,(Transcriptome!$A$2:$A$28=$B5)*(Transcriptome!$C$2:$C$28=$E5),0))</f>
        <v>0.45398180100126823</v>
      </c>
      <c r="AW5">
        <f t="array" ref="AW5">INDEX(Transcriptome!T$2:T$28,MATCH(1,(Transcriptome!$A$2:$A$28=$B5)*(Transcriptome!$C$2:$C$28=$E5),0))</f>
        <v>1.2443611151314311</v>
      </c>
      <c r="AX5">
        <f t="array" ref="AX5">INDEX(Transcriptome!U$2:U$28,MATCH(1,(Transcriptome!$A$2:$A$28=$B5)*(Transcriptome!$C$2:$C$28=$E5),0))</f>
        <v>3.4109020413139706</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1.1597576413818276</v>
      </c>
      <c r="BB5">
        <f t="array" ref="BB5">INDEX(Transcriptome!Y$2:Y$28,MATCH(1,(Transcriptome!$A$2:$A$28=$B5)*(Transcriptome!$C$2:$C$28=$E5),0))</f>
        <v>0</v>
      </c>
      <c r="BC5">
        <f t="array" ref="BC5">INDEX(Transcriptome!Z$2:Z$28,MATCH(1,(Transcriptome!$A$2:$A$28=$B5)*(Transcriptome!$C$2:$C$28=$E5),0))</f>
        <v>1.4224053459159063</v>
      </c>
      <c r="BD5">
        <f t="array" ref="BD5">INDEX(Transcriptome!AA$2:AA$28,MATCH(1,(Transcriptome!$A$2:$A$28=$B5)*(Transcriptome!$C$2:$C$28=$E5),0))</f>
        <v>1.0785765460349117</v>
      </c>
      <c r="BE5">
        <f t="array" ref="BE5">INDEX(Transcriptome!AB$2:AB$28,MATCH(1,(Transcriptome!$A$2:$A$28=$B5)*(Transcriptome!$C$2:$C$28=$E5),0))</f>
        <v>0.473674659694519</v>
      </c>
      <c r="BF5">
        <f t="array" ref="BF5">INDEX(Transcriptome!AC$2:AC$28,MATCH(1,(Transcriptome!$A$2:$A$28=$B5)*(Transcriptome!$C$2:$C$28=$E5),0))</f>
        <v>1.0599593993610694</v>
      </c>
      <c r="BG5">
        <f t="array" ref="BG5">INDEX(Transcriptome!AD$2:AD$28,MATCH(1,(Transcriptome!$A$2:$A$28=$B5)*(Transcriptome!$C$2:$C$28=$E5),0))</f>
        <v>1.2080921631861166</v>
      </c>
      <c r="BH5">
        <f t="array" ref="BH5">INDEX(Transcriptome!AE$2:AE$28,MATCH(1,(Transcriptome!$A$2:$A$28=$B5)*(Transcriptome!$C$2:$C$28=$E5),0))</f>
        <v>1.5382205274541896</v>
      </c>
      <c r="BI5">
        <f t="array" ref="BI5">INDEX(Transcriptome!AF$2:AF$28,MATCH(1,(Transcriptome!$A$2:$A$28=$B5)*(Transcriptome!$C$2:$C$28=$E5),0))</f>
        <v>0.8896276701542809</v>
      </c>
      <c r="BJ5">
        <f t="array" ref="BJ5">INDEX(Transcriptome!AG$2:AG$28,MATCH(1,(Transcriptome!$A$2:$A$28=$B5)*(Transcriptome!$C$2:$C$28=$E5),0))</f>
        <v>0.5163962964725155</v>
      </c>
      <c r="BK5">
        <f t="array" ref="BK5">INDEX(Transcriptome!AH$2:AH$28,MATCH(1,(Transcriptome!$A$2:$A$28=$B5)*(Transcriptome!$C$2:$C$28=$E5),0))</f>
        <v>2.1130256851285192</v>
      </c>
      <c r="BL5">
        <f t="array" ref="BL5">INDEX(Transcriptome!AI$2:AI$28,MATCH(1,(Transcriptome!$A$2:$A$28=$B5)*(Transcriptome!$C$2:$C$28=$E5),0))</f>
        <v>0.83004246210802102</v>
      </c>
      <c r="BM5">
        <f t="array" ref="BM5">INDEX(Transcriptome!AJ$2:AJ$28,MATCH(1,(Transcriptome!$A$2:$A$28=$B5)*(Transcriptome!$C$2:$C$28=$E5),0))</f>
        <v>0.91927335509585972</v>
      </c>
      <c r="BN5">
        <f t="array" ref="BN5">INDEX(Transcriptome!AK$2:AK$28,MATCH(1,(Transcriptome!$A$2:$A$28=$B5)*(Transcriptome!$C$2:$C$28=$E5),0))</f>
        <v>0.86442341502752595</v>
      </c>
      <c r="BO5">
        <f t="array" ref="BO5">INDEX(Transcriptome!AL$2:AL$28,MATCH(1,(Transcriptome!$A$2:$A$28=$B5)*(Transcriptome!$C$2:$C$28=$E5),0))</f>
        <v>1</v>
      </c>
      <c r="BP5">
        <f t="array" ref="BP5">INDEX(Transcriptome!AM$2:AM$28,MATCH(1,(Transcriptome!$A$2:$A$28=$B5)*(Transcriptome!$C$2:$C$28=$E5),0))</f>
        <v>0.77410003444406195</v>
      </c>
      <c r="BQ5">
        <f t="array" ref="BQ5">INDEX(Transcriptome!AN$2:AN$28,MATCH(1,(Transcriptome!$A$2:$A$28=$B5)*(Transcriptome!$C$2:$C$28=$E5),0))</f>
        <v>1.0525309554062177</v>
      </c>
      <c r="BR5">
        <f t="array" ref="BR5">INDEX(Transcriptome!AO$2:AO$28,MATCH(1,(Transcriptome!$A$2:$A$28=$B5)*(Transcriptome!$C$2:$C$28=$E5),0))</f>
        <v>1.2717687051722399</v>
      </c>
      <c r="BS5">
        <f t="array" ref="BS5">INDEX(Transcriptome!AP$2:AP$28,MATCH(1,(Transcriptome!$A$2:$A$28=$B5)*(Transcriptome!$C$2:$C$28=$E5),0))</f>
        <v>1.1267475274689782</v>
      </c>
      <c r="BT5">
        <f t="array" ref="BT5">INDEX(Transcriptome!AQ$2:AQ$28,MATCH(1,(Transcriptome!$A$2:$A$28=$B5)*(Transcriptome!$C$2:$C$28=$E5),0))</f>
        <v>1.4322233621409421</v>
      </c>
      <c r="BU5">
        <f t="array" ref="BU5">INDEX(Transcriptome!AR$2:AR$28,MATCH(1,(Transcriptome!$A$2:$A$28=$B5)*(Transcriptome!$C$2:$C$28=$E5),0))</f>
        <v>0.78466234379208444</v>
      </c>
      <c r="BV5">
        <f t="array" ref="BV5">INDEX(Transcriptome!AS$2:AS$28,MATCH(1,(Transcriptome!$A$2:$A$28=$B5)*(Transcriptome!$C$2:$C$28=$E5),0))</f>
        <v>1.0494434523058931</v>
      </c>
      <c r="BW5">
        <f t="array" ref="BW5">INDEX(Transcriptome!AT$2:AT$28,MATCH(1,(Transcriptome!$A$2:$A$28=$B5)*(Transcriptome!$C$2:$C$28=$E5),0))</f>
        <v>0.83007572688612297</v>
      </c>
      <c r="BX5">
        <f t="array" ref="BX5">INDEX(Transcriptome!AU$2:AU$28,MATCH(1,(Transcriptome!$A$2:$A$28=$B5)*(Transcriptome!$C$2:$C$28=$E5),0))</f>
        <v>1.7460276276240947</v>
      </c>
      <c r="BY5">
        <f t="array" ref="BY5">INDEX(Transcriptome!AV$2:AV$28,MATCH(1,(Transcriptome!$A$2:$A$28=$B5)*(Transcriptome!$C$2:$C$28=$E5),0))</f>
        <v>0.66402112588341244</v>
      </c>
      <c r="BZ5">
        <f t="array" ref="BZ5">INDEX(Transcriptome!AW$2:AW$28,MATCH(1,(Transcriptome!$A$2:$A$28=$B5)*(Transcriptome!$C$2:$C$28=$E5),0))</f>
        <v>0.81142190925227209</v>
      </c>
      <c r="CA5">
        <f t="array" ref="CA5">INDEX(Transcriptome!AX$2:AX$28,MATCH(1,(Transcriptome!$A$2:$A$28=$B5)*(Transcriptome!$C$2:$C$28=$E5),0))</f>
        <v>0.81666505828774349</v>
      </c>
      <c r="CB5">
        <f t="array" ref="CB5">INDEX(Transcriptome!AY$2:AY$28,MATCH(1,(Transcriptome!$A$2:$A$28=$B5)*(Transcriptome!$C$2:$C$28=$E5),0))</f>
        <v>0.95021814160116058</v>
      </c>
      <c r="CC5">
        <f t="array" ref="CC5">INDEX(Transcriptome!AZ$2:AZ$28,MATCH(1,(Transcriptome!$A$2:$A$28=$B5)*(Transcriptome!$C$2:$C$28=$E5),0))</f>
        <v>0.94937399788501819</v>
      </c>
      <c r="CD5">
        <f t="array" ref="CD5">INDEX(Transcriptome!BA$2:BA$28,MATCH(1,(Transcriptome!$A$2:$A$28=$B5)*(Transcriptome!$C$2:$C$28=$E5),0))</f>
        <v>1.8902342706959754</v>
      </c>
      <c r="CE5">
        <f t="array" ref="CE5">INDEX(Transcriptome!BB$2:BB$28,MATCH(1,(Transcriptome!$A$2:$A$28=$B5)*(Transcriptome!$C$2:$C$28=$E5),0))</f>
        <v>2.3470969042014311</v>
      </c>
      <c r="CF5">
        <f t="array" ref="CF5">INDEX(Transcriptome!BC$2:BC$28,MATCH(1,(Transcriptome!$A$2:$A$28=$B5)*(Transcriptome!$C$2:$C$28=$E5),0))</f>
        <v>0</v>
      </c>
      <c r="CG5">
        <f t="array" ref="CG5">INDEX(Transcriptome!BD$2:BD$28,MATCH(1,(Transcriptome!$A$2:$A$28=$B5)*(Transcriptome!$C$2:$C$28=$E5),0))</f>
        <v>1.5657670378943449</v>
      </c>
      <c r="CH5">
        <f t="array" ref="CH5">INDEX(Transcriptome!BE$2:BE$28,MATCH(1,(Transcriptome!$A$2:$A$28=$B5)*(Transcriptome!$C$2:$C$28=$E5),0))</f>
        <v>1.3747651173760067</v>
      </c>
      <c r="CI5">
        <f t="array" ref="CI5">INDEX(Transcriptome!BF$2:BF$28,MATCH(1,(Transcriptome!$A$2:$A$28=$B5)*(Transcriptome!$C$2:$C$28=$E5),0))</f>
        <v>1.643579659112117</v>
      </c>
      <c r="CJ5">
        <f t="array" ref="CJ5">INDEX(Transcriptome!BG$2:BG$28,MATCH(1,(Transcriptome!$A$2:$A$28=$B5)*(Transcriptome!$C$2:$C$28=$E5),0))</f>
        <v>2.3378670928049927</v>
      </c>
      <c r="CK5">
        <f t="array" ref="CK5">INDEX(Transcriptome!BH$2:BH$28,MATCH(1,(Transcriptome!$A$2:$A$28=$B5)*(Transcriptome!$C$2:$C$28=$E5),0))</f>
        <v>0.67281144000502036</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2.2087413434455483</v>
      </c>
      <c r="CO5">
        <f t="array" ref="CO5">INDEX(Transcriptome!BL$2:BL$28,MATCH(1,(Transcriptome!$A$2:$A$28=$B5)*(Transcriptome!$C$2:$C$28=$E5),0))</f>
        <v>1.8626260215226293</v>
      </c>
      <c r="CP5">
        <f t="array" ref="CP5">INDEX(Transcriptome!BM$2:BM$28,MATCH(1,(Transcriptome!$A$2:$A$28=$B5)*(Transcriptome!$C$2:$C$28=$E5),0))</f>
        <v>0.6498926544427488</v>
      </c>
      <c r="CQ5">
        <f t="array" ref="CQ5">INDEX(Transcriptome!BN$2:BN$28,MATCH(1,(Transcriptome!$A$2:$A$28=$B5)*(Transcriptome!$C$2:$C$28=$E5),0))</f>
        <v>30.252756592141139</v>
      </c>
      <c r="CR5">
        <f t="array" ref="CR5">INDEX(Transcriptome!BO$2:BO$28,MATCH(1,(Transcriptome!$A$2:$A$28=$B5)*(Transcriptome!$C$2:$C$28=$E5),0))</f>
        <v>1.8572773148073258</v>
      </c>
      <c r="CS5">
        <f t="array" ref="CS5">INDEX(Transcriptome!BP$2:BP$28,MATCH(1,(Transcriptome!$A$2:$A$28=$B5)*(Transcriptome!$C$2:$C$28=$E5),0))</f>
        <v>0.67281144000502036</v>
      </c>
      <c r="CT5">
        <f t="array" ref="CT5">INDEX(Transcriptome!BQ$2:BQ$28,MATCH(1,(Transcriptome!$A$2:$A$28=$B5)*(Transcriptome!$C$2:$C$28=$E5),0))</f>
        <v>1</v>
      </c>
      <c r="CU5">
        <f t="array" ref="CU5">INDEX(Transcriptome!BR$2:BR$28,MATCH(1,(Transcriptome!$A$2:$A$28=$B5)*(Transcriptome!$C$2:$C$28=$E5),0))</f>
        <v>1.2652823875258563</v>
      </c>
    </row>
    <row r="6" spans="1:99">
      <c r="A6">
        <f>'Measured Data'!A11</f>
        <v>4</v>
      </c>
      <c r="B6" t="s">
        <v>582</v>
      </c>
      <c r="C6" s="324" t="s">
        <v>586</v>
      </c>
      <c r="D6">
        <v>1</v>
      </c>
      <c r="E6" t="s">
        <v>513</v>
      </c>
      <c r="F6" s="477">
        <f>'Growth Regression'!R6</f>
        <v>4.406250000003638</v>
      </c>
      <c r="G6" s="477">
        <f>'Growth Regression'!S6</f>
        <v>105.75000000008731</v>
      </c>
      <c r="H6">
        <f>AVERAGE('TL input - regression'!L6:L7)</f>
        <v>33.831790226248366</v>
      </c>
      <c r="I6">
        <f>AVERAGE('TL input - regression'!M6:M7)</f>
        <v>6.0501776198934287</v>
      </c>
      <c r="J6">
        <f>AVERAGE('TL input - regression'!N6:N7)</f>
        <v>0.85299999999999998</v>
      </c>
      <c r="K6">
        <f>AVERAGE('TL input - regression'!O6:O7)</f>
        <v>6.5709999999999997</v>
      </c>
      <c r="L6">
        <f>AVERAGE('TL input - regression'!P6:P7)</f>
        <v>1.762</v>
      </c>
      <c r="M6">
        <f>'Growth Regression'!P6</f>
        <v>2.2255313920214542E-2</v>
      </c>
      <c r="N6">
        <f>M6/'Growth Regression'!$O$24</f>
        <v>0.83845580929094266</v>
      </c>
      <c r="O6">
        <f>'Post Process Calc.'!C24</f>
        <v>7.1390025950854183E-2</v>
      </c>
      <c r="P6">
        <f>'Post Process Calc.'!D24</f>
        <v>2.7446987826710532E-2</v>
      </c>
      <c r="Q6">
        <f>'Post Process Calc.'!E24</f>
        <v>-4.7602498468785771E-3</v>
      </c>
      <c r="R6">
        <f>'Post Process Calc.'!F24</f>
        <v>2.9977965914798912E-3</v>
      </c>
      <c r="S6">
        <f>'Post Process Calc.'!G24</f>
        <v>-4.221465410686521E-3</v>
      </c>
      <c r="T6">
        <f t="shared" si="2"/>
        <v>0.38446530115572997</v>
      </c>
      <c r="U6">
        <f t="shared" si="4"/>
        <v>44.618766219283863</v>
      </c>
      <c r="V6">
        <f t="shared" si="4"/>
        <v>17.15436739169408</v>
      </c>
      <c r="W6">
        <f t="shared" si="0"/>
        <v>-2.9751561542991105</v>
      </c>
      <c r="X6">
        <f t="shared" si="0"/>
        <v>1.873622869674932</v>
      </c>
      <c r="Y6">
        <f t="shared" si="0"/>
        <v>-2.6384158816790757</v>
      </c>
      <c r="Z6">
        <v>100</v>
      </c>
      <c r="AA6">
        <v>0.32</v>
      </c>
      <c r="AB6">
        <v>7</v>
      </c>
      <c r="AC6">
        <v>0.7</v>
      </c>
      <c r="AD6">
        <f t="shared" si="1"/>
        <v>5.0118723362727164E-8</v>
      </c>
      <c r="AE6">
        <v>1</v>
      </c>
      <c r="AF6">
        <v>0.311</v>
      </c>
      <c r="AG6">
        <f t="array" ref="AG6">INDEX(Transcriptome!D$2:D$28,MATCH(1,(Transcriptome!$A$2:$A$28=$B6)*(Transcriptome!$C$2:$C$28=$E6),0))</f>
        <v>0.75120083781418034</v>
      </c>
      <c r="AH6">
        <f t="array" ref="AH6">INDEX(Transcriptome!E$2:E$28,MATCH(1,(Transcriptome!$A$2:$A$28=$B6)*(Transcriptome!$C$2:$C$28=$E6),0))</f>
        <v>1.3452090544846451</v>
      </c>
      <c r="AI6">
        <f t="array" ref="AI6">INDEX(Transcriptome!F$2:F$28,MATCH(1,(Transcriptome!$A$2:$A$28=$B6)*(Transcriptome!$C$2:$C$28=$E6),0))</f>
        <v>1.1599251488993827</v>
      </c>
      <c r="AJ6">
        <f t="array" ref="AJ6">INDEX(Transcriptome!G$2:G$28,MATCH(1,(Transcriptome!$A$2:$A$28=$B6)*(Transcriptome!$C$2:$C$28=$E6),0))</f>
        <v>0.70921905462414569</v>
      </c>
      <c r="AK6">
        <f t="array" ref="AK6">INDEX(Transcriptome!H$2:H$28,MATCH(1,(Transcriptome!$A$2:$A$28=$B6)*(Transcriptome!$C$2:$C$28=$E6),0))</f>
        <v>0</v>
      </c>
      <c r="AL6">
        <f t="array" ref="AL6">INDEX(Transcriptome!I$2:I$28,MATCH(1,(Transcriptome!$A$2:$A$28=$B6)*(Transcriptome!$C$2:$C$28=$E6),0))</f>
        <v>1.6282553995115943</v>
      </c>
      <c r="AM6">
        <f t="array" ref="AM6">INDEX(Transcriptome!J$2:J$28,MATCH(1,(Transcriptome!$A$2:$A$28=$B6)*(Transcriptome!$C$2:$C$28=$E6),0))</f>
        <v>1.0870691735149791</v>
      </c>
      <c r="AN6">
        <f t="array" ref="AN6">INDEX(Transcriptome!K$2:K$28,MATCH(1,(Transcriptome!$A$2:$A$28=$B6)*(Transcriptome!$C$2:$C$28=$E6),0))</f>
        <v>1.4630306834308657</v>
      </c>
      <c r="AO6">
        <f t="array" ref="AO6">INDEX(Transcriptome!L$2:L$28,MATCH(1,(Transcriptome!$A$2:$A$28=$B6)*(Transcriptome!$C$2:$C$28=$E6),0))</f>
        <v>1.0171797240321683</v>
      </c>
      <c r="AP6">
        <f t="array" ref="AP6">INDEX(Transcriptome!M$2:M$28,MATCH(1,(Transcriptome!$A$2:$A$28=$B6)*(Transcriptome!$C$2:$C$28=$E6),0))</f>
        <v>1.0744738748130889</v>
      </c>
      <c r="AQ6">
        <f t="array" ref="AQ6">INDEX(Transcriptome!N$2:N$28,MATCH(1,(Transcriptome!$A$2:$A$28=$B6)*(Transcriptome!$C$2:$C$28=$E6),0))</f>
        <v>1.2349088890793825</v>
      </c>
      <c r="AR6">
        <f t="array" ref="AR6">INDEX(Transcriptome!O$2:O$28,MATCH(1,(Transcriptome!$A$2:$A$28=$B6)*(Transcriptome!$C$2:$C$28=$E6),0))</f>
        <v>1.5128732832839087</v>
      </c>
      <c r="AS6">
        <f t="array" ref="AS6">INDEX(Transcriptome!P$2:P$28,MATCH(1,(Transcriptome!$A$2:$A$28=$B6)*(Transcriptome!$C$2:$C$28=$E6),0))</f>
        <v>1.418626571205134</v>
      </c>
      <c r="AT6">
        <f t="array" ref="AT6">INDEX(Transcriptome!Q$2:Q$28,MATCH(1,(Transcriptome!$A$2:$A$28=$B6)*(Transcriptome!$C$2:$C$28=$E6),0))</f>
        <v>0.75818627044108666</v>
      </c>
      <c r="AU6">
        <f t="array" ref="AU6">INDEX(Transcriptome!R$2:R$28,MATCH(1,(Transcriptome!$A$2:$A$28=$B6)*(Transcriptome!$C$2:$C$28=$E6),0))</f>
        <v>0.62222364572130617</v>
      </c>
      <c r="AV6">
        <f t="array" ref="AV6">INDEX(Transcriptome!S$2:S$28,MATCH(1,(Transcriptome!$A$2:$A$28=$B6)*(Transcriptome!$C$2:$C$28=$E6),0))</f>
        <v>0.45398180100126823</v>
      </c>
      <c r="AW6">
        <f t="array" ref="AW6">INDEX(Transcriptome!T$2:T$28,MATCH(1,(Transcriptome!$A$2:$A$28=$B6)*(Transcriptome!$C$2:$C$28=$E6),0))</f>
        <v>1.2443611151314311</v>
      </c>
      <c r="AX6">
        <f t="array" ref="AX6">INDEX(Transcriptome!U$2:U$28,MATCH(1,(Transcriptome!$A$2:$A$28=$B6)*(Transcriptome!$C$2:$C$28=$E6),0))</f>
        <v>3.4109020413139706</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1.1597576413818276</v>
      </c>
      <c r="BB6">
        <f t="array" ref="BB6">INDEX(Transcriptome!Y$2:Y$28,MATCH(1,(Transcriptome!$A$2:$A$28=$B6)*(Transcriptome!$C$2:$C$28=$E6),0))</f>
        <v>0</v>
      </c>
      <c r="BC6">
        <f t="array" ref="BC6">INDEX(Transcriptome!Z$2:Z$28,MATCH(1,(Transcriptome!$A$2:$A$28=$B6)*(Transcriptome!$C$2:$C$28=$E6),0))</f>
        <v>1.4224053459159063</v>
      </c>
      <c r="BD6">
        <f t="array" ref="BD6">INDEX(Transcriptome!AA$2:AA$28,MATCH(1,(Transcriptome!$A$2:$A$28=$B6)*(Transcriptome!$C$2:$C$28=$E6),0))</f>
        <v>1.0785765460349117</v>
      </c>
      <c r="BE6">
        <f t="array" ref="BE6">INDEX(Transcriptome!AB$2:AB$28,MATCH(1,(Transcriptome!$A$2:$A$28=$B6)*(Transcriptome!$C$2:$C$28=$E6),0))</f>
        <v>0.473674659694519</v>
      </c>
      <c r="BF6">
        <f t="array" ref="BF6">INDEX(Transcriptome!AC$2:AC$28,MATCH(1,(Transcriptome!$A$2:$A$28=$B6)*(Transcriptome!$C$2:$C$28=$E6),0))</f>
        <v>1.0599593993610694</v>
      </c>
      <c r="BG6">
        <f t="array" ref="BG6">INDEX(Transcriptome!AD$2:AD$28,MATCH(1,(Transcriptome!$A$2:$A$28=$B6)*(Transcriptome!$C$2:$C$28=$E6),0))</f>
        <v>1.2080921631861166</v>
      </c>
      <c r="BH6">
        <f t="array" ref="BH6">INDEX(Transcriptome!AE$2:AE$28,MATCH(1,(Transcriptome!$A$2:$A$28=$B6)*(Transcriptome!$C$2:$C$28=$E6),0))</f>
        <v>1.5382205274541896</v>
      </c>
      <c r="BI6">
        <f t="array" ref="BI6">INDEX(Transcriptome!AF$2:AF$28,MATCH(1,(Transcriptome!$A$2:$A$28=$B6)*(Transcriptome!$C$2:$C$28=$E6),0))</f>
        <v>0.8896276701542809</v>
      </c>
      <c r="BJ6">
        <f t="array" ref="BJ6">INDEX(Transcriptome!AG$2:AG$28,MATCH(1,(Transcriptome!$A$2:$A$28=$B6)*(Transcriptome!$C$2:$C$28=$E6),0))</f>
        <v>0.5163962964725155</v>
      </c>
      <c r="BK6">
        <f t="array" ref="BK6">INDEX(Transcriptome!AH$2:AH$28,MATCH(1,(Transcriptome!$A$2:$A$28=$B6)*(Transcriptome!$C$2:$C$28=$E6),0))</f>
        <v>2.1130256851285192</v>
      </c>
      <c r="BL6">
        <f t="array" ref="BL6">INDEX(Transcriptome!AI$2:AI$28,MATCH(1,(Transcriptome!$A$2:$A$28=$B6)*(Transcriptome!$C$2:$C$28=$E6),0))</f>
        <v>0.83004246210802102</v>
      </c>
      <c r="BM6">
        <f t="array" ref="BM6">INDEX(Transcriptome!AJ$2:AJ$28,MATCH(1,(Transcriptome!$A$2:$A$28=$B6)*(Transcriptome!$C$2:$C$28=$E6),0))</f>
        <v>0.91927335509585972</v>
      </c>
      <c r="BN6">
        <f t="array" ref="BN6">INDEX(Transcriptome!AK$2:AK$28,MATCH(1,(Transcriptome!$A$2:$A$28=$B6)*(Transcriptome!$C$2:$C$28=$E6),0))</f>
        <v>0.86442341502752595</v>
      </c>
      <c r="BO6">
        <f t="array" ref="BO6">INDEX(Transcriptome!AL$2:AL$28,MATCH(1,(Transcriptome!$A$2:$A$28=$B6)*(Transcriptome!$C$2:$C$28=$E6),0))</f>
        <v>1</v>
      </c>
      <c r="BP6">
        <f t="array" ref="BP6">INDEX(Transcriptome!AM$2:AM$28,MATCH(1,(Transcriptome!$A$2:$A$28=$B6)*(Transcriptome!$C$2:$C$28=$E6),0))</f>
        <v>0.77410003444406195</v>
      </c>
      <c r="BQ6">
        <f t="array" ref="BQ6">INDEX(Transcriptome!AN$2:AN$28,MATCH(1,(Transcriptome!$A$2:$A$28=$B6)*(Transcriptome!$C$2:$C$28=$E6),0))</f>
        <v>1.0525309554062177</v>
      </c>
      <c r="BR6">
        <f t="array" ref="BR6">INDEX(Transcriptome!AO$2:AO$28,MATCH(1,(Transcriptome!$A$2:$A$28=$B6)*(Transcriptome!$C$2:$C$28=$E6),0))</f>
        <v>1.2717687051722399</v>
      </c>
      <c r="BS6">
        <f t="array" ref="BS6">INDEX(Transcriptome!AP$2:AP$28,MATCH(1,(Transcriptome!$A$2:$A$28=$B6)*(Transcriptome!$C$2:$C$28=$E6),0))</f>
        <v>1.1267475274689782</v>
      </c>
      <c r="BT6">
        <f t="array" ref="BT6">INDEX(Transcriptome!AQ$2:AQ$28,MATCH(1,(Transcriptome!$A$2:$A$28=$B6)*(Transcriptome!$C$2:$C$28=$E6),0))</f>
        <v>1.4322233621409421</v>
      </c>
      <c r="BU6">
        <f t="array" ref="BU6">INDEX(Transcriptome!AR$2:AR$28,MATCH(1,(Transcriptome!$A$2:$A$28=$B6)*(Transcriptome!$C$2:$C$28=$E6),0))</f>
        <v>0.78466234379208444</v>
      </c>
      <c r="BV6">
        <f t="array" ref="BV6">INDEX(Transcriptome!AS$2:AS$28,MATCH(1,(Transcriptome!$A$2:$A$28=$B6)*(Transcriptome!$C$2:$C$28=$E6),0))</f>
        <v>1.0494434523058931</v>
      </c>
      <c r="BW6">
        <f t="array" ref="BW6">INDEX(Transcriptome!AT$2:AT$28,MATCH(1,(Transcriptome!$A$2:$A$28=$B6)*(Transcriptome!$C$2:$C$28=$E6),0))</f>
        <v>0.83007572688612297</v>
      </c>
      <c r="BX6">
        <f t="array" ref="BX6">INDEX(Transcriptome!AU$2:AU$28,MATCH(1,(Transcriptome!$A$2:$A$28=$B6)*(Transcriptome!$C$2:$C$28=$E6),0))</f>
        <v>1.7460276276240947</v>
      </c>
      <c r="BY6">
        <f t="array" ref="BY6">INDEX(Transcriptome!AV$2:AV$28,MATCH(1,(Transcriptome!$A$2:$A$28=$B6)*(Transcriptome!$C$2:$C$28=$E6),0))</f>
        <v>0.66402112588341244</v>
      </c>
      <c r="BZ6">
        <f t="array" ref="BZ6">INDEX(Transcriptome!AW$2:AW$28,MATCH(1,(Transcriptome!$A$2:$A$28=$B6)*(Transcriptome!$C$2:$C$28=$E6),0))</f>
        <v>0.81142190925227209</v>
      </c>
      <c r="CA6">
        <f t="array" ref="CA6">INDEX(Transcriptome!AX$2:AX$28,MATCH(1,(Transcriptome!$A$2:$A$28=$B6)*(Transcriptome!$C$2:$C$28=$E6),0))</f>
        <v>0.81666505828774349</v>
      </c>
      <c r="CB6">
        <f t="array" ref="CB6">INDEX(Transcriptome!AY$2:AY$28,MATCH(1,(Transcriptome!$A$2:$A$28=$B6)*(Transcriptome!$C$2:$C$28=$E6),0))</f>
        <v>0.95021814160116058</v>
      </c>
      <c r="CC6">
        <f t="array" ref="CC6">INDEX(Transcriptome!AZ$2:AZ$28,MATCH(1,(Transcriptome!$A$2:$A$28=$B6)*(Transcriptome!$C$2:$C$28=$E6),0))</f>
        <v>0.94937399788501819</v>
      </c>
      <c r="CD6">
        <f t="array" ref="CD6">INDEX(Transcriptome!BA$2:BA$28,MATCH(1,(Transcriptome!$A$2:$A$28=$B6)*(Transcriptome!$C$2:$C$28=$E6),0))</f>
        <v>1.8902342706959754</v>
      </c>
      <c r="CE6">
        <f t="array" ref="CE6">INDEX(Transcriptome!BB$2:BB$28,MATCH(1,(Transcriptome!$A$2:$A$28=$B6)*(Transcriptome!$C$2:$C$28=$E6),0))</f>
        <v>2.3470969042014311</v>
      </c>
      <c r="CF6">
        <f t="array" ref="CF6">INDEX(Transcriptome!BC$2:BC$28,MATCH(1,(Transcriptome!$A$2:$A$28=$B6)*(Transcriptome!$C$2:$C$28=$E6),0))</f>
        <v>0</v>
      </c>
      <c r="CG6">
        <f t="array" ref="CG6">INDEX(Transcriptome!BD$2:BD$28,MATCH(1,(Transcriptome!$A$2:$A$28=$B6)*(Transcriptome!$C$2:$C$28=$E6),0))</f>
        <v>1.5657670378943449</v>
      </c>
      <c r="CH6">
        <f t="array" ref="CH6">INDEX(Transcriptome!BE$2:BE$28,MATCH(1,(Transcriptome!$A$2:$A$28=$B6)*(Transcriptome!$C$2:$C$28=$E6),0))</f>
        <v>1.3747651173760067</v>
      </c>
      <c r="CI6">
        <f t="array" ref="CI6">INDEX(Transcriptome!BF$2:BF$28,MATCH(1,(Transcriptome!$A$2:$A$28=$B6)*(Transcriptome!$C$2:$C$28=$E6),0))</f>
        <v>1.643579659112117</v>
      </c>
      <c r="CJ6">
        <f t="array" ref="CJ6">INDEX(Transcriptome!BG$2:BG$28,MATCH(1,(Transcriptome!$A$2:$A$28=$B6)*(Transcriptome!$C$2:$C$28=$E6),0))</f>
        <v>2.3378670928049927</v>
      </c>
      <c r="CK6">
        <f t="array" ref="CK6">INDEX(Transcriptome!BH$2:BH$28,MATCH(1,(Transcriptome!$A$2:$A$28=$B6)*(Transcriptome!$C$2:$C$28=$E6),0))</f>
        <v>0.67281144000502036</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2.2087413434455483</v>
      </c>
      <c r="CO6">
        <f t="array" ref="CO6">INDEX(Transcriptome!BL$2:BL$28,MATCH(1,(Transcriptome!$A$2:$A$28=$B6)*(Transcriptome!$C$2:$C$28=$E6),0))</f>
        <v>1.8626260215226293</v>
      </c>
      <c r="CP6">
        <f t="array" ref="CP6">INDEX(Transcriptome!BM$2:BM$28,MATCH(1,(Transcriptome!$A$2:$A$28=$B6)*(Transcriptome!$C$2:$C$28=$E6),0))</f>
        <v>0.6498926544427488</v>
      </c>
      <c r="CQ6">
        <f t="array" ref="CQ6">INDEX(Transcriptome!BN$2:BN$28,MATCH(1,(Transcriptome!$A$2:$A$28=$B6)*(Transcriptome!$C$2:$C$28=$E6),0))</f>
        <v>30.252756592141139</v>
      </c>
      <c r="CR6">
        <f t="array" ref="CR6">INDEX(Transcriptome!BO$2:BO$28,MATCH(1,(Transcriptome!$A$2:$A$28=$B6)*(Transcriptome!$C$2:$C$28=$E6),0))</f>
        <v>1.8572773148073258</v>
      </c>
      <c r="CS6">
        <f t="array" ref="CS6">INDEX(Transcriptome!BP$2:BP$28,MATCH(1,(Transcriptome!$A$2:$A$28=$B6)*(Transcriptome!$C$2:$C$28=$E6),0))</f>
        <v>0.67281144000502036</v>
      </c>
      <c r="CT6">
        <f t="array" ref="CT6">INDEX(Transcriptome!BQ$2:BQ$28,MATCH(1,(Transcriptome!$A$2:$A$28=$B6)*(Transcriptome!$C$2:$C$28=$E6),0))</f>
        <v>1</v>
      </c>
      <c r="CU6">
        <f t="array" ref="CU6">INDEX(Transcriptome!BR$2:BR$28,MATCH(1,(Transcriptome!$A$2:$A$28=$B6)*(Transcriptome!$C$2:$C$28=$E6),0))</f>
        <v>1.2652823875258563</v>
      </c>
    </row>
    <row r="7" spans="1:99">
      <c r="A7">
        <f>'Measured Data'!A12</f>
        <v>5</v>
      </c>
      <c r="B7" t="s">
        <v>582</v>
      </c>
      <c r="C7" s="324" t="s">
        <v>586</v>
      </c>
      <c r="D7">
        <v>1</v>
      </c>
      <c r="E7" t="s">
        <v>513</v>
      </c>
      <c r="F7" s="477">
        <f>'Growth Regression'!R7</f>
        <v>5.3569444444474357</v>
      </c>
      <c r="G7" s="477">
        <f>'Growth Regression'!S7</f>
        <v>128.56666666673846</v>
      </c>
      <c r="H7">
        <f>AVERAGE('TL input - regression'!L7:L8)</f>
        <v>34.164834920846374</v>
      </c>
      <c r="I7">
        <f>AVERAGE('TL input - regression'!M7:M8)</f>
        <v>8.4369449378330366</v>
      </c>
      <c r="J7">
        <f>AVERAGE('TL input - regression'!N7:N8)</f>
        <v>1.3414999999999999</v>
      </c>
      <c r="K7">
        <f>AVERAGE('TL input - regression'!O7:O8)</f>
        <v>6.899</v>
      </c>
      <c r="L7">
        <f>AVERAGE('TL input - regression'!P7:P8)</f>
        <v>2.0324999999999998</v>
      </c>
      <c r="M7">
        <f>'Growth Regression'!P7</f>
        <v>1.9936258295762066E-2</v>
      </c>
      <c r="N7">
        <f>M7/'Growth Regression'!$O$24</f>
        <v>0.75108675813481007</v>
      </c>
      <c r="O7">
        <f>'Post Process Calc.'!C25</f>
        <v>5.6083032292987202E-2</v>
      </c>
      <c r="P7">
        <f>'Post Process Calc.'!D25</f>
        <v>1.2622392982086726E-2</v>
      </c>
      <c r="Q7">
        <f>'Post Process Calc.'!E25</f>
        <v>-5.9778023863321372E-3</v>
      </c>
      <c r="R7">
        <f>'Post Process Calc.'!F25</f>
        <v>4.0465603951615999E-3</v>
      </c>
      <c r="S7">
        <f>'Post Process Calc.'!G25</f>
        <v>-2.547840897639867E-3</v>
      </c>
      <c r="T7">
        <f t="shared" si="2"/>
        <v>0.22506616468498386</v>
      </c>
      <c r="U7">
        <f t="shared" si="4"/>
        <v>35.051895183116997</v>
      </c>
      <c r="V7">
        <f t="shared" si="4"/>
        <v>7.8889956138042034</v>
      </c>
      <c r="W7">
        <f t="shared" si="0"/>
        <v>-3.7361264914575858</v>
      </c>
      <c r="X7">
        <f t="shared" si="0"/>
        <v>2.5291002469759998</v>
      </c>
      <c r="Y7">
        <f t="shared" si="0"/>
        <v>-1.5924005610249168</v>
      </c>
      <c r="Z7">
        <v>100</v>
      </c>
      <c r="AA7">
        <v>0.32</v>
      </c>
      <c r="AB7">
        <v>7</v>
      </c>
      <c r="AC7">
        <v>0.7</v>
      </c>
      <c r="AD7">
        <f t="shared" si="1"/>
        <v>5.0118723362727164E-8</v>
      </c>
      <c r="AE7">
        <v>1</v>
      </c>
      <c r="AF7">
        <v>0.311</v>
      </c>
      <c r="AG7">
        <f t="array" ref="AG7">INDEX(Transcriptome!D$2:D$28,MATCH(1,(Transcriptome!$A$2:$A$28=$B7)*(Transcriptome!$C$2:$C$28=$E7),0))</f>
        <v>0.75120083781418034</v>
      </c>
      <c r="AH7">
        <f t="array" ref="AH7">INDEX(Transcriptome!E$2:E$28,MATCH(1,(Transcriptome!$A$2:$A$28=$B7)*(Transcriptome!$C$2:$C$28=$E7),0))</f>
        <v>1.3452090544846451</v>
      </c>
      <c r="AI7">
        <f t="array" ref="AI7">INDEX(Transcriptome!F$2:F$28,MATCH(1,(Transcriptome!$A$2:$A$28=$B7)*(Transcriptome!$C$2:$C$28=$E7),0))</f>
        <v>1.1599251488993827</v>
      </c>
      <c r="AJ7">
        <f t="array" ref="AJ7">INDEX(Transcriptome!G$2:G$28,MATCH(1,(Transcriptome!$A$2:$A$28=$B7)*(Transcriptome!$C$2:$C$28=$E7),0))</f>
        <v>0.70921905462414569</v>
      </c>
      <c r="AK7">
        <f t="array" ref="AK7">INDEX(Transcriptome!H$2:H$28,MATCH(1,(Transcriptome!$A$2:$A$28=$B7)*(Transcriptome!$C$2:$C$28=$E7),0))</f>
        <v>0</v>
      </c>
      <c r="AL7">
        <f t="array" ref="AL7">INDEX(Transcriptome!I$2:I$28,MATCH(1,(Transcriptome!$A$2:$A$28=$B7)*(Transcriptome!$C$2:$C$28=$E7),0))</f>
        <v>1.6282553995115943</v>
      </c>
      <c r="AM7">
        <f t="array" ref="AM7">INDEX(Transcriptome!J$2:J$28,MATCH(1,(Transcriptome!$A$2:$A$28=$B7)*(Transcriptome!$C$2:$C$28=$E7),0))</f>
        <v>1.0870691735149791</v>
      </c>
      <c r="AN7">
        <f t="array" ref="AN7">INDEX(Transcriptome!K$2:K$28,MATCH(1,(Transcriptome!$A$2:$A$28=$B7)*(Transcriptome!$C$2:$C$28=$E7),0))</f>
        <v>1.4630306834308657</v>
      </c>
      <c r="AO7">
        <f t="array" ref="AO7">INDEX(Transcriptome!L$2:L$28,MATCH(1,(Transcriptome!$A$2:$A$28=$B7)*(Transcriptome!$C$2:$C$28=$E7),0))</f>
        <v>1.0171797240321683</v>
      </c>
      <c r="AP7">
        <f t="array" ref="AP7">INDEX(Transcriptome!M$2:M$28,MATCH(1,(Transcriptome!$A$2:$A$28=$B7)*(Transcriptome!$C$2:$C$28=$E7),0))</f>
        <v>1.0744738748130889</v>
      </c>
      <c r="AQ7">
        <f t="array" ref="AQ7">INDEX(Transcriptome!N$2:N$28,MATCH(1,(Transcriptome!$A$2:$A$28=$B7)*(Transcriptome!$C$2:$C$28=$E7),0))</f>
        <v>1.2349088890793825</v>
      </c>
      <c r="AR7">
        <f t="array" ref="AR7">INDEX(Transcriptome!O$2:O$28,MATCH(1,(Transcriptome!$A$2:$A$28=$B7)*(Transcriptome!$C$2:$C$28=$E7),0))</f>
        <v>1.5128732832839087</v>
      </c>
      <c r="AS7">
        <f t="array" ref="AS7">INDEX(Transcriptome!P$2:P$28,MATCH(1,(Transcriptome!$A$2:$A$28=$B7)*(Transcriptome!$C$2:$C$28=$E7),0))</f>
        <v>1.418626571205134</v>
      </c>
      <c r="AT7">
        <f t="array" ref="AT7">INDEX(Transcriptome!Q$2:Q$28,MATCH(1,(Transcriptome!$A$2:$A$28=$B7)*(Transcriptome!$C$2:$C$28=$E7),0))</f>
        <v>0.75818627044108666</v>
      </c>
      <c r="AU7">
        <f t="array" ref="AU7">INDEX(Transcriptome!R$2:R$28,MATCH(1,(Transcriptome!$A$2:$A$28=$B7)*(Transcriptome!$C$2:$C$28=$E7),0))</f>
        <v>0.62222364572130617</v>
      </c>
      <c r="AV7">
        <f t="array" ref="AV7">INDEX(Transcriptome!S$2:S$28,MATCH(1,(Transcriptome!$A$2:$A$28=$B7)*(Transcriptome!$C$2:$C$28=$E7),0))</f>
        <v>0.45398180100126823</v>
      </c>
      <c r="AW7">
        <f t="array" ref="AW7">INDEX(Transcriptome!T$2:T$28,MATCH(1,(Transcriptome!$A$2:$A$28=$B7)*(Transcriptome!$C$2:$C$28=$E7),0))</f>
        <v>1.2443611151314311</v>
      </c>
      <c r="AX7">
        <f t="array" ref="AX7">INDEX(Transcriptome!U$2:U$28,MATCH(1,(Transcriptome!$A$2:$A$28=$B7)*(Transcriptome!$C$2:$C$28=$E7),0))</f>
        <v>3.4109020413139706</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1.1597576413818276</v>
      </c>
      <c r="BB7">
        <f t="array" ref="BB7">INDEX(Transcriptome!Y$2:Y$28,MATCH(1,(Transcriptome!$A$2:$A$28=$B7)*(Transcriptome!$C$2:$C$28=$E7),0))</f>
        <v>0</v>
      </c>
      <c r="BC7">
        <f t="array" ref="BC7">INDEX(Transcriptome!Z$2:Z$28,MATCH(1,(Transcriptome!$A$2:$A$28=$B7)*(Transcriptome!$C$2:$C$28=$E7),0))</f>
        <v>1.4224053459159063</v>
      </c>
      <c r="BD7">
        <f t="array" ref="BD7">INDEX(Transcriptome!AA$2:AA$28,MATCH(1,(Transcriptome!$A$2:$A$28=$B7)*(Transcriptome!$C$2:$C$28=$E7),0))</f>
        <v>1.0785765460349117</v>
      </c>
      <c r="BE7">
        <f t="array" ref="BE7">INDEX(Transcriptome!AB$2:AB$28,MATCH(1,(Transcriptome!$A$2:$A$28=$B7)*(Transcriptome!$C$2:$C$28=$E7),0))</f>
        <v>0.473674659694519</v>
      </c>
      <c r="BF7">
        <f t="array" ref="BF7">INDEX(Transcriptome!AC$2:AC$28,MATCH(1,(Transcriptome!$A$2:$A$28=$B7)*(Transcriptome!$C$2:$C$28=$E7),0))</f>
        <v>1.0599593993610694</v>
      </c>
      <c r="BG7">
        <f t="array" ref="BG7">INDEX(Transcriptome!AD$2:AD$28,MATCH(1,(Transcriptome!$A$2:$A$28=$B7)*(Transcriptome!$C$2:$C$28=$E7),0))</f>
        <v>1.2080921631861166</v>
      </c>
      <c r="BH7">
        <f t="array" ref="BH7">INDEX(Transcriptome!AE$2:AE$28,MATCH(1,(Transcriptome!$A$2:$A$28=$B7)*(Transcriptome!$C$2:$C$28=$E7),0))</f>
        <v>1.5382205274541896</v>
      </c>
      <c r="BI7">
        <f t="array" ref="BI7">INDEX(Transcriptome!AF$2:AF$28,MATCH(1,(Transcriptome!$A$2:$A$28=$B7)*(Transcriptome!$C$2:$C$28=$E7),0))</f>
        <v>0.8896276701542809</v>
      </c>
      <c r="BJ7">
        <f t="array" ref="BJ7">INDEX(Transcriptome!AG$2:AG$28,MATCH(1,(Transcriptome!$A$2:$A$28=$B7)*(Transcriptome!$C$2:$C$28=$E7),0))</f>
        <v>0.5163962964725155</v>
      </c>
      <c r="BK7">
        <f t="array" ref="BK7">INDEX(Transcriptome!AH$2:AH$28,MATCH(1,(Transcriptome!$A$2:$A$28=$B7)*(Transcriptome!$C$2:$C$28=$E7),0))</f>
        <v>2.1130256851285192</v>
      </c>
      <c r="BL7">
        <f t="array" ref="BL7">INDEX(Transcriptome!AI$2:AI$28,MATCH(1,(Transcriptome!$A$2:$A$28=$B7)*(Transcriptome!$C$2:$C$28=$E7),0))</f>
        <v>0.83004246210802102</v>
      </c>
      <c r="BM7">
        <f t="array" ref="BM7">INDEX(Transcriptome!AJ$2:AJ$28,MATCH(1,(Transcriptome!$A$2:$A$28=$B7)*(Transcriptome!$C$2:$C$28=$E7),0))</f>
        <v>0.91927335509585972</v>
      </c>
      <c r="BN7">
        <f t="array" ref="BN7">INDEX(Transcriptome!AK$2:AK$28,MATCH(1,(Transcriptome!$A$2:$A$28=$B7)*(Transcriptome!$C$2:$C$28=$E7),0))</f>
        <v>0.86442341502752595</v>
      </c>
      <c r="BO7">
        <f t="array" ref="BO7">INDEX(Transcriptome!AL$2:AL$28,MATCH(1,(Transcriptome!$A$2:$A$28=$B7)*(Transcriptome!$C$2:$C$28=$E7),0))</f>
        <v>1</v>
      </c>
      <c r="BP7">
        <f t="array" ref="BP7">INDEX(Transcriptome!AM$2:AM$28,MATCH(1,(Transcriptome!$A$2:$A$28=$B7)*(Transcriptome!$C$2:$C$28=$E7),0))</f>
        <v>0.77410003444406195</v>
      </c>
      <c r="BQ7">
        <f t="array" ref="BQ7">INDEX(Transcriptome!AN$2:AN$28,MATCH(1,(Transcriptome!$A$2:$A$28=$B7)*(Transcriptome!$C$2:$C$28=$E7),0))</f>
        <v>1.0525309554062177</v>
      </c>
      <c r="BR7">
        <f t="array" ref="BR7">INDEX(Transcriptome!AO$2:AO$28,MATCH(1,(Transcriptome!$A$2:$A$28=$B7)*(Transcriptome!$C$2:$C$28=$E7),0))</f>
        <v>1.2717687051722399</v>
      </c>
      <c r="BS7">
        <f t="array" ref="BS7">INDEX(Transcriptome!AP$2:AP$28,MATCH(1,(Transcriptome!$A$2:$A$28=$B7)*(Transcriptome!$C$2:$C$28=$E7),0))</f>
        <v>1.1267475274689782</v>
      </c>
      <c r="BT7">
        <f t="array" ref="BT7">INDEX(Transcriptome!AQ$2:AQ$28,MATCH(1,(Transcriptome!$A$2:$A$28=$B7)*(Transcriptome!$C$2:$C$28=$E7),0))</f>
        <v>1.4322233621409421</v>
      </c>
      <c r="BU7">
        <f t="array" ref="BU7">INDEX(Transcriptome!AR$2:AR$28,MATCH(1,(Transcriptome!$A$2:$A$28=$B7)*(Transcriptome!$C$2:$C$28=$E7),0))</f>
        <v>0.78466234379208444</v>
      </c>
      <c r="BV7">
        <f t="array" ref="BV7">INDEX(Transcriptome!AS$2:AS$28,MATCH(1,(Transcriptome!$A$2:$A$28=$B7)*(Transcriptome!$C$2:$C$28=$E7),0))</f>
        <v>1.0494434523058931</v>
      </c>
      <c r="BW7">
        <f t="array" ref="BW7">INDEX(Transcriptome!AT$2:AT$28,MATCH(1,(Transcriptome!$A$2:$A$28=$B7)*(Transcriptome!$C$2:$C$28=$E7),0))</f>
        <v>0.83007572688612297</v>
      </c>
      <c r="BX7">
        <f t="array" ref="BX7">INDEX(Transcriptome!AU$2:AU$28,MATCH(1,(Transcriptome!$A$2:$A$28=$B7)*(Transcriptome!$C$2:$C$28=$E7),0))</f>
        <v>1.7460276276240947</v>
      </c>
      <c r="BY7">
        <f t="array" ref="BY7">INDEX(Transcriptome!AV$2:AV$28,MATCH(1,(Transcriptome!$A$2:$A$28=$B7)*(Transcriptome!$C$2:$C$28=$E7),0))</f>
        <v>0.66402112588341244</v>
      </c>
      <c r="BZ7">
        <f t="array" ref="BZ7">INDEX(Transcriptome!AW$2:AW$28,MATCH(1,(Transcriptome!$A$2:$A$28=$B7)*(Transcriptome!$C$2:$C$28=$E7),0))</f>
        <v>0.81142190925227209</v>
      </c>
      <c r="CA7">
        <f t="array" ref="CA7">INDEX(Transcriptome!AX$2:AX$28,MATCH(1,(Transcriptome!$A$2:$A$28=$B7)*(Transcriptome!$C$2:$C$28=$E7),0))</f>
        <v>0.81666505828774349</v>
      </c>
      <c r="CB7">
        <f t="array" ref="CB7">INDEX(Transcriptome!AY$2:AY$28,MATCH(1,(Transcriptome!$A$2:$A$28=$B7)*(Transcriptome!$C$2:$C$28=$E7),0))</f>
        <v>0.95021814160116058</v>
      </c>
      <c r="CC7">
        <f t="array" ref="CC7">INDEX(Transcriptome!AZ$2:AZ$28,MATCH(1,(Transcriptome!$A$2:$A$28=$B7)*(Transcriptome!$C$2:$C$28=$E7),0))</f>
        <v>0.94937399788501819</v>
      </c>
      <c r="CD7">
        <f t="array" ref="CD7">INDEX(Transcriptome!BA$2:BA$28,MATCH(1,(Transcriptome!$A$2:$A$28=$B7)*(Transcriptome!$C$2:$C$28=$E7),0))</f>
        <v>1.8902342706959754</v>
      </c>
      <c r="CE7">
        <f t="array" ref="CE7">INDEX(Transcriptome!BB$2:BB$28,MATCH(1,(Transcriptome!$A$2:$A$28=$B7)*(Transcriptome!$C$2:$C$28=$E7),0))</f>
        <v>2.3470969042014311</v>
      </c>
      <c r="CF7">
        <f t="array" ref="CF7">INDEX(Transcriptome!BC$2:BC$28,MATCH(1,(Transcriptome!$A$2:$A$28=$B7)*(Transcriptome!$C$2:$C$28=$E7),0))</f>
        <v>0</v>
      </c>
      <c r="CG7">
        <f t="array" ref="CG7">INDEX(Transcriptome!BD$2:BD$28,MATCH(1,(Transcriptome!$A$2:$A$28=$B7)*(Transcriptome!$C$2:$C$28=$E7),0))</f>
        <v>1.5657670378943449</v>
      </c>
      <c r="CH7">
        <f t="array" ref="CH7">INDEX(Transcriptome!BE$2:BE$28,MATCH(1,(Transcriptome!$A$2:$A$28=$B7)*(Transcriptome!$C$2:$C$28=$E7),0))</f>
        <v>1.3747651173760067</v>
      </c>
      <c r="CI7">
        <f t="array" ref="CI7">INDEX(Transcriptome!BF$2:BF$28,MATCH(1,(Transcriptome!$A$2:$A$28=$B7)*(Transcriptome!$C$2:$C$28=$E7),0))</f>
        <v>1.643579659112117</v>
      </c>
      <c r="CJ7">
        <f t="array" ref="CJ7">INDEX(Transcriptome!BG$2:BG$28,MATCH(1,(Transcriptome!$A$2:$A$28=$B7)*(Transcriptome!$C$2:$C$28=$E7),0))</f>
        <v>2.3378670928049927</v>
      </c>
      <c r="CK7">
        <f t="array" ref="CK7">INDEX(Transcriptome!BH$2:BH$28,MATCH(1,(Transcriptome!$A$2:$A$28=$B7)*(Transcriptome!$C$2:$C$28=$E7),0))</f>
        <v>0.67281144000502036</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2.2087413434455483</v>
      </c>
      <c r="CO7">
        <f t="array" ref="CO7">INDEX(Transcriptome!BL$2:BL$28,MATCH(1,(Transcriptome!$A$2:$A$28=$B7)*(Transcriptome!$C$2:$C$28=$E7),0))</f>
        <v>1.8626260215226293</v>
      </c>
      <c r="CP7">
        <f t="array" ref="CP7">INDEX(Transcriptome!BM$2:BM$28,MATCH(1,(Transcriptome!$A$2:$A$28=$B7)*(Transcriptome!$C$2:$C$28=$E7),0))</f>
        <v>0.6498926544427488</v>
      </c>
      <c r="CQ7">
        <f t="array" ref="CQ7">INDEX(Transcriptome!BN$2:BN$28,MATCH(1,(Transcriptome!$A$2:$A$28=$B7)*(Transcriptome!$C$2:$C$28=$E7),0))</f>
        <v>30.252756592141139</v>
      </c>
      <c r="CR7">
        <f t="array" ref="CR7">INDEX(Transcriptome!BO$2:BO$28,MATCH(1,(Transcriptome!$A$2:$A$28=$B7)*(Transcriptome!$C$2:$C$28=$E7),0))</f>
        <v>1.8572773148073258</v>
      </c>
      <c r="CS7">
        <f t="array" ref="CS7">INDEX(Transcriptome!BP$2:BP$28,MATCH(1,(Transcriptome!$A$2:$A$28=$B7)*(Transcriptome!$C$2:$C$28=$E7),0))</f>
        <v>0.67281144000502036</v>
      </c>
      <c r="CT7">
        <f t="array" ref="CT7">INDEX(Transcriptome!BQ$2:BQ$28,MATCH(1,(Transcriptome!$A$2:$A$28=$B7)*(Transcriptome!$C$2:$C$28=$E7),0))</f>
        <v>1</v>
      </c>
      <c r="CU7">
        <f t="array" ref="CU7">INDEX(Transcriptome!BR$2:BR$28,MATCH(1,(Transcriptome!$A$2:$A$28=$B7)*(Transcriptome!$C$2:$C$28=$E7),0))</f>
        <v>1.2652823875258563</v>
      </c>
    </row>
    <row r="8" spans="1:99">
      <c r="A8">
        <f>'Measured Data'!A13</f>
        <v>6</v>
      </c>
      <c r="B8" t="s">
        <v>582</v>
      </c>
      <c r="C8" s="324" t="s">
        <v>586</v>
      </c>
      <c r="D8">
        <v>1</v>
      </c>
      <c r="E8" t="s">
        <v>511</v>
      </c>
      <c r="F8" s="477">
        <f>'Growth Regression'!R8</f>
        <v>6.3746527777802839</v>
      </c>
      <c r="G8" s="477">
        <f>'Growth Regression'!S8</f>
        <v>152.99166666672681</v>
      </c>
      <c r="H8">
        <f>AVERAGE('TL input - regression'!L8:L9)</f>
        <v>32.638380070605479</v>
      </c>
      <c r="I8">
        <f>AVERAGE('TL input - regression'!M8:M9)</f>
        <v>10.657193605683837</v>
      </c>
      <c r="J8">
        <f>AVERAGE('TL input - regression'!N8:N9)</f>
        <v>2.0724999999999998</v>
      </c>
      <c r="K8">
        <f>AVERAGE('TL input - regression'!O8:O9)</f>
        <v>6.0084999999999997</v>
      </c>
      <c r="L8">
        <f>AVERAGE('TL input - regression'!P8:P9)</f>
        <v>2.4929999999999999</v>
      </c>
      <c r="M8">
        <f>'Growth Regression'!P8</f>
        <v>1.6116851393872915E-2</v>
      </c>
      <c r="N8">
        <f>M8/'Growth Regression'!$O$24</f>
        <v>0.60719285861869809</v>
      </c>
      <c r="O8">
        <f>'Post Process Calc.'!C26</f>
        <v>4.4434012533676057E-2</v>
      </c>
      <c r="P8">
        <f>'Post Process Calc.'!D26</f>
        <v>3.3292085502942058E-3</v>
      </c>
      <c r="Q8">
        <f>'Post Process Calc.'!E26</f>
        <v>-5.8790187776064391E-3</v>
      </c>
      <c r="R8">
        <f>'Post Process Calc.'!F26</f>
        <v>4.3137949991245341E-3</v>
      </c>
      <c r="S8">
        <f>'Post Process Calc.'!G26</f>
        <v>-1.2852282678583935E-3</v>
      </c>
      <c r="T8">
        <f t="shared" si="2"/>
        <v>7.4924778575219481E-2</v>
      </c>
      <c r="U8">
        <f t="shared" si="4"/>
        <v>27.771257833547534</v>
      </c>
      <c r="V8">
        <f t="shared" si="4"/>
        <v>2.0807553439338786</v>
      </c>
      <c r="W8">
        <f t="shared" si="0"/>
        <v>-3.6743867360040241</v>
      </c>
      <c r="X8">
        <f t="shared" si="0"/>
        <v>2.6961218744528339</v>
      </c>
      <c r="Y8">
        <f t="shared" si="0"/>
        <v>-0.80326766741149591</v>
      </c>
      <c r="Z8">
        <v>100</v>
      </c>
      <c r="AA8">
        <v>0.32</v>
      </c>
      <c r="AB8">
        <v>7</v>
      </c>
      <c r="AC8">
        <v>0.7</v>
      </c>
      <c r="AD8">
        <f t="shared" si="1"/>
        <v>5.0118723362727164E-8</v>
      </c>
      <c r="AE8">
        <v>1</v>
      </c>
      <c r="AF8">
        <v>0.311</v>
      </c>
      <c r="AG8">
        <f t="array" ref="AG8">INDEX(Transcriptome!D$2:D$28,MATCH(1,(Transcriptome!$A$2:$A$28=$B8)*(Transcriptome!$C$2:$C$28=$E8),0))</f>
        <v>0.79638815840343802</v>
      </c>
      <c r="AH8">
        <f t="array" ref="AH8">INDEX(Transcriptome!E$2:E$28,MATCH(1,(Transcriptome!$A$2:$A$28=$B8)*(Transcriptome!$C$2:$C$28=$E8),0))</f>
        <v>1.3861591991761282</v>
      </c>
      <c r="AI8">
        <f t="array" ref="AI8">INDEX(Transcriptome!F$2:F$28,MATCH(1,(Transcriptome!$A$2:$A$28=$B8)*(Transcriptome!$C$2:$C$28=$E8),0))</f>
        <v>1.2378335354860572</v>
      </c>
      <c r="AJ8">
        <f t="array" ref="AJ8">INDEX(Transcriptome!G$2:G$28,MATCH(1,(Transcriptome!$A$2:$A$28=$B8)*(Transcriptome!$C$2:$C$28=$E8),0))</f>
        <v>1.1146782068558136</v>
      </c>
      <c r="AK8">
        <f t="array" ref="AK8">INDEX(Transcriptome!H$2:H$28,MATCH(1,(Transcriptome!$A$2:$A$28=$B8)*(Transcriptome!$C$2:$C$28=$E8),0))</f>
        <v>0</v>
      </c>
      <c r="AL8">
        <f t="array" ref="AL8">INDEX(Transcriptome!I$2:I$28,MATCH(1,(Transcriptome!$A$2:$A$28=$B8)*(Transcriptome!$C$2:$C$28=$E8),0))</f>
        <v>1.5937672902652</v>
      </c>
      <c r="AM8">
        <f t="array" ref="AM8">INDEX(Transcriptome!J$2:J$28,MATCH(1,(Transcriptome!$A$2:$A$28=$B8)*(Transcriptome!$C$2:$C$28=$E8),0))</f>
        <v>1.1631873200393728</v>
      </c>
      <c r="AN8">
        <f t="array" ref="AN8">INDEX(Transcriptome!K$2:K$28,MATCH(1,(Transcriptome!$A$2:$A$28=$B8)*(Transcriptome!$C$2:$C$28=$E8),0))</f>
        <v>1.5177303868699665</v>
      </c>
      <c r="AO8">
        <f t="array" ref="AO8">INDEX(Transcriptome!L$2:L$28,MATCH(1,(Transcriptome!$A$2:$A$28=$B8)*(Transcriptome!$C$2:$C$28=$E8),0))</f>
        <v>0.94953778317608362</v>
      </c>
      <c r="AP8">
        <f t="array" ref="AP8">INDEX(Transcriptome!M$2:M$28,MATCH(1,(Transcriptome!$A$2:$A$28=$B8)*(Transcriptome!$C$2:$C$28=$E8),0))</f>
        <v>1.0504785782994102</v>
      </c>
      <c r="AQ8">
        <f t="array" ref="AQ8">INDEX(Transcriptome!N$2:N$28,MATCH(1,(Transcriptome!$A$2:$A$28=$B8)*(Transcriptome!$C$2:$C$28=$E8),0))</f>
        <v>1.1745786590814218</v>
      </c>
      <c r="AR8">
        <f t="array" ref="AR8">INDEX(Transcriptome!O$2:O$28,MATCH(1,(Transcriptome!$A$2:$A$28=$B8)*(Transcriptome!$C$2:$C$28=$E8),0))</f>
        <v>1.4246121383254033</v>
      </c>
      <c r="AS8">
        <f t="array" ref="AS8">INDEX(Transcriptome!P$2:P$28,MATCH(1,(Transcriptome!$A$2:$A$28=$B8)*(Transcriptome!$C$2:$C$28=$E8),0))</f>
        <v>1.4316718554573129</v>
      </c>
      <c r="AT8">
        <f t="array" ref="AT8">INDEX(Transcriptome!Q$2:Q$28,MATCH(1,(Transcriptome!$A$2:$A$28=$B8)*(Transcriptome!$C$2:$C$28=$E8),0))</f>
        <v>0.75713152819582763</v>
      </c>
      <c r="AU8">
        <f t="array" ref="AU8">INDEX(Transcriptome!R$2:R$28,MATCH(1,(Transcriptome!$A$2:$A$28=$B8)*(Transcriptome!$C$2:$C$28=$E8),0))</f>
        <v>0.60703184309084135</v>
      </c>
      <c r="AV8">
        <f t="array" ref="AV8">INDEX(Transcriptome!S$2:S$28,MATCH(1,(Transcriptome!$A$2:$A$28=$B8)*(Transcriptome!$C$2:$C$28=$E8),0))</f>
        <v>0.46227503814383497</v>
      </c>
      <c r="AW8">
        <f t="array" ref="AW8">INDEX(Transcriptome!T$2:T$28,MATCH(1,(Transcriptome!$A$2:$A$28=$B8)*(Transcriptome!$C$2:$C$28=$E8),0))</f>
        <v>1.1887400615608046</v>
      </c>
      <c r="AX8">
        <f t="array" ref="AX8">INDEX(Transcriptome!U$2:U$28,MATCH(1,(Transcriptome!$A$2:$A$28=$B8)*(Transcriptome!$C$2:$C$28=$E8),0))</f>
        <v>3.2846004383966516</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1.151485022865421</v>
      </c>
      <c r="BB8">
        <f t="array" ref="BB8">INDEX(Transcriptome!Y$2:Y$28,MATCH(1,(Transcriptome!$A$2:$A$28=$B8)*(Transcriptome!$C$2:$C$28=$E8),0))</f>
        <v>0</v>
      </c>
      <c r="BC8">
        <f t="array" ref="BC8">INDEX(Transcriptome!Z$2:Z$28,MATCH(1,(Transcriptome!$A$2:$A$28=$B8)*(Transcriptome!$C$2:$C$28=$E8),0))</f>
        <v>1.522345115654818</v>
      </c>
      <c r="BD8">
        <f t="array" ref="BD8">INDEX(Transcriptome!AA$2:AA$28,MATCH(1,(Transcriptome!$A$2:$A$28=$B8)*(Transcriptome!$C$2:$C$28=$E8),0))</f>
        <v>1.0868611963156045</v>
      </c>
      <c r="BE8">
        <f t="array" ref="BE8">INDEX(Transcriptome!AB$2:AB$28,MATCH(1,(Transcriptome!$A$2:$A$28=$B8)*(Transcriptome!$C$2:$C$28=$E8),0))</f>
        <v>0.47108546246307648</v>
      </c>
      <c r="BF8">
        <f t="array" ref="BF8">INDEX(Transcriptome!AC$2:AC$28,MATCH(1,(Transcriptome!$A$2:$A$28=$B8)*(Transcriptome!$C$2:$C$28=$E8),0))</f>
        <v>1.0143119044332307</v>
      </c>
      <c r="BG8">
        <f t="array" ref="BG8">INDEX(Transcriptome!AD$2:AD$28,MATCH(1,(Transcriptome!$A$2:$A$28=$B8)*(Transcriptome!$C$2:$C$28=$E8),0))</f>
        <v>1.2812995285762343</v>
      </c>
      <c r="BH8">
        <f t="array" ref="BH8">INDEX(Transcriptome!AE$2:AE$28,MATCH(1,(Transcriptome!$A$2:$A$28=$B8)*(Transcriptome!$C$2:$C$28=$E8),0))</f>
        <v>1.4799321306043323</v>
      </c>
      <c r="BI8">
        <f t="array" ref="BI8">INDEX(Transcriptome!AF$2:AF$28,MATCH(1,(Transcriptome!$A$2:$A$28=$B8)*(Transcriptome!$C$2:$C$28=$E8),0))</f>
        <v>0.9086559090219839</v>
      </c>
      <c r="BJ8">
        <f t="array" ref="BJ8">INDEX(Transcriptome!AG$2:AG$28,MATCH(1,(Transcriptome!$A$2:$A$28=$B8)*(Transcriptome!$C$2:$C$28=$E8),0))</f>
        <v>0.58759307532968807</v>
      </c>
      <c r="BK8">
        <f t="array" ref="BK8">INDEX(Transcriptome!AH$2:AH$28,MATCH(1,(Transcriptome!$A$2:$A$28=$B8)*(Transcriptome!$C$2:$C$28=$E8),0))</f>
        <v>2.0587540778292777</v>
      </c>
      <c r="BL8">
        <f t="array" ref="BL8">INDEX(Transcriptome!AI$2:AI$28,MATCH(1,(Transcriptome!$A$2:$A$28=$B8)*(Transcriptome!$C$2:$C$28=$E8),0))</f>
        <v>0.8753236435968571</v>
      </c>
      <c r="BM8">
        <f t="array" ref="BM8">INDEX(Transcriptome!AJ$2:AJ$28,MATCH(1,(Transcriptome!$A$2:$A$28=$B8)*(Transcriptome!$C$2:$C$28=$E8),0))</f>
        <v>0.88559206312324201</v>
      </c>
      <c r="BN8">
        <f t="array" ref="BN8">INDEX(Transcriptome!AK$2:AK$28,MATCH(1,(Transcriptome!$A$2:$A$28=$B8)*(Transcriptome!$C$2:$C$28=$E8),0))</f>
        <v>0.88259806714277234</v>
      </c>
      <c r="BO8">
        <f t="array" ref="BO8">INDEX(Transcriptome!AL$2:AL$28,MATCH(1,(Transcriptome!$A$2:$A$28=$B8)*(Transcriptome!$C$2:$C$28=$E8),0))</f>
        <v>1</v>
      </c>
      <c r="BP8">
        <f t="array" ref="BP8">INDEX(Transcriptome!AM$2:AM$28,MATCH(1,(Transcriptome!$A$2:$A$28=$B8)*(Transcriptome!$C$2:$C$28=$E8),0))</f>
        <v>0.88904773156498651</v>
      </c>
      <c r="BQ8">
        <f t="array" ref="BQ8">INDEX(Transcriptome!AN$2:AN$28,MATCH(1,(Transcriptome!$A$2:$A$28=$B8)*(Transcriptome!$C$2:$C$28=$E8),0))</f>
        <v>1.0909544267130757</v>
      </c>
      <c r="BR8">
        <f t="array" ref="BR8">INDEX(Transcriptome!AO$2:AO$28,MATCH(1,(Transcriptome!$A$2:$A$28=$B8)*(Transcriptome!$C$2:$C$28=$E8),0))</f>
        <v>1.2426193929744529</v>
      </c>
      <c r="BS8">
        <f t="array" ref="BS8">INDEX(Transcriptome!AP$2:AP$28,MATCH(1,(Transcriptome!$A$2:$A$28=$B8)*(Transcriptome!$C$2:$C$28=$E8),0))</f>
        <v>1.1782369279727287</v>
      </c>
      <c r="BT8">
        <f t="array" ref="BT8">INDEX(Transcriptome!AQ$2:AQ$28,MATCH(1,(Transcriptome!$A$2:$A$28=$B8)*(Transcriptome!$C$2:$C$28=$E8),0))</f>
        <v>1.5361027527678581</v>
      </c>
      <c r="BU8">
        <f t="array" ref="BU8">INDEX(Transcriptome!AR$2:AR$28,MATCH(1,(Transcriptome!$A$2:$A$28=$B8)*(Transcriptome!$C$2:$C$28=$E8),0))</f>
        <v>0.79955992801394471</v>
      </c>
      <c r="BV8">
        <f t="array" ref="BV8">INDEX(Transcriptome!AS$2:AS$28,MATCH(1,(Transcriptome!$A$2:$A$28=$B8)*(Transcriptome!$C$2:$C$28=$E8),0))</f>
        <v>1.0637104985025529</v>
      </c>
      <c r="BW8">
        <f t="array" ref="BW8">INDEX(Transcriptome!AT$2:AT$28,MATCH(1,(Transcriptome!$A$2:$A$28=$B8)*(Transcriptome!$C$2:$C$28=$E8),0))</f>
        <v>0.85835356565229848</v>
      </c>
      <c r="BX8">
        <f t="array" ref="BX8">INDEX(Transcriptome!AU$2:AU$28,MATCH(1,(Transcriptome!$A$2:$A$28=$B8)*(Transcriptome!$C$2:$C$28=$E8),0))</f>
        <v>1.712850383210498</v>
      </c>
      <c r="BY8">
        <f t="array" ref="BY8">INDEX(Transcriptome!AV$2:AV$28,MATCH(1,(Transcriptome!$A$2:$A$28=$B8)*(Transcriptome!$C$2:$C$28=$E8),0))</f>
        <v>0.71198577137362051</v>
      </c>
      <c r="BZ8">
        <f t="array" ref="BZ8">INDEX(Transcriptome!AW$2:AW$28,MATCH(1,(Transcriptome!$A$2:$A$28=$B8)*(Transcriptome!$C$2:$C$28=$E8),0))</f>
        <v>0.80094474222558609</v>
      </c>
      <c r="CA8">
        <f t="array" ref="CA8">INDEX(Transcriptome!AX$2:AX$28,MATCH(1,(Transcriptome!$A$2:$A$28=$B8)*(Transcriptome!$C$2:$C$28=$E8),0))</f>
        <v>0.82590812135401737</v>
      </c>
      <c r="CB8">
        <f t="array" ref="CB8">INDEX(Transcriptome!AY$2:AY$28,MATCH(1,(Transcriptome!$A$2:$A$28=$B8)*(Transcriptome!$C$2:$C$28=$E8),0))</f>
        <v>1.0272241552810923</v>
      </c>
      <c r="CC8">
        <f t="array" ref="CC8">INDEX(Transcriptome!AZ$2:AZ$28,MATCH(1,(Transcriptome!$A$2:$A$28=$B8)*(Transcriptome!$C$2:$C$28=$E8),0))</f>
        <v>0.96959416736772075</v>
      </c>
      <c r="CD8">
        <f t="array" ref="CD8">INDEX(Transcriptome!BA$2:BA$28,MATCH(1,(Transcriptome!$A$2:$A$28=$B8)*(Transcriptome!$C$2:$C$28=$E8),0))</f>
        <v>1.974935690525407</v>
      </c>
      <c r="CE8">
        <f t="array" ref="CE8">INDEX(Transcriptome!BB$2:BB$28,MATCH(1,(Transcriptome!$A$2:$A$28=$B8)*(Transcriptome!$C$2:$C$28=$E8),0))</f>
        <v>2.1033973998458797</v>
      </c>
      <c r="CF8">
        <f t="array" ref="CF8">INDEX(Transcriptome!BC$2:BC$28,MATCH(1,(Transcriptome!$A$2:$A$28=$B8)*(Transcriptome!$C$2:$C$28=$E8),0))</f>
        <v>0</v>
      </c>
      <c r="CG8">
        <f t="array" ref="CG8">INDEX(Transcriptome!BD$2:BD$28,MATCH(1,(Transcriptome!$A$2:$A$28=$B8)*(Transcriptome!$C$2:$C$28=$E8),0))</f>
        <v>1.5996061925887715</v>
      </c>
      <c r="CH8">
        <f t="array" ref="CH8">INDEX(Transcriptome!BE$2:BE$28,MATCH(1,(Transcriptome!$A$2:$A$28=$B8)*(Transcriptome!$C$2:$C$28=$E8),0))</f>
        <v>1.4949993475149961</v>
      </c>
      <c r="CI8">
        <f t="array" ref="CI8">INDEX(Transcriptome!BF$2:BF$28,MATCH(1,(Transcriptome!$A$2:$A$28=$B8)*(Transcriptome!$C$2:$C$28=$E8),0))</f>
        <v>1.5497468202012199</v>
      </c>
      <c r="CJ8">
        <f t="array" ref="CJ8">INDEX(Transcriptome!BG$2:BG$28,MATCH(1,(Transcriptome!$A$2:$A$28=$B8)*(Transcriptome!$C$2:$C$28=$E8),0))</f>
        <v>2.4313166778774296</v>
      </c>
      <c r="CK8">
        <f t="array" ref="CK8">INDEX(Transcriptome!BH$2:BH$28,MATCH(1,(Transcriptome!$A$2:$A$28=$B8)*(Transcriptome!$C$2:$C$28=$E8),0))</f>
        <v>0.64707001056733671</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2.1724789275552308</v>
      </c>
      <c r="CO8">
        <f t="array" ref="CO8">INDEX(Transcriptome!BL$2:BL$28,MATCH(1,(Transcriptome!$A$2:$A$28=$B8)*(Transcriptome!$C$2:$C$28=$E8),0))</f>
        <v>1.7950064664524856</v>
      </c>
      <c r="CP8">
        <f t="array" ref="CP8">INDEX(Transcriptome!BM$2:BM$28,MATCH(1,(Transcriptome!$A$2:$A$28=$B8)*(Transcriptome!$C$2:$C$28=$E8),0))</f>
        <v>0.75235595411476763</v>
      </c>
      <c r="CQ8">
        <f t="array" ref="CQ8">INDEX(Transcriptome!BN$2:BN$28,MATCH(1,(Transcriptome!$A$2:$A$28=$B8)*(Transcriptome!$C$2:$C$28=$E8),0))</f>
        <v>30.841627330882794</v>
      </c>
      <c r="CR8">
        <f t="array" ref="CR8">INDEX(Transcriptome!BO$2:BO$28,MATCH(1,(Transcriptome!$A$2:$A$28=$B8)*(Transcriptome!$C$2:$C$28=$E8),0))</f>
        <v>1.9998119070900044</v>
      </c>
      <c r="CS8">
        <f t="array" ref="CS8">INDEX(Transcriptome!BP$2:BP$28,MATCH(1,(Transcriptome!$A$2:$A$28=$B8)*(Transcriptome!$C$2:$C$28=$E8),0))</f>
        <v>0.64707001056733671</v>
      </c>
      <c r="CT8">
        <f t="array" ref="CT8">INDEX(Transcriptome!BQ$2:BQ$28,MATCH(1,(Transcriptome!$A$2:$A$28=$B8)*(Transcriptome!$C$2:$C$28=$E8),0))</f>
        <v>1</v>
      </c>
      <c r="CU8">
        <f t="array" ref="CU8">INDEX(Transcriptome!BR$2:BR$28,MATCH(1,(Transcriptome!$A$2:$A$28=$B8)*(Transcriptome!$C$2:$C$28=$E8),0))</f>
        <v>1.4503728796128219</v>
      </c>
    </row>
    <row r="9" spans="1:99">
      <c r="A9">
        <f>'Measured Data'!A14</f>
        <v>7</v>
      </c>
      <c r="B9" t="s">
        <v>582</v>
      </c>
      <c r="C9" s="324" t="s">
        <v>586</v>
      </c>
      <c r="D9">
        <v>1</v>
      </c>
      <c r="E9" t="s">
        <v>511</v>
      </c>
      <c r="F9" s="477">
        <f>'Growth Regression'!R9</f>
        <v>7.375347222223354</v>
      </c>
      <c r="G9" s="477">
        <f>'Growth Regression'!S9</f>
        <v>177.0083333333605</v>
      </c>
      <c r="H9">
        <f>AVERAGE('TL input - regression'!L9:L10)</f>
        <v>26.865605364239876</v>
      </c>
      <c r="I9">
        <f>AVERAGE('TL input - regression'!M9:M10)</f>
        <v>11.489786856127886</v>
      </c>
      <c r="J9">
        <f>AVERAGE('TL input - regression'!N9:N10)</f>
        <v>3.2199999999999998</v>
      </c>
      <c r="K9">
        <f>AVERAGE('TL input - regression'!O9:O10)</f>
        <v>3.5594999999999999</v>
      </c>
      <c r="L9">
        <f>AVERAGE('TL input - regression'!P9:P10)</f>
        <v>3.1985000000000001</v>
      </c>
      <c r="M9">
        <f>'Growth Regression'!P9</f>
        <v>1.1999991088599072E-2</v>
      </c>
      <c r="N9">
        <f>M9/'Growth Regression'!$O$24</f>
        <v>0.45209257778820144</v>
      </c>
      <c r="O9">
        <f>'Post Process Calc.'!C27</f>
        <v>3.8333657341907759E-2</v>
      </c>
      <c r="P9">
        <f>'Post Process Calc.'!D27</f>
        <v>-1.7208527208989754E-3</v>
      </c>
      <c r="Q9">
        <f>'Post Process Calc.'!E27</f>
        <v>-4.8486266753161615E-3</v>
      </c>
      <c r="R9">
        <f>'Post Process Calc.'!F27</f>
        <v>4.2431568526381368E-3</v>
      </c>
      <c r="S9">
        <f>'Post Process Calc.'!G27</f>
        <v>-5.2406622778602887E-4</v>
      </c>
      <c r="T9">
        <f t="shared" si="2"/>
        <v>-4.4891430670187478E-2</v>
      </c>
      <c r="U9">
        <f t="shared" si="4"/>
        <v>23.958535838692349</v>
      </c>
      <c r="V9">
        <f t="shared" si="4"/>
        <v>-1.0755329505618596</v>
      </c>
      <c r="W9">
        <f t="shared" si="0"/>
        <v>-3.030391672072601</v>
      </c>
      <c r="X9">
        <f t="shared" si="0"/>
        <v>2.6519730328988356</v>
      </c>
      <c r="Y9">
        <f t="shared" si="0"/>
        <v>-0.327541392366268</v>
      </c>
      <c r="Z9">
        <v>100</v>
      </c>
      <c r="AA9">
        <v>0.32</v>
      </c>
      <c r="AB9">
        <v>7</v>
      </c>
      <c r="AC9">
        <v>0.7</v>
      </c>
      <c r="AD9">
        <f t="shared" si="1"/>
        <v>5.0118723362727164E-8</v>
      </c>
      <c r="AE9">
        <v>1</v>
      </c>
      <c r="AF9">
        <v>0.311</v>
      </c>
      <c r="AG9">
        <f t="array" ref="AG9">INDEX(Transcriptome!D$2:D$28,MATCH(1,(Transcriptome!$A$2:$A$28=$B9)*(Transcriptome!$C$2:$C$28=$E9),0))</f>
        <v>0.79638815840343802</v>
      </c>
      <c r="AH9">
        <f t="array" ref="AH9">INDEX(Transcriptome!E$2:E$28,MATCH(1,(Transcriptome!$A$2:$A$28=$B9)*(Transcriptome!$C$2:$C$28=$E9),0))</f>
        <v>1.3861591991761282</v>
      </c>
      <c r="AI9">
        <f t="array" ref="AI9">INDEX(Transcriptome!F$2:F$28,MATCH(1,(Transcriptome!$A$2:$A$28=$B9)*(Transcriptome!$C$2:$C$28=$E9),0))</f>
        <v>1.2378335354860572</v>
      </c>
      <c r="AJ9">
        <f t="array" ref="AJ9">INDEX(Transcriptome!G$2:G$28,MATCH(1,(Transcriptome!$A$2:$A$28=$B9)*(Transcriptome!$C$2:$C$28=$E9),0))</f>
        <v>1.1146782068558136</v>
      </c>
      <c r="AK9">
        <f t="array" ref="AK9">INDEX(Transcriptome!H$2:H$28,MATCH(1,(Transcriptome!$A$2:$A$28=$B9)*(Transcriptome!$C$2:$C$28=$E9),0))</f>
        <v>0</v>
      </c>
      <c r="AL9">
        <f t="array" ref="AL9">INDEX(Transcriptome!I$2:I$28,MATCH(1,(Transcriptome!$A$2:$A$28=$B9)*(Transcriptome!$C$2:$C$28=$E9),0))</f>
        <v>1.5937672902652</v>
      </c>
      <c r="AM9">
        <f t="array" ref="AM9">INDEX(Transcriptome!J$2:J$28,MATCH(1,(Transcriptome!$A$2:$A$28=$B9)*(Transcriptome!$C$2:$C$28=$E9),0))</f>
        <v>1.1631873200393728</v>
      </c>
      <c r="AN9">
        <f t="array" ref="AN9">INDEX(Transcriptome!K$2:K$28,MATCH(1,(Transcriptome!$A$2:$A$28=$B9)*(Transcriptome!$C$2:$C$28=$E9),0))</f>
        <v>1.5177303868699665</v>
      </c>
      <c r="AO9">
        <f t="array" ref="AO9">INDEX(Transcriptome!L$2:L$28,MATCH(1,(Transcriptome!$A$2:$A$28=$B9)*(Transcriptome!$C$2:$C$28=$E9),0))</f>
        <v>0.94953778317608362</v>
      </c>
      <c r="AP9">
        <f t="array" ref="AP9">INDEX(Transcriptome!M$2:M$28,MATCH(1,(Transcriptome!$A$2:$A$28=$B9)*(Transcriptome!$C$2:$C$28=$E9),0))</f>
        <v>1.0504785782994102</v>
      </c>
      <c r="AQ9">
        <f t="array" ref="AQ9">INDEX(Transcriptome!N$2:N$28,MATCH(1,(Transcriptome!$A$2:$A$28=$B9)*(Transcriptome!$C$2:$C$28=$E9),0))</f>
        <v>1.1745786590814218</v>
      </c>
      <c r="AR9">
        <f t="array" ref="AR9">INDEX(Transcriptome!O$2:O$28,MATCH(1,(Transcriptome!$A$2:$A$28=$B9)*(Transcriptome!$C$2:$C$28=$E9),0))</f>
        <v>1.4246121383254033</v>
      </c>
      <c r="AS9">
        <f t="array" ref="AS9">INDEX(Transcriptome!P$2:P$28,MATCH(1,(Transcriptome!$A$2:$A$28=$B9)*(Transcriptome!$C$2:$C$28=$E9),0))</f>
        <v>1.4316718554573129</v>
      </c>
      <c r="AT9">
        <f t="array" ref="AT9">INDEX(Transcriptome!Q$2:Q$28,MATCH(1,(Transcriptome!$A$2:$A$28=$B9)*(Transcriptome!$C$2:$C$28=$E9),0))</f>
        <v>0.75713152819582763</v>
      </c>
      <c r="AU9">
        <f t="array" ref="AU9">INDEX(Transcriptome!R$2:R$28,MATCH(1,(Transcriptome!$A$2:$A$28=$B9)*(Transcriptome!$C$2:$C$28=$E9),0))</f>
        <v>0.60703184309084135</v>
      </c>
      <c r="AV9">
        <f t="array" ref="AV9">INDEX(Transcriptome!S$2:S$28,MATCH(1,(Transcriptome!$A$2:$A$28=$B9)*(Transcriptome!$C$2:$C$28=$E9),0))</f>
        <v>0.46227503814383497</v>
      </c>
      <c r="AW9">
        <f t="array" ref="AW9">INDEX(Transcriptome!T$2:T$28,MATCH(1,(Transcriptome!$A$2:$A$28=$B9)*(Transcriptome!$C$2:$C$28=$E9),0))</f>
        <v>1.1887400615608046</v>
      </c>
      <c r="AX9">
        <f t="array" ref="AX9">INDEX(Transcriptome!U$2:U$28,MATCH(1,(Transcriptome!$A$2:$A$28=$B9)*(Transcriptome!$C$2:$C$28=$E9),0))</f>
        <v>3.2846004383966516</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1.151485022865421</v>
      </c>
      <c r="BB9">
        <f t="array" ref="BB9">INDEX(Transcriptome!Y$2:Y$28,MATCH(1,(Transcriptome!$A$2:$A$28=$B9)*(Transcriptome!$C$2:$C$28=$E9),0))</f>
        <v>0</v>
      </c>
      <c r="BC9">
        <f t="array" ref="BC9">INDEX(Transcriptome!Z$2:Z$28,MATCH(1,(Transcriptome!$A$2:$A$28=$B9)*(Transcriptome!$C$2:$C$28=$E9),0))</f>
        <v>1.522345115654818</v>
      </c>
      <c r="BD9">
        <f t="array" ref="BD9">INDEX(Transcriptome!AA$2:AA$28,MATCH(1,(Transcriptome!$A$2:$A$28=$B9)*(Transcriptome!$C$2:$C$28=$E9),0))</f>
        <v>1.0868611963156045</v>
      </c>
      <c r="BE9">
        <f t="array" ref="BE9">INDEX(Transcriptome!AB$2:AB$28,MATCH(1,(Transcriptome!$A$2:$A$28=$B9)*(Transcriptome!$C$2:$C$28=$E9),0))</f>
        <v>0.47108546246307648</v>
      </c>
      <c r="BF9">
        <f t="array" ref="BF9">INDEX(Transcriptome!AC$2:AC$28,MATCH(1,(Transcriptome!$A$2:$A$28=$B9)*(Transcriptome!$C$2:$C$28=$E9),0))</f>
        <v>1.0143119044332307</v>
      </c>
      <c r="BG9">
        <f t="array" ref="BG9">INDEX(Transcriptome!AD$2:AD$28,MATCH(1,(Transcriptome!$A$2:$A$28=$B9)*(Transcriptome!$C$2:$C$28=$E9),0))</f>
        <v>1.2812995285762343</v>
      </c>
      <c r="BH9">
        <f t="array" ref="BH9">INDEX(Transcriptome!AE$2:AE$28,MATCH(1,(Transcriptome!$A$2:$A$28=$B9)*(Transcriptome!$C$2:$C$28=$E9),0))</f>
        <v>1.4799321306043323</v>
      </c>
      <c r="BI9">
        <f t="array" ref="BI9">INDEX(Transcriptome!AF$2:AF$28,MATCH(1,(Transcriptome!$A$2:$A$28=$B9)*(Transcriptome!$C$2:$C$28=$E9),0))</f>
        <v>0.9086559090219839</v>
      </c>
      <c r="BJ9">
        <f t="array" ref="BJ9">INDEX(Transcriptome!AG$2:AG$28,MATCH(1,(Transcriptome!$A$2:$A$28=$B9)*(Transcriptome!$C$2:$C$28=$E9),0))</f>
        <v>0.58759307532968807</v>
      </c>
      <c r="BK9">
        <f t="array" ref="BK9">INDEX(Transcriptome!AH$2:AH$28,MATCH(1,(Transcriptome!$A$2:$A$28=$B9)*(Transcriptome!$C$2:$C$28=$E9),0))</f>
        <v>2.0587540778292777</v>
      </c>
      <c r="BL9">
        <f t="array" ref="BL9">INDEX(Transcriptome!AI$2:AI$28,MATCH(1,(Transcriptome!$A$2:$A$28=$B9)*(Transcriptome!$C$2:$C$28=$E9),0))</f>
        <v>0.8753236435968571</v>
      </c>
      <c r="BM9">
        <f t="array" ref="BM9">INDEX(Transcriptome!AJ$2:AJ$28,MATCH(1,(Transcriptome!$A$2:$A$28=$B9)*(Transcriptome!$C$2:$C$28=$E9),0))</f>
        <v>0.88559206312324201</v>
      </c>
      <c r="BN9">
        <f t="array" ref="BN9">INDEX(Transcriptome!AK$2:AK$28,MATCH(1,(Transcriptome!$A$2:$A$28=$B9)*(Transcriptome!$C$2:$C$28=$E9),0))</f>
        <v>0.88259806714277234</v>
      </c>
      <c r="BO9">
        <f t="array" ref="BO9">INDEX(Transcriptome!AL$2:AL$28,MATCH(1,(Transcriptome!$A$2:$A$28=$B9)*(Transcriptome!$C$2:$C$28=$E9),0))</f>
        <v>1</v>
      </c>
      <c r="BP9">
        <f t="array" ref="BP9">INDEX(Transcriptome!AM$2:AM$28,MATCH(1,(Transcriptome!$A$2:$A$28=$B9)*(Transcriptome!$C$2:$C$28=$E9),0))</f>
        <v>0.88904773156498651</v>
      </c>
      <c r="BQ9">
        <f t="array" ref="BQ9">INDEX(Transcriptome!AN$2:AN$28,MATCH(1,(Transcriptome!$A$2:$A$28=$B9)*(Transcriptome!$C$2:$C$28=$E9),0))</f>
        <v>1.0909544267130757</v>
      </c>
      <c r="BR9">
        <f t="array" ref="BR9">INDEX(Transcriptome!AO$2:AO$28,MATCH(1,(Transcriptome!$A$2:$A$28=$B9)*(Transcriptome!$C$2:$C$28=$E9),0))</f>
        <v>1.2426193929744529</v>
      </c>
      <c r="BS9">
        <f t="array" ref="BS9">INDEX(Transcriptome!AP$2:AP$28,MATCH(1,(Transcriptome!$A$2:$A$28=$B9)*(Transcriptome!$C$2:$C$28=$E9),0))</f>
        <v>1.1782369279727287</v>
      </c>
      <c r="BT9">
        <f t="array" ref="BT9">INDEX(Transcriptome!AQ$2:AQ$28,MATCH(1,(Transcriptome!$A$2:$A$28=$B9)*(Transcriptome!$C$2:$C$28=$E9),0))</f>
        <v>1.5361027527678581</v>
      </c>
      <c r="BU9">
        <f t="array" ref="BU9">INDEX(Transcriptome!AR$2:AR$28,MATCH(1,(Transcriptome!$A$2:$A$28=$B9)*(Transcriptome!$C$2:$C$28=$E9),0))</f>
        <v>0.79955992801394471</v>
      </c>
      <c r="BV9">
        <f t="array" ref="BV9">INDEX(Transcriptome!AS$2:AS$28,MATCH(1,(Transcriptome!$A$2:$A$28=$B9)*(Transcriptome!$C$2:$C$28=$E9),0))</f>
        <v>1.0637104985025529</v>
      </c>
      <c r="BW9">
        <f t="array" ref="BW9">INDEX(Transcriptome!AT$2:AT$28,MATCH(1,(Transcriptome!$A$2:$A$28=$B9)*(Transcriptome!$C$2:$C$28=$E9),0))</f>
        <v>0.85835356565229848</v>
      </c>
      <c r="BX9">
        <f t="array" ref="BX9">INDEX(Transcriptome!AU$2:AU$28,MATCH(1,(Transcriptome!$A$2:$A$28=$B9)*(Transcriptome!$C$2:$C$28=$E9),0))</f>
        <v>1.712850383210498</v>
      </c>
      <c r="BY9">
        <f t="array" ref="BY9">INDEX(Transcriptome!AV$2:AV$28,MATCH(1,(Transcriptome!$A$2:$A$28=$B9)*(Transcriptome!$C$2:$C$28=$E9),0))</f>
        <v>0.71198577137362051</v>
      </c>
      <c r="BZ9">
        <f t="array" ref="BZ9">INDEX(Transcriptome!AW$2:AW$28,MATCH(1,(Transcriptome!$A$2:$A$28=$B9)*(Transcriptome!$C$2:$C$28=$E9),0))</f>
        <v>0.80094474222558609</v>
      </c>
      <c r="CA9">
        <f t="array" ref="CA9">INDEX(Transcriptome!AX$2:AX$28,MATCH(1,(Transcriptome!$A$2:$A$28=$B9)*(Transcriptome!$C$2:$C$28=$E9),0))</f>
        <v>0.82590812135401737</v>
      </c>
      <c r="CB9">
        <f t="array" ref="CB9">INDEX(Transcriptome!AY$2:AY$28,MATCH(1,(Transcriptome!$A$2:$A$28=$B9)*(Transcriptome!$C$2:$C$28=$E9),0))</f>
        <v>1.0272241552810923</v>
      </c>
      <c r="CC9">
        <f t="array" ref="CC9">INDEX(Transcriptome!AZ$2:AZ$28,MATCH(1,(Transcriptome!$A$2:$A$28=$B9)*(Transcriptome!$C$2:$C$28=$E9),0))</f>
        <v>0.96959416736772075</v>
      </c>
      <c r="CD9">
        <f t="array" ref="CD9">INDEX(Transcriptome!BA$2:BA$28,MATCH(1,(Transcriptome!$A$2:$A$28=$B9)*(Transcriptome!$C$2:$C$28=$E9),0))</f>
        <v>1.974935690525407</v>
      </c>
      <c r="CE9">
        <f t="array" ref="CE9">INDEX(Transcriptome!BB$2:BB$28,MATCH(1,(Transcriptome!$A$2:$A$28=$B9)*(Transcriptome!$C$2:$C$28=$E9),0))</f>
        <v>2.1033973998458797</v>
      </c>
      <c r="CF9">
        <f t="array" ref="CF9">INDEX(Transcriptome!BC$2:BC$28,MATCH(1,(Transcriptome!$A$2:$A$28=$B9)*(Transcriptome!$C$2:$C$28=$E9),0))</f>
        <v>0</v>
      </c>
      <c r="CG9">
        <f t="array" ref="CG9">INDEX(Transcriptome!BD$2:BD$28,MATCH(1,(Transcriptome!$A$2:$A$28=$B9)*(Transcriptome!$C$2:$C$28=$E9),0))</f>
        <v>1.5996061925887715</v>
      </c>
      <c r="CH9">
        <f t="array" ref="CH9">INDEX(Transcriptome!BE$2:BE$28,MATCH(1,(Transcriptome!$A$2:$A$28=$B9)*(Transcriptome!$C$2:$C$28=$E9),0))</f>
        <v>1.4949993475149961</v>
      </c>
      <c r="CI9">
        <f t="array" ref="CI9">INDEX(Transcriptome!BF$2:BF$28,MATCH(1,(Transcriptome!$A$2:$A$28=$B9)*(Transcriptome!$C$2:$C$28=$E9),0))</f>
        <v>1.5497468202012199</v>
      </c>
      <c r="CJ9">
        <f t="array" ref="CJ9">INDEX(Transcriptome!BG$2:BG$28,MATCH(1,(Transcriptome!$A$2:$A$28=$B9)*(Transcriptome!$C$2:$C$28=$E9),0))</f>
        <v>2.4313166778774296</v>
      </c>
      <c r="CK9">
        <f t="array" ref="CK9">INDEX(Transcriptome!BH$2:BH$28,MATCH(1,(Transcriptome!$A$2:$A$28=$B9)*(Transcriptome!$C$2:$C$28=$E9),0))</f>
        <v>0.64707001056733671</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2.1724789275552308</v>
      </c>
      <c r="CO9">
        <f t="array" ref="CO9">INDEX(Transcriptome!BL$2:BL$28,MATCH(1,(Transcriptome!$A$2:$A$28=$B9)*(Transcriptome!$C$2:$C$28=$E9),0))</f>
        <v>1.7950064664524856</v>
      </c>
      <c r="CP9">
        <f t="array" ref="CP9">INDEX(Transcriptome!BM$2:BM$28,MATCH(1,(Transcriptome!$A$2:$A$28=$B9)*(Transcriptome!$C$2:$C$28=$E9),0))</f>
        <v>0.75235595411476763</v>
      </c>
      <c r="CQ9">
        <f t="array" ref="CQ9">INDEX(Transcriptome!BN$2:BN$28,MATCH(1,(Transcriptome!$A$2:$A$28=$B9)*(Transcriptome!$C$2:$C$28=$E9),0))</f>
        <v>30.841627330882794</v>
      </c>
      <c r="CR9">
        <f t="array" ref="CR9">INDEX(Transcriptome!BO$2:BO$28,MATCH(1,(Transcriptome!$A$2:$A$28=$B9)*(Transcriptome!$C$2:$C$28=$E9),0))</f>
        <v>1.9998119070900044</v>
      </c>
      <c r="CS9">
        <f t="array" ref="CS9">INDEX(Transcriptome!BP$2:BP$28,MATCH(1,(Transcriptome!$A$2:$A$28=$B9)*(Transcriptome!$C$2:$C$28=$E9),0))</f>
        <v>0.64707001056733671</v>
      </c>
      <c r="CT9">
        <f t="array" ref="CT9">INDEX(Transcriptome!BQ$2:BQ$28,MATCH(1,(Transcriptome!$A$2:$A$28=$B9)*(Transcriptome!$C$2:$C$28=$E9),0))</f>
        <v>1</v>
      </c>
      <c r="CU9">
        <f t="array" ref="CU9">INDEX(Transcriptome!BR$2:BR$28,MATCH(1,(Transcriptome!$A$2:$A$28=$B9)*(Transcriptome!$C$2:$C$28=$E9),0))</f>
        <v>1.4503728796128219</v>
      </c>
    </row>
    <row r="10" spans="1:99">
      <c r="A10">
        <f>'Measured Data'!A15</f>
        <v>8</v>
      </c>
      <c r="B10" t="s">
        <v>582</v>
      </c>
      <c r="C10" s="324" t="s">
        <v>586</v>
      </c>
      <c r="D10">
        <v>1</v>
      </c>
      <c r="E10" t="s">
        <v>511</v>
      </c>
      <c r="F10" s="477">
        <f>'Growth Regression'!R10</f>
        <v>8.3822916666649689</v>
      </c>
      <c r="G10" s="477">
        <f>'Growth Regression'!S10</f>
        <v>201.17499999995925</v>
      </c>
      <c r="H10">
        <f>AVERAGE('TL input - regression'!L10:L11)</f>
        <v>16.596727280801083</v>
      </c>
      <c r="I10">
        <f>AVERAGE('TL input - regression'!M10:M11)</f>
        <v>9.6580817051509769</v>
      </c>
      <c r="J10">
        <f>AVERAGE('TL input - regression'!N10:N11)</f>
        <v>4.4874999999999998</v>
      </c>
      <c r="K10">
        <f>AVERAGE('TL input - regression'!O10:O11)</f>
        <v>0.79249999999999998</v>
      </c>
      <c r="L10">
        <f>AVERAGE('TL input - regression'!P10:P11)</f>
        <v>3.3485</v>
      </c>
      <c r="M10">
        <f>'Growth Regression'!P10</f>
        <v>8.0068817312016569E-3</v>
      </c>
      <c r="N10">
        <f>M10/'Growth Regression'!$O$24</f>
        <v>0.30165454083906412</v>
      </c>
      <c r="O10">
        <f>'Post Process Calc.'!C28</f>
        <v>3.5178794970848686E-2</v>
      </c>
      <c r="P10">
        <f>'Post Process Calc.'!D28</f>
        <v>-4.6124712350458638E-3</v>
      </c>
      <c r="Q10">
        <f>'Post Process Calc.'!E28</f>
        <v>-3.0764671126485782E-3</v>
      </c>
      <c r="R10">
        <f>'Post Process Calc.'!F28</f>
        <v>3.967046310082694E-3</v>
      </c>
      <c r="S10">
        <f>'Post Process Calc.'!G28</f>
        <v>-3.4304008925336641E-5</v>
      </c>
      <c r="T10">
        <f t="shared" si="2"/>
        <v>-0.13111510041398636</v>
      </c>
      <c r="U10">
        <f t="shared" si="4"/>
        <v>21.986746856780428</v>
      </c>
      <c r="V10">
        <f t="shared" si="4"/>
        <v>-2.8827945219036648</v>
      </c>
      <c r="W10">
        <f t="shared" si="0"/>
        <v>-1.9227919454053612</v>
      </c>
      <c r="X10">
        <f t="shared" si="0"/>
        <v>2.4794039438016835</v>
      </c>
      <c r="Y10">
        <f t="shared" si="0"/>
        <v>-2.1440005578335398E-2</v>
      </c>
      <c r="Z10">
        <v>100</v>
      </c>
      <c r="AA10">
        <v>0.32</v>
      </c>
      <c r="AB10">
        <v>7</v>
      </c>
      <c r="AC10">
        <v>0.7</v>
      </c>
      <c r="AD10">
        <f t="shared" si="1"/>
        <v>5.0118723362727164E-8</v>
      </c>
      <c r="AE10">
        <v>1</v>
      </c>
      <c r="AF10">
        <v>0.311</v>
      </c>
      <c r="AG10">
        <f t="array" ref="AG10">INDEX(Transcriptome!D$2:D$28,MATCH(1,(Transcriptome!$A$2:$A$28=$B10)*(Transcriptome!$C$2:$C$28=$E10),0))</f>
        <v>0.79638815840343802</v>
      </c>
      <c r="AH10">
        <f t="array" ref="AH10">INDEX(Transcriptome!E$2:E$28,MATCH(1,(Transcriptome!$A$2:$A$28=$B10)*(Transcriptome!$C$2:$C$28=$E10),0))</f>
        <v>1.3861591991761282</v>
      </c>
      <c r="AI10">
        <f t="array" ref="AI10">INDEX(Transcriptome!F$2:F$28,MATCH(1,(Transcriptome!$A$2:$A$28=$B10)*(Transcriptome!$C$2:$C$28=$E10),0))</f>
        <v>1.2378335354860572</v>
      </c>
      <c r="AJ10">
        <f t="array" ref="AJ10">INDEX(Transcriptome!G$2:G$28,MATCH(1,(Transcriptome!$A$2:$A$28=$B10)*(Transcriptome!$C$2:$C$28=$E10),0))</f>
        <v>1.1146782068558136</v>
      </c>
      <c r="AK10">
        <f t="array" ref="AK10">INDEX(Transcriptome!H$2:H$28,MATCH(1,(Transcriptome!$A$2:$A$28=$B10)*(Transcriptome!$C$2:$C$28=$E10),0))</f>
        <v>0</v>
      </c>
      <c r="AL10">
        <f t="array" ref="AL10">INDEX(Transcriptome!I$2:I$28,MATCH(1,(Transcriptome!$A$2:$A$28=$B10)*(Transcriptome!$C$2:$C$28=$E10),0))</f>
        <v>1.5937672902652</v>
      </c>
      <c r="AM10">
        <f t="array" ref="AM10">INDEX(Transcriptome!J$2:J$28,MATCH(1,(Transcriptome!$A$2:$A$28=$B10)*(Transcriptome!$C$2:$C$28=$E10),0))</f>
        <v>1.1631873200393728</v>
      </c>
      <c r="AN10">
        <f t="array" ref="AN10">INDEX(Transcriptome!K$2:K$28,MATCH(1,(Transcriptome!$A$2:$A$28=$B10)*(Transcriptome!$C$2:$C$28=$E10),0))</f>
        <v>1.5177303868699665</v>
      </c>
      <c r="AO10">
        <f t="array" ref="AO10">INDEX(Transcriptome!L$2:L$28,MATCH(1,(Transcriptome!$A$2:$A$28=$B10)*(Transcriptome!$C$2:$C$28=$E10),0))</f>
        <v>0.94953778317608362</v>
      </c>
      <c r="AP10">
        <f t="array" ref="AP10">INDEX(Transcriptome!M$2:M$28,MATCH(1,(Transcriptome!$A$2:$A$28=$B10)*(Transcriptome!$C$2:$C$28=$E10),0))</f>
        <v>1.0504785782994102</v>
      </c>
      <c r="AQ10">
        <f t="array" ref="AQ10">INDEX(Transcriptome!N$2:N$28,MATCH(1,(Transcriptome!$A$2:$A$28=$B10)*(Transcriptome!$C$2:$C$28=$E10),0))</f>
        <v>1.1745786590814218</v>
      </c>
      <c r="AR10">
        <f t="array" ref="AR10">INDEX(Transcriptome!O$2:O$28,MATCH(1,(Transcriptome!$A$2:$A$28=$B10)*(Transcriptome!$C$2:$C$28=$E10),0))</f>
        <v>1.4246121383254033</v>
      </c>
      <c r="AS10">
        <f t="array" ref="AS10">INDEX(Transcriptome!P$2:P$28,MATCH(1,(Transcriptome!$A$2:$A$28=$B10)*(Transcriptome!$C$2:$C$28=$E10),0))</f>
        <v>1.4316718554573129</v>
      </c>
      <c r="AT10">
        <f t="array" ref="AT10">INDEX(Transcriptome!Q$2:Q$28,MATCH(1,(Transcriptome!$A$2:$A$28=$B10)*(Transcriptome!$C$2:$C$28=$E10),0))</f>
        <v>0.75713152819582763</v>
      </c>
      <c r="AU10">
        <f t="array" ref="AU10">INDEX(Transcriptome!R$2:R$28,MATCH(1,(Transcriptome!$A$2:$A$28=$B10)*(Transcriptome!$C$2:$C$28=$E10),0))</f>
        <v>0.60703184309084135</v>
      </c>
      <c r="AV10">
        <f t="array" ref="AV10">INDEX(Transcriptome!S$2:S$28,MATCH(1,(Transcriptome!$A$2:$A$28=$B10)*(Transcriptome!$C$2:$C$28=$E10),0))</f>
        <v>0.46227503814383497</v>
      </c>
      <c r="AW10">
        <f t="array" ref="AW10">INDEX(Transcriptome!T$2:T$28,MATCH(1,(Transcriptome!$A$2:$A$28=$B10)*(Transcriptome!$C$2:$C$28=$E10),0))</f>
        <v>1.1887400615608046</v>
      </c>
      <c r="AX10">
        <f t="array" ref="AX10">INDEX(Transcriptome!U$2:U$28,MATCH(1,(Transcriptome!$A$2:$A$28=$B10)*(Transcriptome!$C$2:$C$28=$E10),0))</f>
        <v>3.2846004383966516</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1.151485022865421</v>
      </c>
      <c r="BB10">
        <f t="array" ref="BB10">INDEX(Transcriptome!Y$2:Y$28,MATCH(1,(Transcriptome!$A$2:$A$28=$B10)*(Transcriptome!$C$2:$C$28=$E10),0))</f>
        <v>0</v>
      </c>
      <c r="BC10">
        <f t="array" ref="BC10">INDEX(Transcriptome!Z$2:Z$28,MATCH(1,(Transcriptome!$A$2:$A$28=$B10)*(Transcriptome!$C$2:$C$28=$E10),0))</f>
        <v>1.522345115654818</v>
      </c>
      <c r="BD10">
        <f t="array" ref="BD10">INDEX(Transcriptome!AA$2:AA$28,MATCH(1,(Transcriptome!$A$2:$A$28=$B10)*(Transcriptome!$C$2:$C$28=$E10),0))</f>
        <v>1.0868611963156045</v>
      </c>
      <c r="BE10">
        <f t="array" ref="BE10">INDEX(Transcriptome!AB$2:AB$28,MATCH(1,(Transcriptome!$A$2:$A$28=$B10)*(Transcriptome!$C$2:$C$28=$E10),0))</f>
        <v>0.47108546246307648</v>
      </c>
      <c r="BF10">
        <f t="array" ref="BF10">INDEX(Transcriptome!AC$2:AC$28,MATCH(1,(Transcriptome!$A$2:$A$28=$B10)*(Transcriptome!$C$2:$C$28=$E10),0))</f>
        <v>1.0143119044332307</v>
      </c>
      <c r="BG10">
        <f t="array" ref="BG10">INDEX(Transcriptome!AD$2:AD$28,MATCH(1,(Transcriptome!$A$2:$A$28=$B10)*(Transcriptome!$C$2:$C$28=$E10),0))</f>
        <v>1.2812995285762343</v>
      </c>
      <c r="BH10">
        <f t="array" ref="BH10">INDEX(Transcriptome!AE$2:AE$28,MATCH(1,(Transcriptome!$A$2:$A$28=$B10)*(Transcriptome!$C$2:$C$28=$E10),0))</f>
        <v>1.4799321306043323</v>
      </c>
      <c r="BI10">
        <f t="array" ref="BI10">INDEX(Transcriptome!AF$2:AF$28,MATCH(1,(Transcriptome!$A$2:$A$28=$B10)*(Transcriptome!$C$2:$C$28=$E10),0))</f>
        <v>0.9086559090219839</v>
      </c>
      <c r="BJ10">
        <f t="array" ref="BJ10">INDEX(Transcriptome!AG$2:AG$28,MATCH(1,(Transcriptome!$A$2:$A$28=$B10)*(Transcriptome!$C$2:$C$28=$E10),0))</f>
        <v>0.58759307532968807</v>
      </c>
      <c r="BK10">
        <f t="array" ref="BK10">INDEX(Transcriptome!AH$2:AH$28,MATCH(1,(Transcriptome!$A$2:$A$28=$B10)*(Transcriptome!$C$2:$C$28=$E10),0))</f>
        <v>2.0587540778292777</v>
      </c>
      <c r="BL10">
        <f t="array" ref="BL10">INDEX(Transcriptome!AI$2:AI$28,MATCH(1,(Transcriptome!$A$2:$A$28=$B10)*(Transcriptome!$C$2:$C$28=$E10),0))</f>
        <v>0.8753236435968571</v>
      </c>
      <c r="BM10">
        <f t="array" ref="BM10">INDEX(Transcriptome!AJ$2:AJ$28,MATCH(1,(Transcriptome!$A$2:$A$28=$B10)*(Transcriptome!$C$2:$C$28=$E10),0))</f>
        <v>0.88559206312324201</v>
      </c>
      <c r="BN10">
        <f t="array" ref="BN10">INDEX(Transcriptome!AK$2:AK$28,MATCH(1,(Transcriptome!$A$2:$A$28=$B10)*(Transcriptome!$C$2:$C$28=$E10),0))</f>
        <v>0.88259806714277234</v>
      </c>
      <c r="BO10">
        <f t="array" ref="BO10">INDEX(Transcriptome!AL$2:AL$28,MATCH(1,(Transcriptome!$A$2:$A$28=$B10)*(Transcriptome!$C$2:$C$28=$E10),0))</f>
        <v>1</v>
      </c>
      <c r="BP10">
        <f t="array" ref="BP10">INDEX(Transcriptome!AM$2:AM$28,MATCH(1,(Transcriptome!$A$2:$A$28=$B10)*(Transcriptome!$C$2:$C$28=$E10),0))</f>
        <v>0.88904773156498651</v>
      </c>
      <c r="BQ10">
        <f t="array" ref="BQ10">INDEX(Transcriptome!AN$2:AN$28,MATCH(1,(Transcriptome!$A$2:$A$28=$B10)*(Transcriptome!$C$2:$C$28=$E10),0))</f>
        <v>1.0909544267130757</v>
      </c>
      <c r="BR10">
        <f t="array" ref="BR10">INDEX(Transcriptome!AO$2:AO$28,MATCH(1,(Transcriptome!$A$2:$A$28=$B10)*(Transcriptome!$C$2:$C$28=$E10),0))</f>
        <v>1.2426193929744529</v>
      </c>
      <c r="BS10">
        <f t="array" ref="BS10">INDEX(Transcriptome!AP$2:AP$28,MATCH(1,(Transcriptome!$A$2:$A$28=$B10)*(Transcriptome!$C$2:$C$28=$E10),0))</f>
        <v>1.1782369279727287</v>
      </c>
      <c r="BT10">
        <f t="array" ref="BT10">INDEX(Transcriptome!AQ$2:AQ$28,MATCH(1,(Transcriptome!$A$2:$A$28=$B10)*(Transcriptome!$C$2:$C$28=$E10),0))</f>
        <v>1.5361027527678581</v>
      </c>
      <c r="BU10">
        <f t="array" ref="BU10">INDEX(Transcriptome!AR$2:AR$28,MATCH(1,(Transcriptome!$A$2:$A$28=$B10)*(Transcriptome!$C$2:$C$28=$E10),0))</f>
        <v>0.79955992801394471</v>
      </c>
      <c r="BV10">
        <f t="array" ref="BV10">INDEX(Transcriptome!AS$2:AS$28,MATCH(1,(Transcriptome!$A$2:$A$28=$B10)*(Transcriptome!$C$2:$C$28=$E10),0))</f>
        <v>1.0637104985025529</v>
      </c>
      <c r="BW10">
        <f t="array" ref="BW10">INDEX(Transcriptome!AT$2:AT$28,MATCH(1,(Transcriptome!$A$2:$A$28=$B10)*(Transcriptome!$C$2:$C$28=$E10),0))</f>
        <v>0.85835356565229848</v>
      </c>
      <c r="BX10">
        <f t="array" ref="BX10">INDEX(Transcriptome!AU$2:AU$28,MATCH(1,(Transcriptome!$A$2:$A$28=$B10)*(Transcriptome!$C$2:$C$28=$E10),0))</f>
        <v>1.712850383210498</v>
      </c>
      <c r="BY10">
        <f t="array" ref="BY10">INDEX(Transcriptome!AV$2:AV$28,MATCH(1,(Transcriptome!$A$2:$A$28=$B10)*(Transcriptome!$C$2:$C$28=$E10),0))</f>
        <v>0.71198577137362051</v>
      </c>
      <c r="BZ10">
        <f t="array" ref="BZ10">INDEX(Transcriptome!AW$2:AW$28,MATCH(1,(Transcriptome!$A$2:$A$28=$B10)*(Transcriptome!$C$2:$C$28=$E10),0))</f>
        <v>0.80094474222558609</v>
      </c>
      <c r="CA10">
        <f t="array" ref="CA10">INDEX(Transcriptome!AX$2:AX$28,MATCH(1,(Transcriptome!$A$2:$A$28=$B10)*(Transcriptome!$C$2:$C$28=$E10),0))</f>
        <v>0.82590812135401737</v>
      </c>
      <c r="CB10">
        <f t="array" ref="CB10">INDEX(Transcriptome!AY$2:AY$28,MATCH(1,(Transcriptome!$A$2:$A$28=$B10)*(Transcriptome!$C$2:$C$28=$E10),0))</f>
        <v>1.0272241552810923</v>
      </c>
      <c r="CC10">
        <f t="array" ref="CC10">INDEX(Transcriptome!AZ$2:AZ$28,MATCH(1,(Transcriptome!$A$2:$A$28=$B10)*(Transcriptome!$C$2:$C$28=$E10),0))</f>
        <v>0.96959416736772075</v>
      </c>
      <c r="CD10">
        <f t="array" ref="CD10">INDEX(Transcriptome!BA$2:BA$28,MATCH(1,(Transcriptome!$A$2:$A$28=$B10)*(Transcriptome!$C$2:$C$28=$E10),0))</f>
        <v>1.974935690525407</v>
      </c>
      <c r="CE10">
        <f t="array" ref="CE10">INDEX(Transcriptome!BB$2:BB$28,MATCH(1,(Transcriptome!$A$2:$A$28=$B10)*(Transcriptome!$C$2:$C$28=$E10),0))</f>
        <v>2.1033973998458797</v>
      </c>
      <c r="CF10">
        <f t="array" ref="CF10">INDEX(Transcriptome!BC$2:BC$28,MATCH(1,(Transcriptome!$A$2:$A$28=$B10)*(Transcriptome!$C$2:$C$28=$E10),0))</f>
        <v>0</v>
      </c>
      <c r="CG10">
        <f t="array" ref="CG10">INDEX(Transcriptome!BD$2:BD$28,MATCH(1,(Transcriptome!$A$2:$A$28=$B10)*(Transcriptome!$C$2:$C$28=$E10),0))</f>
        <v>1.5996061925887715</v>
      </c>
      <c r="CH10">
        <f t="array" ref="CH10">INDEX(Transcriptome!BE$2:BE$28,MATCH(1,(Transcriptome!$A$2:$A$28=$B10)*(Transcriptome!$C$2:$C$28=$E10),0))</f>
        <v>1.4949993475149961</v>
      </c>
      <c r="CI10">
        <f t="array" ref="CI10">INDEX(Transcriptome!BF$2:BF$28,MATCH(1,(Transcriptome!$A$2:$A$28=$B10)*(Transcriptome!$C$2:$C$28=$E10),0))</f>
        <v>1.5497468202012199</v>
      </c>
      <c r="CJ10">
        <f t="array" ref="CJ10">INDEX(Transcriptome!BG$2:BG$28,MATCH(1,(Transcriptome!$A$2:$A$28=$B10)*(Transcriptome!$C$2:$C$28=$E10),0))</f>
        <v>2.4313166778774296</v>
      </c>
      <c r="CK10">
        <f t="array" ref="CK10">INDEX(Transcriptome!BH$2:BH$28,MATCH(1,(Transcriptome!$A$2:$A$28=$B10)*(Transcriptome!$C$2:$C$28=$E10),0))</f>
        <v>0.64707001056733671</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2.1724789275552308</v>
      </c>
      <c r="CO10">
        <f t="array" ref="CO10">INDEX(Transcriptome!BL$2:BL$28,MATCH(1,(Transcriptome!$A$2:$A$28=$B10)*(Transcriptome!$C$2:$C$28=$E10),0))</f>
        <v>1.7950064664524856</v>
      </c>
      <c r="CP10">
        <f t="array" ref="CP10">INDEX(Transcriptome!BM$2:BM$28,MATCH(1,(Transcriptome!$A$2:$A$28=$B10)*(Transcriptome!$C$2:$C$28=$E10),0))</f>
        <v>0.75235595411476763</v>
      </c>
      <c r="CQ10">
        <f t="array" ref="CQ10">INDEX(Transcriptome!BN$2:BN$28,MATCH(1,(Transcriptome!$A$2:$A$28=$B10)*(Transcriptome!$C$2:$C$28=$E10),0))</f>
        <v>30.841627330882794</v>
      </c>
      <c r="CR10">
        <f t="array" ref="CR10">INDEX(Transcriptome!BO$2:BO$28,MATCH(1,(Transcriptome!$A$2:$A$28=$B10)*(Transcriptome!$C$2:$C$28=$E10),0))</f>
        <v>1.9998119070900044</v>
      </c>
      <c r="CS10">
        <f t="array" ref="CS10">INDEX(Transcriptome!BP$2:BP$28,MATCH(1,(Transcriptome!$A$2:$A$28=$B10)*(Transcriptome!$C$2:$C$28=$E10),0))</f>
        <v>0.64707001056733671</v>
      </c>
      <c r="CT10">
        <f t="array" ref="CT10">INDEX(Transcriptome!BQ$2:BQ$28,MATCH(1,(Transcriptome!$A$2:$A$28=$B10)*(Transcriptome!$C$2:$C$28=$E10),0))</f>
        <v>1</v>
      </c>
      <c r="CU10">
        <f t="array" ref="CU10">INDEX(Transcriptome!BR$2:BR$28,MATCH(1,(Transcriptome!$A$2:$A$28=$B10)*(Transcriptome!$C$2:$C$28=$E10),0))</f>
        <v>1.4503728796128219</v>
      </c>
    </row>
    <row r="11" spans="1:99">
      <c r="A11">
        <f>'Measured Data'!A16</f>
        <v>9</v>
      </c>
      <c r="B11" t="s">
        <v>582</v>
      </c>
      <c r="C11" s="324" t="s">
        <v>586</v>
      </c>
      <c r="D11">
        <v>1</v>
      </c>
      <c r="E11" t="s">
        <v>511</v>
      </c>
      <c r="F11" s="477">
        <f>'Growth Regression'!R11</f>
        <v>9.4045138888905058</v>
      </c>
      <c r="G11" s="477">
        <f>'Growth Regression'!S11</f>
        <v>225.70833333337214</v>
      </c>
      <c r="H11">
        <f>AVERAGE('TL input - regression'!L11:L12)</f>
        <v>8.2706099158507076</v>
      </c>
      <c r="I11">
        <f>AVERAGE('TL input - regression'!M11:M12)</f>
        <v>5.606127886323268</v>
      </c>
      <c r="J11">
        <f>AVERAGE('TL input - regression'!N11:N12)</f>
        <v>5.476</v>
      </c>
      <c r="K11">
        <f>AVERAGE('TL input - regression'!O11:O12)</f>
        <v>6.6000000000000003E-2</v>
      </c>
      <c r="L11">
        <f>AVERAGE('TL input - regression'!P11:P12)</f>
        <v>2.7690000000000001</v>
      </c>
      <c r="M11">
        <f>'Growth Regression'!P11</f>
        <v>4.9413486374640745E-3</v>
      </c>
      <c r="N11">
        <f>M11/'Growth Regression'!$O$24</f>
        <v>0.18616239185242181</v>
      </c>
      <c r="O11">
        <f>'Post Process Calc.'!C29</f>
        <v>3.5112543937471381E-2</v>
      </c>
      <c r="P11">
        <f>'Post Process Calc.'!D29</f>
        <v>-6.3486445780171772E-3</v>
      </c>
      <c r="Q11">
        <f>'Post Process Calc.'!E29</f>
        <v>-7.3909260901879319E-4</v>
      </c>
      <c r="R11">
        <f>'Post Process Calc.'!F29</f>
        <v>3.6323570338097954E-3</v>
      </c>
      <c r="S11">
        <f>'Post Process Calc.'!G29</f>
        <v>3.0244009854577393E-4</v>
      </c>
      <c r="T11">
        <f t="shared" si="2"/>
        <v>-0.18080844809544075</v>
      </c>
      <c r="U11">
        <f t="shared" si="4"/>
        <v>21.945339960919611</v>
      </c>
      <c r="V11">
        <f t="shared" si="4"/>
        <v>-3.9679028612607357</v>
      </c>
      <c r="W11">
        <f t="shared" si="0"/>
        <v>-0.4619328806367457</v>
      </c>
      <c r="X11">
        <f t="shared" si="0"/>
        <v>2.270223146131122</v>
      </c>
      <c r="Y11">
        <f t="shared" si="0"/>
        <v>0.18902506159110868</v>
      </c>
      <c r="Z11">
        <v>100</v>
      </c>
      <c r="AA11">
        <v>0.32</v>
      </c>
      <c r="AB11">
        <v>7</v>
      </c>
      <c r="AC11">
        <v>0.7</v>
      </c>
      <c r="AD11">
        <f t="shared" si="1"/>
        <v>5.0118723362727164E-8</v>
      </c>
      <c r="AE11">
        <v>1</v>
      </c>
      <c r="AF11">
        <v>0.311</v>
      </c>
      <c r="AG11">
        <f t="array" ref="AG11">INDEX(Transcriptome!D$2:D$28,MATCH(1,(Transcriptome!$A$2:$A$28=$B11)*(Transcriptome!$C$2:$C$28=$E11),0))</f>
        <v>0.79638815840343802</v>
      </c>
      <c r="AH11">
        <f t="array" ref="AH11">INDEX(Transcriptome!E$2:E$28,MATCH(1,(Transcriptome!$A$2:$A$28=$B11)*(Transcriptome!$C$2:$C$28=$E11),0))</f>
        <v>1.3861591991761282</v>
      </c>
      <c r="AI11">
        <f t="array" ref="AI11">INDEX(Transcriptome!F$2:F$28,MATCH(1,(Transcriptome!$A$2:$A$28=$B11)*(Transcriptome!$C$2:$C$28=$E11),0))</f>
        <v>1.2378335354860572</v>
      </c>
      <c r="AJ11">
        <f t="array" ref="AJ11">INDEX(Transcriptome!G$2:G$28,MATCH(1,(Transcriptome!$A$2:$A$28=$B11)*(Transcriptome!$C$2:$C$28=$E11),0))</f>
        <v>1.1146782068558136</v>
      </c>
      <c r="AK11">
        <f t="array" ref="AK11">INDEX(Transcriptome!H$2:H$28,MATCH(1,(Transcriptome!$A$2:$A$28=$B11)*(Transcriptome!$C$2:$C$28=$E11),0))</f>
        <v>0</v>
      </c>
      <c r="AL11">
        <f t="array" ref="AL11">INDEX(Transcriptome!I$2:I$28,MATCH(1,(Transcriptome!$A$2:$A$28=$B11)*(Transcriptome!$C$2:$C$28=$E11),0))</f>
        <v>1.5937672902652</v>
      </c>
      <c r="AM11">
        <f t="array" ref="AM11">INDEX(Transcriptome!J$2:J$28,MATCH(1,(Transcriptome!$A$2:$A$28=$B11)*(Transcriptome!$C$2:$C$28=$E11),0))</f>
        <v>1.1631873200393728</v>
      </c>
      <c r="AN11">
        <f t="array" ref="AN11">INDEX(Transcriptome!K$2:K$28,MATCH(1,(Transcriptome!$A$2:$A$28=$B11)*(Transcriptome!$C$2:$C$28=$E11),0))</f>
        <v>1.5177303868699665</v>
      </c>
      <c r="AO11">
        <f t="array" ref="AO11">INDEX(Transcriptome!L$2:L$28,MATCH(1,(Transcriptome!$A$2:$A$28=$B11)*(Transcriptome!$C$2:$C$28=$E11),0))</f>
        <v>0.94953778317608362</v>
      </c>
      <c r="AP11">
        <f t="array" ref="AP11">INDEX(Transcriptome!M$2:M$28,MATCH(1,(Transcriptome!$A$2:$A$28=$B11)*(Transcriptome!$C$2:$C$28=$E11),0))</f>
        <v>1.0504785782994102</v>
      </c>
      <c r="AQ11">
        <f t="array" ref="AQ11">INDEX(Transcriptome!N$2:N$28,MATCH(1,(Transcriptome!$A$2:$A$28=$B11)*(Transcriptome!$C$2:$C$28=$E11),0))</f>
        <v>1.1745786590814218</v>
      </c>
      <c r="AR11">
        <f t="array" ref="AR11">INDEX(Transcriptome!O$2:O$28,MATCH(1,(Transcriptome!$A$2:$A$28=$B11)*(Transcriptome!$C$2:$C$28=$E11),0))</f>
        <v>1.4246121383254033</v>
      </c>
      <c r="AS11">
        <f t="array" ref="AS11">INDEX(Transcriptome!P$2:P$28,MATCH(1,(Transcriptome!$A$2:$A$28=$B11)*(Transcriptome!$C$2:$C$28=$E11),0))</f>
        <v>1.4316718554573129</v>
      </c>
      <c r="AT11">
        <f t="array" ref="AT11">INDEX(Transcriptome!Q$2:Q$28,MATCH(1,(Transcriptome!$A$2:$A$28=$B11)*(Transcriptome!$C$2:$C$28=$E11),0))</f>
        <v>0.75713152819582763</v>
      </c>
      <c r="AU11">
        <f t="array" ref="AU11">INDEX(Transcriptome!R$2:R$28,MATCH(1,(Transcriptome!$A$2:$A$28=$B11)*(Transcriptome!$C$2:$C$28=$E11),0))</f>
        <v>0.60703184309084135</v>
      </c>
      <c r="AV11">
        <f t="array" ref="AV11">INDEX(Transcriptome!S$2:S$28,MATCH(1,(Transcriptome!$A$2:$A$28=$B11)*(Transcriptome!$C$2:$C$28=$E11),0))</f>
        <v>0.46227503814383497</v>
      </c>
      <c r="AW11">
        <f t="array" ref="AW11">INDEX(Transcriptome!T$2:T$28,MATCH(1,(Transcriptome!$A$2:$A$28=$B11)*(Transcriptome!$C$2:$C$28=$E11),0))</f>
        <v>1.1887400615608046</v>
      </c>
      <c r="AX11">
        <f t="array" ref="AX11">INDEX(Transcriptome!U$2:U$28,MATCH(1,(Transcriptome!$A$2:$A$28=$B11)*(Transcriptome!$C$2:$C$28=$E11),0))</f>
        <v>3.2846004383966516</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1.151485022865421</v>
      </c>
      <c r="BB11">
        <f t="array" ref="BB11">INDEX(Transcriptome!Y$2:Y$28,MATCH(1,(Transcriptome!$A$2:$A$28=$B11)*(Transcriptome!$C$2:$C$28=$E11),0))</f>
        <v>0</v>
      </c>
      <c r="BC11">
        <f t="array" ref="BC11">INDEX(Transcriptome!Z$2:Z$28,MATCH(1,(Transcriptome!$A$2:$A$28=$B11)*(Transcriptome!$C$2:$C$28=$E11),0))</f>
        <v>1.522345115654818</v>
      </c>
      <c r="BD11">
        <f t="array" ref="BD11">INDEX(Transcriptome!AA$2:AA$28,MATCH(1,(Transcriptome!$A$2:$A$28=$B11)*(Transcriptome!$C$2:$C$28=$E11),0))</f>
        <v>1.0868611963156045</v>
      </c>
      <c r="BE11">
        <f t="array" ref="BE11">INDEX(Transcriptome!AB$2:AB$28,MATCH(1,(Transcriptome!$A$2:$A$28=$B11)*(Transcriptome!$C$2:$C$28=$E11),0))</f>
        <v>0.47108546246307648</v>
      </c>
      <c r="BF11">
        <f t="array" ref="BF11">INDEX(Transcriptome!AC$2:AC$28,MATCH(1,(Transcriptome!$A$2:$A$28=$B11)*(Transcriptome!$C$2:$C$28=$E11),0))</f>
        <v>1.0143119044332307</v>
      </c>
      <c r="BG11">
        <f t="array" ref="BG11">INDEX(Transcriptome!AD$2:AD$28,MATCH(1,(Transcriptome!$A$2:$A$28=$B11)*(Transcriptome!$C$2:$C$28=$E11),0))</f>
        <v>1.2812995285762343</v>
      </c>
      <c r="BH11">
        <f t="array" ref="BH11">INDEX(Transcriptome!AE$2:AE$28,MATCH(1,(Transcriptome!$A$2:$A$28=$B11)*(Transcriptome!$C$2:$C$28=$E11),0))</f>
        <v>1.4799321306043323</v>
      </c>
      <c r="BI11">
        <f t="array" ref="BI11">INDEX(Transcriptome!AF$2:AF$28,MATCH(1,(Transcriptome!$A$2:$A$28=$B11)*(Transcriptome!$C$2:$C$28=$E11),0))</f>
        <v>0.9086559090219839</v>
      </c>
      <c r="BJ11">
        <f t="array" ref="BJ11">INDEX(Transcriptome!AG$2:AG$28,MATCH(1,(Transcriptome!$A$2:$A$28=$B11)*(Transcriptome!$C$2:$C$28=$E11),0))</f>
        <v>0.58759307532968807</v>
      </c>
      <c r="BK11">
        <f t="array" ref="BK11">INDEX(Transcriptome!AH$2:AH$28,MATCH(1,(Transcriptome!$A$2:$A$28=$B11)*(Transcriptome!$C$2:$C$28=$E11),0))</f>
        <v>2.0587540778292777</v>
      </c>
      <c r="BL11">
        <f t="array" ref="BL11">INDEX(Transcriptome!AI$2:AI$28,MATCH(1,(Transcriptome!$A$2:$A$28=$B11)*(Transcriptome!$C$2:$C$28=$E11),0))</f>
        <v>0.8753236435968571</v>
      </c>
      <c r="BM11">
        <f t="array" ref="BM11">INDEX(Transcriptome!AJ$2:AJ$28,MATCH(1,(Transcriptome!$A$2:$A$28=$B11)*(Transcriptome!$C$2:$C$28=$E11),0))</f>
        <v>0.88559206312324201</v>
      </c>
      <c r="BN11">
        <f t="array" ref="BN11">INDEX(Transcriptome!AK$2:AK$28,MATCH(1,(Transcriptome!$A$2:$A$28=$B11)*(Transcriptome!$C$2:$C$28=$E11),0))</f>
        <v>0.88259806714277234</v>
      </c>
      <c r="BO11">
        <f t="array" ref="BO11">INDEX(Transcriptome!AL$2:AL$28,MATCH(1,(Transcriptome!$A$2:$A$28=$B11)*(Transcriptome!$C$2:$C$28=$E11),0))</f>
        <v>1</v>
      </c>
      <c r="BP11">
        <f t="array" ref="BP11">INDEX(Transcriptome!AM$2:AM$28,MATCH(1,(Transcriptome!$A$2:$A$28=$B11)*(Transcriptome!$C$2:$C$28=$E11),0))</f>
        <v>0.88904773156498651</v>
      </c>
      <c r="BQ11">
        <f t="array" ref="BQ11">INDEX(Transcriptome!AN$2:AN$28,MATCH(1,(Transcriptome!$A$2:$A$28=$B11)*(Transcriptome!$C$2:$C$28=$E11),0))</f>
        <v>1.0909544267130757</v>
      </c>
      <c r="BR11">
        <f t="array" ref="BR11">INDEX(Transcriptome!AO$2:AO$28,MATCH(1,(Transcriptome!$A$2:$A$28=$B11)*(Transcriptome!$C$2:$C$28=$E11),0))</f>
        <v>1.2426193929744529</v>
      </c>
      <c r="BS11">
        <f t="array" ref="BS11">INDEX(Transcriptome!AP$2:AP$28,MATCH(1,(Transcriptome!$A$2:$A$28=$B11)*(Transcriptome!$C$2:$C$28=$E11),0))</f>
        <v>1.1782369279727287</v>
      </c>
      <c r="BT11">
        <f t="array" ref="BT11">INDEX(Transcriptome!AQ$2:AQ$28,MATCH(1,(Transcriptome!$A$2:$A$28=$B11)*(Transcriptome!$C$2:$C$28=$E11),0))</f>
        <v>1.5361027527678581</v>
      </c>
      <c r="BU11">
        <f t="array" ref="BU11">INDEX(Transcriptome!AR$2:AR$28,MATCH(1,(Transcriptome!$A$2:$A$28=$B11)*(Transcriptome!$C$2:$C$28=$E11),0))</f>
        <v>0.79955992801394471</v>
      </c>
      <c r="BV11">
        <f t="array" ref="BV11">INDEX(Transcriptome!AS$2:AS$28,MATCH(1,(Transcriptome!$A$2:$A$28=$B11)*(Transcriptome!$C$2:$C$28=$E11),0))</f>
        <v>1.0637104985025529</v>
      </c>
      <c r="BW11">
        <f t="array" ref="BW11">INDEX(Transcriptome!AT$2:AT$28,MATCH(1,(Transcriptome!$A$2:$A$28=$B11)*(Transcriptome!$C$2:$C$28=$E11),0))</f>
        <v>0.85835356565229848</v>
      </c>
      <c r="BX11">
        <f t="array" ref="BX11">INDEX(Transcriptome!AU$2:AU$28,MATCH(1,(Transcriptome!$A$2:$A$28=$B11)*(Transcriptome!$C$2:$C$28=$E11),0))</f>
        <v>1.712850383210498</v>
      </c>
      <c r="BY11">
        <f t="array" ref="BY11">INDEX(Transcriptome!AV$2:AV$28,MATCH(1,(Transcriptome!$A$2:$A$28=$B11)*(Transcriptome!$C$2:$C$28=$E11),0))</f>
        <v>0.71198577137362051</v>
      </c>
      <c r="BZ11">
        <f t="array" ref="BZ11">INDEX(Transcriptome!AW$2:AW$28,MATCH(1,(Transcriptome!$A$2:$A$28=$B11)*(Transcriptome!$C$2:$C$28=$E11),0))</f>
        <v>0.80094474222558609</v>
      </c>
      <c r="CA11">
        <f t="array" ref="CA11">INDEX(Transcriptome!AX$2:AX$28,MATCH(1,(Transcriptome!$A$2:$A$28=$B11)*(Transcriptome!$C$2:$C$28=$E11),0))</f>
        <v>0.82590812135401737</v>
      </c>
      <c r="CB11">
        <f t="array" ref="CB11">INDEX(Transcriptome!AY$2:AY$28,MATCH(1,(Transcriptome!$A$2:$A$28=$B11)*(Transcriptome!$C$2:$C$28=$E11),0))</f>
        <v>1.0272241552810923</v>
      </c>
      <c r="CC11">
        <f t="array" ref="CC11">INDEX(Transcriptome!AZ$2:AZ$28,MATCH(1,(Transcriptome!$A$2:$A$28=$B11)*(Transcriptome!$C$2:$C$28=$E11),0))</f>
        <v>0.96959416736772075</v>
      </c>
      <c r="CD11">
        <f t="array" ref="CD11">INDEX(Transcriptome!BA$2:BA$28,MATCH(1,(Transcriptome!$A$2:$A$28=$B11)*(Transcriptome!$C$2:$C$28=$E11),0))</f>
        <v>1.974935690525407</v>
      </c>
      <c r="CE11">
        <f t="array" ref="CE11">INDEX(Transcriptome!BB$2:BB$28,MATCH(1,(Transcriptome!$A$2:$A$28=$B11)*(Transcriptome!$C$2:$C$28=$E11),0))</f>
        <v>2.1033973998458797</v>
      </c>
      <c r="CF11">
        <f t="array" ref="CF11">INDEX(Transcriptome!BC$2:BC$28,MATCH(1,(Transcriptome!$A$2:$A$28=$B11)*(Transcriptome!$C$2:$C$28=$E11),0))</f>
        <v>0</v>
      </c>
      <c r="CG11">
        <f t="array" ref="CG11">INDEX(Transcriptome!BD$2:BD$28,MATCH(1,(Transcriptome!$A$2:$A$28=$B11)*(Transcriptome!$C$2:$C$28=$E11),0))</f>
        <v>1.5996061925887715</v>
      </c>
      <c r="CH11">
        <f t="array" ref="CH11">INDEX(Transcriptome!BE$2:BE$28,MATCH(1,(Transcriptome!$A$2:$A$28=$B11)*(Transcriptome!$C$2:$C$28=$E11),0))</f>
        <v>1.4949993475149961</v>
      </c>
      <c r="CI11">
        <f t="array" ref="CI11">INDEX(Transcriptome!BF$2:BF$28,MATCH(1,(Transcriptome!$A$2:$A$28=$B11)*(Transcriptome!$C$2:$C$28=$E11),0))</f>
        <v>1.5497468202012199</v>
      </c>
      <c r="CJ11">
        <f t="array" ref="CJ11">INDEX(Transcriptome!BG$2:BG$28,MATCH(1,(Transcriptome!$A$2:$A$28=$B11)*(Transcriptome!$C$2:$C$28=$E11),0))</f>
        <v>2.4313166778774296</v>
      </c>
      <c r="CK11">
        <f t="array" ref="CK11">INDEX(Transcriptome!BH$2:BH$28,MATCH(1,(Transcriptome!$A$2:$A$28=$B11)*(Transcriptome!$C$2:$C$28=$E11),0))</f>
        <v>0.64707001056733671</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2.1724789275552308</v>
      </c>
      <c r="CO11">
        <f t="array" ref="CO11">INDEX(Transcriptome!BL$2:BL$28,MATCH(1,(Transcriptome!$A$2:$A$28=$B11)*(Transcriptome!$C$2:$C$28=$E11),0))</f>
        <v>1.7950064664524856</v>
      </c>
      <c r="CP11">
        <f t="array" ref="CP11">INDEX(Transcriptome!BM$2:BM$28,MATCH(1,(Transcriptome!$A$2:$A$28=$B11)*(Transcriptome!$C$2:$C$28=$E11),0))</f>
        <v>0.75235595411476763</v>
      </c>
      <c r="CQ11">
        <f t="array" ref="CQ11">INDEX(Transcriptome!BN$2:BN$28,MATCH(1,(Transcriptome!$A$2:$A$28=$B11)*(Transcriptome!$C$2:$C$28=$E11),0))</f>
        <v>30.841627330882794</v>
      </c>
      <c r="CR11">
        <f t="array" ref="CR11">INDEX(Transcriptome!BO$2:BO$28,MATCH(1,(Transcriptome!$A$2:$A$28=$B11)*(Transcriptome!$C$2:$C$28=$E11),0))</f>
        <v>1.9998119070900044</v>
      </c>
      <c r="CS11">
        <f t="array" ref="CS11">INDEX(Transcriptome!BP$2:BP$28,MATCH(1,(Transcriptome!$A$2:$A$28=$B11)*(Transcriptome!$C$2:$C$28=$E11),0))</f>
        <v>0.64707001056733671</v>
      </c>
      <c r="CT11">
        <f t="array" ref="CT11">INDEX(Transcriptome!BQ$2:BQ$28,MATCH(1,(Transcriptome!$A$2:$A$28=$B11)*(Transcriptome!$C$2:$C$28=$E11),0))</f>
        <v>1</v>
      </c>
      <c r="CU11">
        <f t="array" ref="CU11">INDEX(Transcriptome!BR$2:BR$28,MATCH(1,(Transcriptome!$A$2:$A$28=$B11)*(Transcriptome!$C$2:$C$28=$E11),0))</f>
        <v>1.4503728796128219</v>
      </c>
    </row>
    <row r="12" spans="1:99">
      <c r="A12">
        <f>'Measured Data'!A17</f>
        <v>10</v>
      </c>
      <c r="B12" t="s">
        <v>582</v>
      </c>
      <c r="C12" s="324" t="s">
        <v>586</v>
      </c>
      <c r="D12">
        <v>1</v>
      </c>
      <c r="E12" t="s">
        <v>512</v>
      </c>
      <c r="F12" s="477">
        <f>'Growth Regression'!R12</f>
        <v>10.42048611111386</v>
      </c>
      <c r="G12" s="477">
        <f>'Growth Regression'!S12</f>
        <v>250.09166666673264</v>
      </c>
      <c r="H12">
        <f>AVERAGE('TL input - regression'!L12:L13)</f>
        <v>6.1335731255134434</v>
      </c>
      <c r="I12">
        <f>AVERAGE('TL input - regression'!M12:M13)</f>
        <v>3.330373001776199</v>
      </c>
      <c r="J12">
        <f>AVERAGE('TL input - regression'!N12:N13)</f>
        <v>5.1545000000000005</v>
      </c>
      <c r="K12">
        <f>AVERAGE('TL input - regression'!O12:O13)</f>
        <v>7.4499999999999997E-2</v>
      </c>
      <c r="L12">
        <f>AVERAGE('TL input - regression'!P12:P13)</f>
        <v>2.4895</v>
      </c>
      <c r="M12">
        <f>'Growth Regression'!P12</f>
        <v>2.7896448655290607E-3</v>
      </c>
      <c r="N12">
        <f>M12/'Growth Regression'!$O$24</f>
        <v>0.10509822291192124</v>
      </c>
      <c r="O12">
        <f>'Post Process Calc.'!C30</f>
        <v>3.704314696601755E-2</v>
      </c>
      <c r="P12">
        <f>'Post Process Calc.'!D30</f>
        <v>-6.7497745704583811E-3</v>
      </c>
      <c r="Q12">
        <f>'Post Process Calc.'!E30</f>
        <v>2.0918688210202433E-3</v>
      </c>
      <c r="R12">
        <f>'Post Process Calc.'!F30</f>
        <v>2.9216592443821444E-3</v>
      </c>
      <c r="S12">
        <f>'Post Process Calc.'!G30</f>
        <v>5.3087905010688018E-4</v>
      </c>
      <c r="T12">
        <f t="shared" si="2"/>
        <v>-0.18221385393229292</v>
      </c>
      <c r="U12">
        <f t="shared" si="4"/>
        <v>23.151966853760968</v>
      </c>
      <c r="V12">
        <f t="shared" si="4"/>
        <v>-4.2186091065364879</v>
      </c>
      <c r="W12">
        <f t="shared" si="0"/>
        <v>1.307418013137652</v>
      </c>
      <c r="X12">
        <f t="shared" si="0"/>
        <v>1.8260370277388402</v>
      </c>
      <c r="Y12">
        <f t="shared" si="0"/>
        <v>0.33179940631680011</v>
      </c>
      <c r="Z12">
        <v>100</v>
      </c>
      <c r="AA12">
        <v>0.32</v>
      </c>
      <c r="AB12">
        <v>7</v>
      </c>
      <c r="AC12">
        <v>0.7</v>
      </c>
      <c r="AD12">
        <f t="shared" si="1"/>
        <v>5.0118723362727164E-8</v>
      </c>
      <c r="AE12">
        <v>1</v>
      </c>
      <c r="AF12">
        <v>0.311</v>
      </c>
      <c r="AG12">
        <f t="array" ref="AG12">INDEX(Transcriptome!D$2:D$28,MATCH(1,(Transcriptome!$A$2:$A$28=$B12)*(Transcriptome!$C$2:$C$28=$E12),0))</f>
        <v>0.79911115968947066</v>
      </c>
      <c r="AH12">
        <f t="array" ref="AH12">INDEX(Transcriptome!E$2:E$28,MATCH(1,(Transcriptome!$A$2:$A$28=$B12)*(Transcriptome!$C$2:$C$28=$E12),0))</f>
        <v>1.395845883804042</v>
      </c>
      <c r="AI12">
        <f t="array" ref="AI12">INDEX(Transcriptome!F$2:F$28,MATCH(1,(Transcriptome!$A$2:$A$28=$B12)*(Transcriptome!$C$2:$C$28=$E12),0))</f>
        <v>1.2386820755987473</v>
      </c>
      <c r="AJ12">
        <f t="array" ref="AJ12">INDEX(Transcriptome!G$2:G$28,MATCH(1,(Transcriptome!$A$2:$A$28=$B12)*(Transcriptome!$C$2:$C$28=$E12),0))</f>
        <v>0.41313915958702108</v>
      </c>
      <c r="AK12">
        <f t="array" ref="AK12">INDEX(Transcriptome!H$2:H$28,MATCH(1,(Transcriptome!$A$2:$A$28=$B12)*(Transcriptome!$C$2:$C$28=$E12),0))</f>
        <v>0</v>
      </c>
      <c r="AL12">
        <f t="array" ref="AL12">INDEX(Transcriptome!I$2:I$28,MATCH(1,(Transcriptome!$A$2:$A$28=$B12)*(Transcriptome!$C$2:$C$28=$E12),0))</f>
        <v>1.6373902208828588</v>
      </c>
      <c r="AM12">
        <f t="array" ref="AM12">INDEX(Transcriptome!J$2:J$28,MATCH(1,(Transcriptome!$A$2:$A$28=$B12)*(Transcriptome!$C$2:$C$28=$E12),0))</f>
        <v>1.0934992172910949</v>
      </c>
      <c r="AN12">
        <f t="array" ref="AN12">INDEX(Transcriptome!K$2:K$28,MATCH(1,(Transcriptome!$A$2:$A$28=$B12)*(Transcriptome!$C$2:$C$28=$E12),0))</f>
        <v>1.4036482118242957</v>
      </c>
      <c r="AO12">
        <f t="array" ref="AO12">INDEX(Transcriptome!L$2:L$28,MATCH(1,(Transcriptome!$A$2:$A$28=$B12)*(Transcriptome!$C$2:$C$28=$E12),0))</f>
        <v>0.94961435084723056</v>
      </c>
      <c r="AP12">
        <f t="array" ref="AP12">INDEX(Transcriptome!M$2:M$28,MATCH(1,(Transcriptome!$A$2:$A$28=$B12)*(Transcriptome!$C$2:$C$28=$E12),0))</f>
        <v>1.0343862396420227</v>
      </c>
      <c r="AQ12">
        <f t="array" ref="AQ12">INDEX(Transcriptome!N$2:N$28,MATCH(1,(Transcriptome!$A$2:$A$28=$B12)*(Transcriptome!$C$2:$C$28=$E12),0))</f>
        <v>1.1417637658643289</v>
      </c>
      <c r="AR12">
        <f t="array" ref="AR12">INDEX(Transcriptome!O$2:O$28,MATCH(1,(Transcriptome!$A$2:$A$28=$B12)*(Transcriptome!$C$2:$C$28=$E12),0))</f>
        <v>1.3965472309808804</v>
      </c>
      <c r="AS12">
        <f t="array" ref="AS12">INDEX(Transcriptome!P$2:P$28,MATCH(1,(Transcriptome!$A$2:$A$28=$B12)*(Transcriptome!$C$2:$C$28=$E12),0))</f>
        <v>1.3919262992893948</v>
      </c>
      <c r="AT12">
        <f t="array" ref="AT12">INDEX(Transcriptome!Q$2:Q$28,MATCH(1,(Transcriptome!$A$2:$A$28=$B12)*(Transcriptome!$C$2:$C$28=$E12),0))</f>
        <v>0.73359669576377562</v>
      </c>
      <c r="AU12">
        <f t="array" ref="AU12">INDEX(Transcriptome!R$2:R$28,MATCH(1,(Transcriptome!$A$2:$A$28=$B12)*(Transcriptome!$C$2:$C$28=$E12),0))</f>
        <v>0.59836270430598559</v>
      </c>
      <c r="AV12">
        <f t="array" ref="AV12">INDEX(Transcriptome!S$2:S$28,MATCH(1,(Transcriptome!$A$2:$A$28=$B12)*(Transcriptome!$C$2:$C$28=$E12),0))</f>
        <v>0.44894986261624537</v>
      </c>
      <c r="AW12">
        <f t="array" ref="AW12">INDEX(Transcriptome!T$2:T$28,MATCH(1,(Transcriptome!$A$2:$A$28=$B12)*(Transcriptome!$C$2:$C$28=$E12),0))</f>
        <v>1.1873267962928766</v>
      </c>
      <c r="AX12">
        <f t="array" ref="AX12">INDEX(Transcriptome!U$2:U$28,MATCH(1,(Transcriptome!$A$2:$A$28=$B12)*(Transcriptome!$C$2:$C$28=$E12),0))</f>
        <v>2.9346206754839992</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1.1338718139260324</v>
      </c>
      <c r="BB12">
        <f t="array" ref="BB12">INDEX(Transcriptome!Y$2:Y$28,MATCH(1,(Transcriptome!$A$2:$A$28=$B12)*(Transcriptome!$C$2:$C$28=$E12),0))</f>
        <v>0</v>
      </c>
      <c r="BC12">
        <f t="array" ref="BC12">INDEX(Transcriptome!Z$2:Z$28,MATCH(1,(Transcriptome!$A$2:$A$28=$B12)*(Transcriptome!$C$2:$C$28=$E12),0))</f>
        <v>1.5384366899444268</v>
      </c>
      <c r="BD12">
        <f t="array" ref="BD12">INDEX(Transcriptome!AA$2:AA$28,MATCH(1,(Transcriptome!$A$2:$A$28=$B12)*(Transcriptome!$C$2:$C$28=$E12),0))</f>
        <v>1.0764313688936573</v>
      </c>
      <c r="BE12">
        <f t="array" ref="BE12">INDEX(Transcriptome!AB$2:AB$28,MATCH(1,(Transcriptome!$A$2:$A$28=$B12)*(Transcriptome!$C$2:$C$28=$E12),0))</f>
        <v>0.47159130437877711</v>
      </c>
      <c r="BF12">
        <f t="array" ref="BF12">INDEX(Transcriptome!AC$2:AC$28,MATCH(1,(Transcriptome!$A$2:$A$28=$B12)*(Transcriptome!$C$2:$C$28=$E12),0))</f>
        <v>1.0571838358251406</v>
      </c>
      <c r="BG12">
        <f t="array" ref="BG12">INDEX(Transcriptome!AD$2:AD$28,MATCH(1,(Transcriptome!$A$2:$A$28=$B12)*(Transcriptome!$C$2:$C$28=$E12),0))</f>
        <v>1.2979820354545486</v>
      </c>
      <c r="BH12">
        <f t="array" ref="BH12">INDEX(Transcriptome!AE$2:AE$28,MATCH(1,(Transcriptome!$A$2:$A$28=$B12)*(Transcriptome!$C$2:$C$28=$E12),0))</f>
        <v>1.502511326716075</v>
      </c>
      <c r="BI12">
        <f t="array" ref="BI12">INDEX(Transcriptome!AF$2:AF$28,MATCH(1,(Transcriptome!$A$2:$A$28=$B12)*(Transcriptome!$C$2:$C$28=$E12),0))</f>
        <v>0.92275337933209434</v>
      </c>
      <c r="BJ12">
        <f t="array" ref="BJ12">INDEX(Transcriptome!AG$2:AG$28,MATCH(1,(Transcriptome!$A$2:$A$28=$B12)*(Transcriptome!$C$2:$C$28=$E12),0))</f>
        <v>0.57492789139254974</v>
      </c>
      <c r="BK12">
        <f t="array" ref="BK12">INDEX(Transcriptome!AH$2:AH$28,MATCH(1,(Transcriptome!$A$2:$A$28=$B12)*(Transcriptome!$C$2:$C$28=$E12),0))</f>
        <v>2.1154284091716771</v>
      </c>
      <c r="BL12">
        <f t="array" ref="BL12">INDEX(Transcriptome!AI$2:AI$28,MATCH(1,(Transcriptome!$A$2:$A$28=$B12)*(Transcriptome!$C$2:$C$28=$E12),0))</f>
        <v>0.85597038518299884</v>
      </c>
      <c r="BM12">
        <f t="array" ref="BM12">INDEX(Transcriptome!AJ$2:AJ$28,MATCH(1,(Transcriptome!$A$2:$A$28=$B12)*(Transcriptome!$C$2:$C$28=$E12),0))</f>
        <v>0.9270169484475107</v>
      </c>
      <c r="BN12">
        <f t="array" ref="BN12">INDEX(Transcriptome!AK$2:AK$28,MATCH(1,(Transcriptome!$A$2:$A$28=$B12)*(Transcriptome!$C$2:$C$28=$E12),0))</f>
        <v>0.91392647570710206</v>
      </c>
      <c r="BO12">
        <f t="array" ref="BO12">INDEX(Transcriptome!AL$2:AL$28,MATCH(1,(Transcriptome!$A$2:$A$28=$B12)*(Transcriptome!$C$2:$C$28=$E12),0))</f>
        <v>1</v>
      </c>
      <c r="BP12">
        <f t="array" ref="BP12">INDEX(Transcriptome!AM$2:AM$28,MATCH(1,(Transcriptome!$A$2:$A$28=$B12)*(Transcriptome!$C$2:$C$28=$E12),0))</f>
        <v>0.87506702113635604</v>
      </c>
      <c r="BQ12">
        <f t="array" ref="BQ12">INDEX(Transcriptome!AN$2:AN$28,MATCH(1,(Transcriptome!$A$2:$A$28=$B12)*(Transcriptome!$C$2:$C$28=$E12),0))</f>
        <v>1.0812931656942111</v>
      </c>
      <c r="BR12">
        <f t="array" ref="BR12">INDEX(Transcriptome!AO$2:AO$28,MATCH(1,(Transcriptome!$A$2:$A$28=$B12)*(Transcriptome!$C$2:$C$28=$E12),0))</f>
        <v>1.2412757853546588</v>
      </c>
      <c r="BS12">
        <f t="array" ref="BS12">INDEX(Transcriptome!AP$2:AP$28,MATCH(1,(Transcriptome!$A$2:$A$28=$B12)*(Transcriptome!$C$2:$C$28=$E12),0))</f>
        <v>1.1463769840236129</v>
      </c>
      <c r="BT12">
        <f t="array" ref="BT12">INDEX(Transcriptome!AQ$2:AQ$28,MATCH(1,(Transcriptome!$A$2:$A$28=$B12)*(Transcriptome!$C$2:$C$28=$E12),0))</f>
        <v>1.5376111207797365</v>
      </c>
      <c r="BU12">
        <f t="array" ref="BU12">INDEX(Transcriptome!AR$2:AR$28,MATCH(1,(Transcriptome!$A$2:$A$28=$B12)*(Transcriptome!$C$2:$C$28=$E12),0))</f>
        <v>0.78312832126036092</v>
      </c>
      <c r="BV12">
        <f t="array" ref="BV12">INDEX(Transcriptome!AS$2:AS$28,MATCH(1,(Transcriptome!$A$2:$A$28=$B12)*(Transcriptome!$C$2:$C$28=$E12),0))</f>
        <v>1.0554455360573771</v>
      </c>
      <c r="BW12">
        <f t="array" ref="BW12">INDEX(Transcriptome!AT$2:AT$28,MATCH(1,(Transcriptome!$A$2:$A$28=$B12)*(Transcriptome!$C$2:$C$28=$E12),0))</f>
        <v>0.8368102605762836</v>
      </c>
      <c r="BX12">
        <f t="array" ref="BX12">INDEX(Transcriptome!AU$2:AU$28,MATCH(1,(Transcriptome!$A$2:$A$28=$B12)*(Transcriptome!$C$2:$C$28=$E12),0))</f>
        <v>1.7524949277791828</v>
      </c>
      <c r="BY12">
        <f t="array" ref="BY12">INDEX(Transcriptome!AV$2:AV$28,MATCH(1,(Transcriptome!$A$2:$A$28=$B12)*(Transcriptome!$C$2:$C$28=$E12),0))</f>
        <v>0.67651836917863639</v>
      </c>
      <c r="BZ12">
        <f t="array" ref="BZ12">INDEX(Transcriptome!AW$2:AW$28,MATCH(1,(Transcriptome!$A$2:$A$28=$B12)*(Transcriptome!$C$2:$C$28=$E12),0))</f>
        <v>0.79957736892979914</v>
      </c>
      <c r="CA12">
        <f t="array" ref="CA12">INDEX(Transcriptome!AX$2:AX$28,MATCH(1,(Transcriptome!$A$2:$A$28=$B12)*(Transcriptome!$C$2:$C$28=$E12),0))</f>
        <v>0.84066476768291531</v>
      </c>
      <c r="CB12">
        <f t="array" ref="CB12">INDEX(Transcriptome!AY$2:AY$28,MATCH(1,(Transcriptome!$A$2:$A$28=$B12)*(Transcriptome!$C$2:$C$28=$E12),0))</f>
        <v>0.99862338389680116</v>
      </c>
      <c r="CC12">
        <f t="array" ref="CC12">INDEX(Transcriptome!AZ$2:AZ$28,MATCH(1,(Transcriptome!$A$2:$A$28=$B12)*(Transcriptome!$C$2:$C$28=$E12),0))</f>
        <v>0.95974063131380538</v>
      </c>
      <c r="CD12">
        <f t="array" ref="CD12">INDEX(Transcriptome!BA$2:BA$28,MATCH(1,(Transcriptome!$A$2:$A$28=$B12)*(Transcriptome!$C$2:$C$28=$E12),0))</f>
        <v>1.9813944974991031</v>
      </c>
      <c r="CE12">
        <f t="array" ref="CE12">INDEX(Transcriptome!BB$2:BB$28,MATCH(1,(Transcriptome!$A$2:$A$28=$B12)*(Transcriptome!$C$2:$C$28=$E12),0))</f>
        <v>2.1376571317272437</v>
      </c>
      <c r="CF12">
        <f t="array" ref="CF12">INDEX(Transcriptome!BC$2:BC$28,MATCH(1,(Transcriptome!$A$2:$A$28=$B12)*(Transcriptome!$C$2:$C$28=$E12),0))</f>
        <v>0</v>
      </c>
      <c r="CG12">
        <f t="array" ref="CG12">INDEX(Transcriptome!BD$2:BD$28,MATCH(1,(Transcriptome!$A$2:$A$28=$B12)*(Transcriptome!$C$2:$C$28=$E12),0))</f>
        <v>1.5663129663080484</v>
      </c>
      <c r="CH12">
        <f t="array" ref="CH12">INDEX(Transcriptome!BE$2:BE$28,MATCH(1,(Transcriptome!$A$2:$A$28=$B12)*(Transcriptome!$C$2:$C$28=$E12),0))</f>
        <v>1.4453935097704496</v>
      </c>
      <c r="CI12">
        <f t="array" ref="CI12">INDEX(Transcriptome!BF$2:BF$28,MATCH(1,(Transcriptome!$A$2:$A$28=$B12)*(Transcriptome!$C$2:$C$28=$E12),0))</f>
        <v>1.6277485452435247</v>
      </c>
      <c r="CJ12">
        <f t="array" ref="CJ12">INDEX(Transcriptome!BG$2:BG$28,MATCH(1,(Transcriptome!$A$2:$A$28=$B12)*(Transcriptome!$C$2:$C$28=$E12),0))</f>
        <v>2.3611743621600545</v>
      </c>
      <c r="CK12">
        <f t="array" ref="CK12">INDEX(Transcriptome!BH$2:BH$28,MATCH(1,(Transcriptome!$A$2:$A$28=$B12)*(Transcriptome!$C$2:$C$28=$E12),0))</f>
        <v>0.66157773370407957</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2.2177081080211609</v>
      </c>
      <c r="CO12">
        <f t="array" ref="CO12">INDEX(Transcriptome!BL$2:BL$28,MATCH(1,(Transcriptome!$A$2:$A$28=$B12)*(Transcriptome!$C$2:$C$28=$E12),0))</f>
        <v>1.8689744295700941</v>
      </c>
      <c r="CP12">
        <f t="array" ref="CP12">INDEX(Transcriptome!BM$2:BM$28,MATCH(1,(Transcriptome!$A$2:$A$28=$B12)*(Transcriptome!$C$2:$C$28=$E12),0))</f>
        <v>0.71999310841955522</v>
      </c>
      <c r="CQ12">
        <f t="array" ref="CQ12">INDEX(Transcriptome!BN$2:BN$28,MATCH(1,(Transcriptome!$A$2:$A$28=$B12)*(Transcriptome!$C$2:$C$28=$E12),0))</f>
        <v>31.051492934824005</v>
      </c>
      <c r="CR12">
        <f t="array" ref="CR12">INDEX(Transcriptome!BO$2:BO$28,MATCH(1,(Transcriptome!$A$2:$A$28=$B12)*(Transcriptome!$C$2:$C$28=$E12),0))</f>
        <v>1.7199426312342987</v>
      </c>
      <c r="CS12">
        <f t="array" ref="CS12">INDEX(Transcriptome!BP$2:BP$28,MATCH(1,(Transcriptome!$A$2:$A$28=$B12)*(Transcriptome!$C$2:$C$28=$E12),0))</f>
        <v>0.66157773370407957</v>
      </c>
      <c r="CT12">
        <f t="array" ref="CT12">INDEX(Transcriptome!BQ$2:BQ$28,MATCH(1,(Transcriptome!$A$2:$A$28=$B12)*(Transcriptome!$C$2:$C$28=$E12),0))</f>
        <v>1</v>
      </c>
      <c r="CU12">
        <f t="array" ref="CU12">INDEX(Transcriptome!BR$2:BR$28,MATCH(1,(Transcriptome!$A$2:$A$28=$B12)*(Transcriptome!$C$2:$C$28=$E12),0))</f>
        <v>1.3004604300657727</v>
      </c>
    </row>
    <row r="13" spans="1:99">
      <c r="A13">
        <f>'Measured Data'!A18</f>
        <v>11</v>
      </c>
      <c r="B13" t="s">
        <v>582</v>
      </c>
      <c r="C13" s="324" t="s">
        <v>586</v>
      </c>
      <c r="D13">
        <v>1</v>
      </c>
      <c r="E13" t="s">
        <v>512</v>
      </c>
      <c r="F13" s="477">
        <f>'Growth Regression'!R13</f>
        <v>11.392361111113132</v>
      </c>
      <c r="G13" s="477">
        <f>'Growth Regression'!S13</f>
        <v>273.41666666671517</v>
      </c>
      <c r="H13">
        <f>AVERAGE('TL input - regression'!L13:L14)</f>
        <v>6.9384311374586467</v>
      </c>
      <c r="I13">
        <f>AVERAGE('TL input - regression'!M13:M14)</f>
        <v>3.330373001776199</v>
      </c>
      <c r="J13">
        <f>AVERAGE('TL input - regression'!N13:N14)</f>
        <v>3.4255</v>
      </c>
      <c r="K13">
        <f>AVERAGE('TL input - regression'!O13:O14)</f>
        <v>7.6499999999999999E-2</v>
      </c>
      <c r="L13">
        <f>AVERAGE('TL input - regression'!P13:P14)</f>
        <v>2.4929999999999999</v>
      </c>
      <c r="M13">
        <f>'Growth Regression'!P13</f>
        <v>1.5658140435642546E-3</v>
      </c>
      <c r="N13">
        <f>M13/'Growth Regression'!$O$24</f>
        <v>5.8991119415453944E-2</v>
      </c>
      <c r="O13">
        <f>'Post Process Calc.'!C31</f>
        <v>4.0987311746449075E-2</v>
      </c>
      <c r="P13">
        <f>'Post Process Calc.'!D31</f>
        <v>-5.258941973475104E-3</v>
      </c>
      <c r="Q13">
        <f>'Post Process Calc.'!E31</f>
        <v>4.5778928441207985E-3</v>
      </c>
      <c r="R13">
        <f>'Post Process Calc.'!F31</f>
        <v>1.6025433594633494E-3</v>
      </c>
      <c r="S13">
        <f>'Post Process Calc.'!G31</f>
        <v>6.3656338977181968E-4</v>
      </c>
      <c r="T13">
        <f t="shared" si="2"/>
        <v>-0.12830658438902648</v>
      </c>
      <c r="U13">
        <f t="shared" si="4"/>
        <v>25.617069841530672</v>
      </c>
      <c r="V13">
        <f t="shared" si="4"/>
        <v>-3.28683873342194</v>
      </c>
      <c r="W13">
        <f t="shared" si="0"/>
        <v>2.8611830275754988</v>
      </c>
      <c r="X13">
        <f t="shared" si="0"/>
        <v>1.0015895996645934</v>
      </c>
      <c r="Y13">
        <f t="shared" si="0"/>
        <v>0.39785211860738728</v>
      </c>
      <c r="Z13">
        <v>100</v>
      </c>
      <c r="AA13">
        <v>0.32</v>
      </c>
      <c r="AB13">
        <v>7</v>
      </c>
      <c r="AC13">
        <v>0.7</v>
      </c>
      <c r="AD13">
        <f t="shared" si="1"/>
        <v>5.0118723362727164E-8</v>
      </c>
      <c r="AE13">
        <v>1</v>
      </c>
      <c r="AF13">
        <v>0.311</v>
      </c>
      <c r="AG13">
        <f t="array" ref="AG13">INDEX(Transcriptome!D$2:D$28,MATCH(1,(Transcriptome!$A$2:$A$28=$B13)*(Transcriptome!$C$2:$C$28=$E13),0))</f>
        <v>0.79911115968947066</v>
      </c>
      <c r="AH13">
        <f t="array" ref="AH13">INDEX(Transcriptome!E$2:E$28,MATCH(1,(Transcriptome!$A$2:$A$28=$B13)*(Transcriptome!$C$2:$C$28=$E13),0))</f>
        <v>1.395845883804042</v>
      </c>
      <c r="AI13">
        <f t="array" ref="AI13">INDEX(Transcriptome!F$2:F$28,MATCH(1,(Transcriptome!$A$2:$A$28=$B13)*(Transcriptome!$C$2:$C$28=$E13),0))</f>
        <v>1.2386820755987473</v>
      </c>
      <c r="AJ13">
        <f t="array" ref="AJ13">INDEX(Transcriptome!G$2:G$28,MATCH(1,(Transcriptome!$A$2:$A$28=$B13)*(Transcriptome!$C$2:$C$28=$E13),0))</f>
        <v>0.41313915958702108</v>
      </c>
      <c r="AK13">
        <f t="array" ref="AK13">INDEX(Transcriptome!H$2:H$28,MATCH(1,(Transcriptome!$A$2:$A$28=$B13)*(Transcriptome!$C$2:$C$28=$E13),0))</f>
        <v>0</v>
      </c>
      <c r="AL13">
        <f t="array" ref="AL13">INDEX(Transcriptome!I$2:I$28,MATCH(1,(Transcriptome!$A$2:$A$28=$B13)*(Transcriptome!$C$2:$C$28=$E13),0))</f>
        <v>1.6373902208828588</v>
      </c>
      <c r="AM13">
        <f t="array" ref="AM13">INDEX(Transcriptome!J$2:J$28,MATCH(1,(Transcriptome!$A$2:$A$28=$B13)*(Transcriptome!$C$2:$C$28=$E13),0))</f>
        <v>1.0934992172910949</v>
      </c>
      <c r="AN13">
        <f t="array" ref="AN13">INDEX(Transcriptome!K$2:K$28,MATCH(1,(Transcriptome!$A$2:$A$28=$B13)*(Transcriptome!$C$2:$C$28=$E13),0))</f>
        <v>1.4036482118242957</v>
      </c>
      <c r="AO13">
        <f t="array" ref="AO13">INDEX(Transcriptome!L$2:L$28,MATCH(1,(Transcriptome!$A$2:$A$28=$B13)*(Transcriptome!$C$2:$C$28=$E13),0))</f>
        <v>0.94961435084723056</v>
      </c>
      <c r="AP13">
        <f t="array" ref="AP13">INDEX(Transcriptome!M$2:M$28,MATCH(1,(Transcriptome!$A$2:$A$28=$B13)*(Transcriptome!$C$2:$C$28=$E13),0))</f>
        <v>1.0343862396420227</v>
      </c>
      <c r="AQ13">
        <f t="array" ref="AQ13">INDEX(Transcriptome!N$2:N$28,MATCH(1,(Transcriptome!$A$2:$A$28=$B13)*(Transcriptome!$C$2:$C$28=$E13),0))</f>
        <v>1.1417637658643289</v>
      </c>
      <c r="AR13">
        <f t="array" ref="AR13">INDEX(Transcriptome!O$2:O$28,MATCH(1,(Transcriptome!$A$2:$A$28=$B13)*(Transcriptome!$C$2:$C$28=$E13),0))</f>
        <v>1.3965472309808804</v>
      </c>
      <c r="AS13">
        <f t="array" ref="AS13">INDEX(Transcriptome!P$2:P$28,MATCH(1,(Transcriptome!$A$2:$A$28=$B13)*(Transcriptome!$C$2:$C$28=$E13),0))</f>
        <v>1.3919262992893948</v>
      </c>
      <c r="AT13">
        <f t="array" ref="AT13">INDEX(Transcriptome!Q$2:Q$28,MATCH(1,(Transcriptome!$A$2:$A$28=$B13)*(Transcriptome!$C$2:$C$28=$E13),0))</f>
        <v>0.73359669576377562</v>
      </c>
      <c r="AU13">
        <f t="array" ref="AU13">INDEX(Transcriptome!R$2:R$28,MATCH(1,(Transcriptome!$A$2:$A$28=$B13)*(Transcriptome!$C$2:$C$28=$E13),0))</f>
        <v>0.59836270430598559</v>
      </c>
      <c r="AV13">
        <f t="array" ref="AV13">INDEX(Transcriptome!S$2:S$28,MATCH(1,(Transcriptome!$A$2:$A$28=$B13)*(Transcriptome!$C$2:$C$28=$E13),0))</f>
        <v>0.44894986261624537</v>
      </c>
      <c r="AW13">
        <f t="array" ref="AW13">INDEX(Transcriptome!T$2:T$28,MATCH(1,(Transcriptome!$A$2:$A$28=$B13)*(Transcriptome!$C$2:$C$28=$E13),0))</f>
        <v>1.1873267962928766</v>
      </c>
      <c r="AX13">
        <f t="array" ref="AX13">INDEX(Transcriptome!U$2:U$28,MATCH(1,(Transcriptome!$A$2:$A$28=$B13)*(Transcriptome!$C$2:$C$28=$E13),0))</f>
        <v>2.9346206754839992</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1.1338718139260324</v>
      </c>
      <c r="BB13">
        <f t="array" ref="BB13">INDEX(Transcriptome!Y$2:Y$28,MATCH(1,(Transcriptome!$A$2:$A$28=$B13)*(Transcriptome!$C$2:$C$28=$E13),0))</f>
        <v>0</v>
      </c>
      <c r="BC13">
        <f t="array" ref="BC13">INDEX(Transcriptome!Z$2:Z$28,MATCH(1,(Transcriptome!$A$2:$A$28=$B13)*(Transcriptome!$C$2:$C$28=$E13),0))</f>
        <v>1.5384366899444268</v>
      </c>
      <c r="BD13">
        <f t="array" ref="BD13">INDEX(Transcriptome!AA$2:AA$28,MATCH(1,(Transcriptome!$A$2:$A$28=$B13)*(Transcriptome!$C$2:$C$28=$E13),0))</f>
        <v>1.0764313688936573</v>
      </c>
      <c r="BE13">
        <f t="array" ref="BE13">INDEX(Transcriptome!AB$2:AB$28,MATCH(1,(Transcriptome!$A$2:$A$28=$B13)*(Transcriptome!$C$2:$C$28=$E13),0))</f>
        <v>0.47159130437877711</v>
      </c>
      <c r="BF13">
        <f t="array" ref="BF13">INDEX(Transcriptome!AC$2:AC$28,MATCH(1,(Transcriptome!$A$2:$A$28=$B13)*(Transcriptome!$C$2:$C$28=$E13),0))</f>
        <v>1.0571838358251406</v>
      </c>
      <c r="BG13">
        <f t="array" ref="BG13">INDEX(Transcriptome!AD$2:AD$28,MATCH(1,(Transcriptome!$A$2:$A$28=$B13)*(Transcriptome!$C$2:$C$28=$E13),0))</f>
        <v>1.2979820354545486</v>
      </c>
      <c r="BH13">
        <f t="array" ref="BH13">INDEX(Transcriptome!AE$2:AE$28,MATCH(1,(Transcriptome!$A$2:$A$28=$B13)*(Transcriptome!$C$2:$C$28=$E13),0))</f>
        <v>1.502511326716075</v>
      </c>
      <c r="BI13">
        <f t="array" ref="BI13">INDEX(Transcriptome!AF$2:AF$28,MATCH(1,(Transcriptome!$A$2:$A$28=$B13)*(Transcriptome!$C$2:$C$28=$E13),0))</f>
        <v>0.92275337933209434</v>
      </c>
      <c r="BJ13">
        <f t="array" ref="BJ13">INDEX(Transcriptome!AG$2:AG$28,MATCH(1,(Transcriptome!$A$2:$A$28=$B13)*(Transcriptome!$C$2:$C$28=$E13),0))</f>
        <v>0.57492789139254974</v>
      </c>
      <c r="BK13">
        <f t="array" ref="BK13">INDEX(Transcriptome!AH$2:AH$28,MATCH(1,(Transcriptome!$A$2:$A$28=$B13)*(Transcriptome!$C$2:$C$28=$E13),0))</f>
        <v>2.1154284091716771</v>
      </c>
      <c r="BL13">
        <f t="array" ref="BL13">INDEX(Transcriptome!AI$2:AI$28,MATCH(1,(Transcriptome!$A$2:$A$28=$B13)*(Transcriptome!$C$2:$C$28=$E13),0))</f>
        <v>0.85597038518299884</v>
      </c>
      <c r="BM13">
        <f t="array" ref="BM13">INDEX(Transcriptome!AJ$2:AJ$28,MATCH(1,(Transcriptome!$A$2:$A$28=$B13)*(Transcriptome!$C$2:$C$28=$E13),0))</f>
        <v>0.9270169484475107</v>
      </c>
      <c r="BN13">
        <f t="array" ref="BN13">INDEX(Transcriptome!AK$2:AK$28,MATCH(1,(Transcriptome!$A$2:$A$28=$B13)*(Transcriptome!$C$2:$C$28=$E13),0))</f>
        <v>0.91392647570710206</v>
      </c>
      <c r="BO13">
        <f t="array" ref="BO13">INDEX(Transcriptome!AL$2:AL$28,MATCH(1,(Transcriptome!$A$2:$A$28=$B13)*(Transcriptome!$C$2:$C$28=$E13),0))</f>
        <v>1</v>
      </c>
      <c r="BP13">
        <f t="array" ref="BP13">INDEX(Transcriptome!AM$2:AM$28,MATCH(1,(Transcriptome!$A$2:$A$28=$B13)*(Transcriptome!$C$2:$C$28=$E13),0))</f>
        <v>0.87506702113635604</v>
      </c>
      <c r="BQ13">
        <f t="array" ref="BQ13">INDEX(Transcriptome!AN$2:AN$28,MATCH(1,(Transcriptome!$A$2:$A$28=$B13)*(Transcriptome!$C$2:$C$28=$E13),0))</f>
        <v>1.0812931656942111</v>
      </c>
      <c r="BR13">
        <f t="array" ref="BR13">INDEX(Transcriptome!AO$2:AO$28,MATCH(1,(Transcriptome!$A$2:$A$28=$B13)*(Transcriptome!$C$2:$C$28=$E13),0))</f>
        <v>1.2412757853546588</v>
      </c>
      <c r="BS13">
        <f t="array" ref="BS13">INDEX(Transcriptome!AP$2:AP$28,MATCH(1,(Transcriptome!$A$2:$A$28=$B13)*(Transcriptome!$C$2:$C$28=$E13),0))</f>
        <v>1.1463769840236129</v>
      </c>
      <c r="BT13">
        <f t="array" ref="BT13">INDEX(Transcriptome!AQ$2:AQ$28,MATCH(1,(Transcriptome!$A$2:$A$28=$B13)*(Transcriptome!$C$2:$C$28=$E13),0))</f>
        <v>1.5376111207797365</v>
      </c>
      <c r="BU13">
        <f t="array" ref="BU13">INDEX(Transcriptome!AR$2:AR$28,MATCH(1,(Transcriptome!$A$2:$A$28=$B13)*(Transcriptome!$C$2:$C$28=$E13),0))</f>
        <v>0.78312832126036092</v>
      </c>
      <c r="BV13">
        <f t="array" ref="BV13">INDEX(Transcriptome!AS$2:AS$28,MATCH(1,(Transcriptome!$A$2:$A$28=$B13)*(Transcriptome!$C$2:$C$28=$E13),0))</f>
        <v>1.0554455360573771</v>
      </c>
      <c r="BW13">
        <f t="array" ref="BW13">INDEX(Transcriptome!AT$2:AT$28,MATCH(1,(Transcriptome!$A$2:$A$28=$B13)*(Transcriptome!$C$2:$C$28=$E13),0))</f>
        <v>0.8368102605762836</v>
      </c>
      <c r="BX13">
        <f t="array" ref="BX13">INDEX(Transcriptome!AU$2:AU$28,MATCH(1,(Transcriptome!$A$2:$A$28=$B13)*(Transcriptome!$C$2:$C$28=$E13),0))</f>
        <v>1.7524949277791828</v>
      </c>
      <c r="BY13">
        <f t="array" ref="BY13">INDEX(Transcriptome!AV$2:AV$28,MATCH(1,(Transcriptome!$A$2:$A$28=$B13)*(Transcriptome!$C$2:$C$28=$E13),0))</f>
        <v>0.67651836917863639</v>
      </c>
      <c r="BZ13">
        <f t="array" ref="BZ13">INDEX(Transcriptome!AW$2:AW$28,MATCH(1,(Transcriptome!$A$2:$A$28=$B13)*(Transcriptome!$C$2:$C$28=$E13),0))</f>
        <v>0.79957736892979914</v>
      </c>
      <c r="CA13">
        <f t="array" ref="CA13">INDEX(Transcriptome!AX$2:AX$28,MATCH(1,(Transcriptome!$A$2:$A$28=$B13)*(Transcriptome!$C$2:$C$28=$E13),0))</f>
        <v>0.84066476768291531</v>
      </c>
      <c r="CB13">
        <f t="array" ref="CB13">INDEX(Transcriptome!AY$2:AY$28,MATCH(1,(Transcriptome!$A$2:$A$28=$B13)*(Transcriptome!$C$2:$C$28=$E13),0))</f>
        <v>0.99862338389680116</v>
      </c>
      <c r="CC13">
        <f t="array" ref="CC13">INDEX(Transcriptome!AZ$2:AZ$28,MATCH(1,(Transcriptome!$A$2:$A$28=$B13)*(Transcriptome!$C$2:$C$28=$E13),0))</f>
        <v>0.95974063131380538</v>
      </c>
      <c r="CD13">
        <f t="array" ref="CD13">INDEX(Transcriptome!BA$2:BA$28,MATCH(1,(Transcriptome!$A$2:$A$28=$B13)*(Transcriptome!$C$2:$C$28=$E13),0))</f>
        <v>1.9813944974991031</v>
      </c>
      <c r="CE13">
        <f t="array" ref="CE13">INDEX(Transcriptome!BB$2:BB$28,MATCH(1,(Transcriptome!$A$2:$A$28=$B13)*(Transcriptome!$C$2:$C$28=$E13),0))</f>
        <v>2.1376571317272437</v>
      </c>
      <c r="CF13">
        <f t="array" ref="CF13">INDEX(Transcriptome!BC$2:BC$28,MATCH(1,(Transcriptome!$A$2:$A$28=$B13)*(Transcriptome!$C$2:$C$28=$E13),0))</f>
        <v>0</v>
      </c>
      <c r="CG13">
        <f t="array" ref="CG13">INDEX(Transcriptome!BD$2:BD$28,MATCH(1,(Transcriptome!$A$2:$A$28=$B13)*(Transcriptome!$C$2:$C$28=$E13),0))</f>
        <v>1.5663129663080484</v>
      </c>
      <c r="CH13">
        <f t="array" ref="CH13">INDEX(Transcriptome!BE$2:BE$28,MATCH(1,(Transcriptome!$A$2:$A$28=$B13)*(Transcriptome!$C$2:$C$28=$E13),0))</f>
        <v>1.4453935097704496</v>
      </c>
      <c r="CI13">
        <f t="array" ref="CI13">INDEX(Transcriptome!BF$2:BF$28,MATCH(1,(Transcriptome!$A$2:$A$28=$B13)*(Transcriptome!$C$2:$C$28=$E13),0))</f>
        <v>1.6277485452435247</v>
      </c>
      <c r="CJ13">
        <f t="array" ref="CJ13">INDEX(Transcriptome!BG$2:BG$28,MATCH(1,(Transcriptome!$A$2:$A$28=$B13)*(Transcriptome!$C$2:$C$28=$E13),0))</f>
        <v>2.3611743621600545</v>
      </c>
      <c r="CK13">
        <f t="array" ref="CK13">INDEX(Transcriptome!BH$2:BH$28,MATCH(1,(Transcriptome!$A$2:$A$28=$B13)*(Transcriptome!$C$2:$C$28=$E13),0))</f>
        <v>0.66157773370407957</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2.2177081080211609</v>
      </c>
      <c r="CO13">
        <f t="array" ref="CO13">INDEX(Transcriptome!BL$2:BL$28,MATCH(1,(Transcriptome!$A$2:$A$28=$B13)*(Transcriptome!$C$2:$C$28=$E13),0))</f>
        <v>1.8689744295700941</v>
      </c>
      <c r="CP13">
        <f t="array" ref="CP13">INDEX(Transcriptome!BM$2:BM$28,MATCH(1,(Transcriptome!$A$2:$A$28=$B13)*(Transcriptome!$C$2:$C$28=$E13),0))</f>
        <v>0.71999310841955522</v>
      </c>
      <c r="CQ13">
        <f t="array" ref="CQ13">INDEX(Transcriptome!BN$2:BN$28,MATCH(1,(Transcriptome!$A$2:$A$28=$B13)*(Transcriptome!$C$2:$C$28=$E13),0))</f>
        <v>31.051492934824005</v>
      </c>
      <c r="CR13">
        <f t="array" ref="CR13">INDEX(Transcriptome!BO$2:BO$28,MATCH(1,(Transcriptome!$A$2:$A$28=$B13)*(Transcriptome!$C$2:$C$28=$E13),0))</f>
        <v>1.7199426312342987</v>
      </c>
      <c r="CS13">
        <f t="array" ref="CS13">INDEX(Transcriptome!BP$2:BP$28,MATCH(1,(Transcriptome!$A$2:$A$28=$B13)*(Transcriptome!$C$2:$C$28=$E13),0))</f>
        <v>0.66157773370407957</v>
      </c>
      <c r="CT13">
        <f t="array" ref="CT13">INDEX(Transcriptome!BQ$2:BQ$28,MATCH(1,(Transcriptome!$A$2:$A$28=$B13)*(Transcriptome!$C$2:$C$28=$E13),0))</f>
        <v>1</v>
      </c>
      <c r="CU13">
        <f t="array" ref="CU13">INDEX(Transcriptome!BR$2:BR$28,MATCH(1,(Transcriptome!$A$2:$A$28=$B13)*(Transcriptome!$C$2:$C$28=$E13),0))</f>
        <v>1.3004604300657727</v>
      </c>
    </row>
    <row r="14" spans="1:99">
      <c r="A14">
        <f>'Measured Data'!A19</f>
        <v>12</v>
      </c>
      <c r="B14" t="s">
        <v>582</v>
      </c>
      <c r="C14" s="324" t="s">
        <v>586</v>
      </c>
      <c r="D14">
        <v>1</v>
      </c>
      <c r="E14" t="s">
        <v>512</v>
      </c>
      <c r="F14" s="477">
        <f>'Growth Regression'!R14</f>
        <v>12.368055555558385</v>
      </c>
      <c r="G14" s="477">
        <f>'Growth Regression'!S14</f>
        <v>296.83333333340124</v>
      </c>
      <c r="H14">
        <f>AVERAGE('TL input - regression'!L14:L15)</f>
        <v>9.5750349696929327</v>
      </c>
      <c r="I14">
        <f>AVERAGE('TL input - regression'!M14:M15)</f>
        <v>2.9418294849023092</v>
      </c>
      <c r="J14">
        <f>AVERAGE('TL input - regression'!N14:N15)</f>
        <v>2.3544999999999998</v>
      </c>
      <c r="K14">
        <f>AVERAGE('TL input - regression'!O14:O15)</f>
        <v>7.5499999999999998E-2</v>
      </c>
      <c r="L14">
        <f>AVERAGE('TL input - regression'!P14:P15)</f>
        <v>2.3899999999999997</v>
      </c>
      <c r="M14">
        <f>'Growth Regression'!P14</f>
        <v>8.7392201529787349E-4</v>
      </c>
      <c r="N14">
        <f>M14/'Growth Regression'!$O$24</f>
        <v>3.2924495840438203E-2</v>
      </c>
      <c r="O14">
        <f>'Post Process Calc.'!C32</f>
        <v>4.6744666543993868E-2</v>
      </c>
      <c r="P14">
        <f>'Post Process Calc.'!D32</f>
        <v>-4.6880977643818836E-4</v>
      </c>
      <c r="Q14">
        <f>'Post Process Calc.'!E32</f>
        <v>4.9341781718456254E-3</v>
      </c>
      <c r="R14">
        <f>'Post Process Calc.'!F32</f>
        <v>-8.4931508461067926E-4</v>
      </c>
      <c r="S14">
        <f>'Post Process Calc.'!G32</f>
        <v>5.5922984321057673E-4</v>
      </c>
      <c r="T14">
        <f t="shared" ref="T14" si="5">P14/O14</f>
        <v>-1.0029160781304681E-2</v>
      </c>
      <c r="U14">
        <f t="shared" ref="U14" si="6">O14/0.0016</f>
        <v>29.215416589996167</v>
      </c>
      <c r="V14">
        <f t="shared" ref="V14" si="7">P14/0.0016</f>
        <v>-0.29300611027386769</v>
      </c>
      <c r="W14">
        <f t="shared" ref="W14" si="8">Q14/0.0016</f>
        <v>3.0838613574035159</v>
      </c>
      <c r="X14">
        <f t="shared" ref="X14" si="9">R14/0.0016</f>
        <v>-0.53082192788167448</v>
      </c>
      <c r="Y14">
        <f t="shared" ref="Y14" si="10">S14/0.0016</f>
        <v>0.34951865200661042</v>
      </c>
      <c r="Z14">
        <v>100</v>
      </c>
      <c r="AA14">
        <v>0.32</v>
      </c>
      <c r="AB14">
        <v>7</v>
      </c>
      <c r="AC14">
        <v>0.7</v>
      </c>
      <c r="AD14">
        <f t="shared" si="1"/>
        <v>5.0118723362727164E-8</v>
      </c>
      <c r="AE14">
        <v>1</v>
      </c>
      <c r="AF14">
        <v>0.311</v>
      </c>
      <c r="AG14">
        <f t="array" ref="AG14">INDEX(Transcriptome!D$2:D$28,MATCH(1,(Transcriptome!$A$2:$A$28=$B14)*(Transcriptome!$C$2:$C$28=$E14),0))</f>
        <v>0.79911115968947066</v>
      </c>
      <c r="AH14">
        <f t="array" ref="AH14">INDEX(Transcriptome!E$2:E$28,MATCH(1,(Transcriptome!$A$2:$A$28=$B14)*(Transcriptome!$C$2:$C$28=$E14),0))</f>
        <v>1.395845883804042</v>
      </c>
      <c r="AI14">
        <f t="array" ref="AI14">INDEX(Transcriptome!F$2:F$28,MATCH(1,(Transcriptome!$A$2:$A$28=$B14)*(Transcriptome!$C$2:$C$28=$E14),0))</f>
        <v>1.2386820755987473</v>
      </c>
      <c r="AJ14">
        <f t="array" ref="AJ14">INDEX(Transcriptome!G$2:G$28,MATCH(1,(Transcriptome!$A$2:$A$28=$B14)*(Transcriptome!$C$2:$C$28=$E14),0))</f>
        <v>0.41313915958702108</v>
      </c>
      <c r="AK14">
        <f t="array" ref="AK14">INDEX(Transcriptome!H$2:H$28,MATCH(1,(Transcriptome!$A$2:$A$28=$B14)*(Transcriptome!$C$2:$C$28=$E14),0))</f>
        <v>0</v>
      </c>
      <c r="AL14">
        <f t="array" ref="AL14">INDEX(Transcriptome!I$2:I$28,MATCH(1,(Transcriptome!$A$2:$A$28=$B14)*(Transcriptome!$C$2:$C$28=$E14),0))</f>
        <v>1.6373902208828588</v>
      </c>
      <c r="AM14">
        <f t="array" ref="AM14">INDEX(Transcriptome!J$2:J$28,MATCH(1,(Transcriptome!$A$2:$A$28=$B14)*(Transcriptome!$C$2:$C$28=$E14),0))</f>
        <v>1.0934992172910949</v>
      </c>
      <c r="AN14">
        <f t="array" ref="AN14">INDEX(Transcriptome!K$2:K$28,MATCH(1,(Transcriptome!$A$2:$A$28=$B14)*(Transcriptome!$C$2:$C$28=$E14),0))</f>
        <v>1.4036482118242957</v>
      </c>
      <c r="AO14">
        <f t="array" ref="AO14">INDEX(Transcriptome!L$2:L$28,MATCH(1,(Transcriptome!$A$2:$A$28=$B14)*(Transcriptome!$C$2:$C$28=$E14),0))</f>
        <v>0.94961435084723056</v>
      </c>
      <c r="AP14">
        <f t="array" ref="AP14">INDEX(Transcriptome!M$2:M$28,MATCH(1,(Transcriptome!$A$2:$A$28=$B14)*(Transcriptome!$C$2:$C$28=$E14),0))</f>
        <v>1.0343862396420227</v>
      </c>
      <c r="AQ14">
        <f t="array" ref="AQ14">INDEX(Transcriptome!N$2:N$28,MATCH(1,(Transcriptome!$A$2:$A$28=$B14)*(Transcriptome!$C$2:$C$28=$E14),0))</f>
        <v>1.1417637658643289</v>
      </c>
      <c r="AR14">
        <f t="array" ref="AR14">INDEX(Transcriptome!O$2:O$28,MATCH(1,(Transcriptome!$A$2:$A$28=$B14)*(Transcriptome!$C$2:$C$28=$E14),0))</f>
        <v>1.3965472309808804</v>
      </c>
      <c r="AS14">
        <f t="array" ref="AS14">INDEX(Transcriptome!P$2:P$28,MATCH(1,(Transcriptome!$A$2:$A$28=$B14)*(Transcriptome!$C$2:$C$28=$E14),0))</f>
        <v>1.3919262992893948</v>
      </c>
      <c r="AT14">
        <f t="array" ref="AT14">INDEX(Transcriptome!Q$2:Q$28,MATCH(1,(Transcriptome!$A$2:$A$28=$B14)*(Transcriptome!$C$2:$C$28=$E14),0))</f>
        <v>0.73359669576377562</v>
      </c>
      <c r="AU14">
        <f t="array" ref="AU14">INDEX(Transcriptome!R$2:R$28,MATCH(1,(Transcriptome!$A$2:$A$28=$B14)*(Transcriptome!$C$2:$C$28=$E14),0))</f>
        <v>0.59836270430598559</v>
      </c>
      <c r="AV14">
        <f t="array" ref="AV14">INDEX(Transcriptome!S$2:S$28,MATCH(1,(Transcriptome!$A$2:$A$28=$B14)*(Transcriptome!$C$2:$C$28=$E14),0))</f>
        <v>0.44894986261624537</v>
      </c>
      <c r="AW14">
        <f t="array" ref="AW14">INDEX(Transcriptome!T$2:T$28,MATCH(1,(Transcriptome!$A$2:$A$28=$B14)*(Transcriptome!$C$2:$C$28=$E14),0))</f>
        <v>1.1873267962928766</v>
      </c>
      <c r="AX14">
        <f t="array" ref="AX14">INDEX(Transcriptome!U$2:U$28,MATCH(1,(Transcriptome!$A$2:$A$28=$B14)*(Transcriptome!$C$2:$C$28=$E14),0))</f>
        <v>2.9346206754839992</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1.1338718139260324</v>
      </c>
      <c r="BB14">
        <f t="array" ref="BB14">INDEX(Transcriptome!Y$2:Y$28,MATCH(1,(Transcriptome!$A$2:$A$28=$B14)*(Transcriptome!$C$2:$C$28=$E14),0))</f>
        <v>0</v>
      </c>
      <c r="BC14">
        <f t="array" ref="BC14">INDEX(Transcriptome!Z$2:Z$28,MATCH(1,(Transcriptome!$A$2:$A$28=$B14)*(Transcriptome!$C$2:$C$28=$E14),0))</f>
        <v>1.5384366899444268</v>
      </c>
      <c r="BD14">
        <f t="array" ref="BD14">INDEX(Transcriptome!AA$2:AA$28,MATCH(1,(Transcriptome!$A$2:$A$28=$B14)*(Transcriptome!$C$2:$C$28=$E14),0))</f>
        <v>1.0764313688936573</v>
      </c>
      <c r="BE14">
        <f t="array" ref="BE14">INDEX(Transcriptome!AB$2:AB$28,MATCH(1,(Transcriptome!$A$2:$A$28=$B14)*(Transcriptome!$C$2:$C$28=$E14),0))</f>
        <v>0.47159130437877711</v>
      </c>
      <c r="BF14">
        <f t="array" ref="BF14">INDEX(Transcriptome!AC$2:AC$28,MATCH(1,(Transcriptome!$A$2:$A$28=$B14)*(Transcriptome!$C$2:$C$28=$E14),0))</f>
        <v>1.0571838358251406</v>
      </c>
      <c r="BG14">
        <f t="array" ref="BG14">INDEX(Transcriptome!AD$2:AD$28,MATCH(1,(Transcriptome!$A$2:$A$28=$B14)*(Transcriptome!$C$2:$C$28=$E14),0))</f>
        <v>1.2979820354545486</v>
      </c>
      <c r="BH14">
        <f t="array" ref="BH14">INDEX(Transcriptome!AE$2:AE$28,MATCH(1,(Transcriptome!$A$2:$A$28=$B14)*(Transcriptome!$C$2:$C$28=$E14),0))</f>
        <v>1.502511326716075</v>
      </c>
      <c r="BI14">
        <f t="array" ref="BI14">INDEX(Transcriptome!AF$2:AF$28,MATCH(1,(Transcriptome!$A$2:$A$28=$B14)*(Transcriptome!$C$2:$C$28=$E14),0))</f>
        <v>0.92275337933209434</v>
      </c>
      <c r="BJ14">
        <f t="array" ref="BJ14">INDEX(Transcriptome!AG$2:AG$28,MATCH(1,(Transcriptome!$A$2:$A$28=$B14)*(Transcriptome!$C$2:$C$28=$E14),0))</f>
        <v>0.57492789139254974</v>
      </c>
      <c r="BK14">
        <f t="array" ref="BK14">INDEX(Transcriptome!AH$2:AH$28,MATCH(1,(Transcriptome!$A$2:$A$28=$B14)*(Transcriptome!$C$2:$C$28=$E14),0))</f>
        <v>2.1154284091716771</v>
      </c>
      <c r="BL14">
        <f t="array" ref="BL14">INDEX(Transcriptome!AI$2:AI$28,MATCH(1,(Transcriptome!$A$2:$A$28=$B14)*(Transcriptome!$C$2:$C$28=$E14),0))</f>
        <v>0.85597038518299884</v>
      </c>
      <c r="BM14">
        <f t="array" ref="BM14">INDEX(Transcriptome!AJ$2:AJ$28,MATCH(1,(Transcriptome!$A$2:$A$28=$B14)*(Transcriptome!$C$2:$C$28=$E14),0))</f>
        <v>0.9270169484475107</v>
      </c>
      <c r="BN14">
        <f t="array" ref="BN14">INDEX(Transcriptome!AK$2:AK$28,MATCH(1,(Transcriptome!$A$2:$A$28=$B14)*(Transcriptome!$C$2:$C$28=$E14),0))</f>
        <v>0.91392647570710206</v>
      </c>
      <c r="BO14">
        <f t="array" ref="BO14">INDEX(Transcriptome!AL$2:AL$28,MATCH(1,(Transcriptome!$A$2:$A$28=$B14)*(Transcriptome!$C$2:$C$28=$E14),0))</f>
        <v>1</v>
      </c>
      <c r="BP14">
        <f t="array" ref="BP14">INDEX(Transcriptome!AM$2:AM$28,MATCH(1,(Transcriptome!$A$2:$A$28=$B14)*(Transcriptome!$C$2:$C$28=$E14),0))</f>
        <v>0.87506702113635604</v>
      </c>
      <c r="BQ14">
        <f t="array" ref="BQ14">INDEX(Transcriptome!AN$2:AN$28,MATCH(1,(Transcriptome!$A$2:$A$28=$B14)*(Transcriptome!$C$2:$C$28=$E14),0))</f>
        <v>1.0812931656942111</v>
      </c>
      <c r="BR14">
        <f t="array" ref="BR14">INDEX(Transcriptome!AO$2:AO$28,MATCH(1,(Transcriptome!$A$2:$A$28=$B14)*(Transcriptome!$C$2:$C$28=$E14),0))</f>
        <v>1.2412757853546588</v>
      </c>
      <c r="BS14">
        <f t="array" ref="BS14">INDEX(Transcriptome!AP$2:AP$28,MATCH(1,(Transcriptome!$A$2:$A$28=$B14)*(Transcriptome!$C$2:$C$28=$E14),0))</f>
        <v>1.1463769840236129</v>
      </c>
      <c r="BT14">
        <f t="array" ref="BT14">INDEX(Transcriptome!AQ$2:AQ$28,MATCH(1,(Transcriptome!$A$2:$A$28=$B14)*(Transcriptome!$C$2:$C$28=$E14),0))</f>
        <v>1.5376111207797365</v>
      </c>
      <c r="BU14">
        <f t="array" ref="BU14">INDEX(Transcriptome!AR$2:AR$28,MATCH(1,(Transcriptome!$A$2:$A$28=$B14)*(Transcriptome!$C$2:$C$28=$E14),0))</f>
        <v>0.78312832126036092</v>
      </c>
      <c r="BV14">
        <f t="array" ref="BV14">INDEX(Transcriptome!AS$2:AS$28,MATCH(1,(Transcriptome!$A$2:$A$28=$B14)*(Transcriptome!$C$2:$C$28=$E14),0))</f>
        <v>1.0554455360573771</v>
      </c>
      <c r="BW14">
        <f t="array" ref="BW14">INDEX(Transcriptome!AT$2:AT$28,MATCH(1,(Transcriptome!$A$2:$A$28=$B14)*(Transcriptome!$C$2:$C$28=$E14),0))</f>
        <v>0.8368102605762836</v>
      </c>
      <c r="BX14">
        <f t="array" ref="BX14">INDEX(Transcriptome!AU$2:AU$28,MATCH(1,(Transcriptome!$A$2:$A$28=$B14)*(Transcriptome!$C$2:$C$28=$E14),0))</f>
        <v>1.7524949277791828</v>
      </c>
      <c r="BY14">
        <f t="array" ref="BY14">INDEX(Transcriptome!AV$2:AV$28,MATCH(1,(Transcriptome!$A$2:$A$28=$B14)*(Transcriptome!$C$2:$C$28=$E14),0))</f>
        <v>0.67651836917863639</v>
      </c>
      <c r="BZ14">
        <f t="array" ref="BZ14">INDEX(Transcriptome!AW$2:AW$28,MATCH(1,(Transcriptome!$A$2:$A$28=$B14)*(Transcriptome!$C$2:$C$28=$E14),0))</f>
        <v>0.79957736892979914</v>
      </c>
      <c r="CA14">
        <f t="array" ref="CA14">INDEX(Transcriptome!AX$2:AX$28,MATCH(1,(Transcriptome!$A$2:$A$28=$B14)*(Transcriptome!$C$2:$C$28=$E14),0))</f>
        <v>0.84066476768291531</v>
      </c>
      <c r="CB14">
        <f t="array" ref="CB14">INDEX(Transcriptome!AY$2:AY$28,MATCH(1,(Transcriptome!$A$2:$A$28=$B14)*(Transcriptome!$C$2:$C$28=$E14),0))</f>
        <v>0.99862338389680116</v>
      </c>
      <c r="CC14">
        <f t="array" ref="CC14">INDEX(Transcriptome!AZ$2:AZ$28,MATCH(1,(Transcriptome!$A$2:$A$28=$B14)*(Transcriptome!$C$2:$C$28=$E14),0))</f>
        <v>0.95974063131380538</v>
      </c>
      <c r="CD14">
        <f t="array" ref="CD14">INDEX(Transcriptome!BA$2:BA$28,MATCH(1,(Transcriptome!$A$2:$A$28=$B14)*(Transcriptome!$C$2:$C$28=$E14),0))</f>
        <v>1.9813944974991031</v>
      </c>
      <c r="CE14">
        <f t="array" ref="CE14">INDEX(Transcriptome!BB$2:BB$28,MATCH(1,(Transcriptome!$A$2:$A$28=$B14)*(Transcriptome!$C$2:$C$28=$E14),0))</f>
        <v>2.1376571317272437</v>
      </c>
      <c r="CF14">
        <f t="array" ref="CF14">INDEX(Transcriptome!BC$2:BC$28,MATCH(1,(Transcriptome!$A$2:$A$28=$B14)*(Transcriptome!$C$2:$C$28=$E14),0))</f>
        <v>0</v>
      </c>
      <c r="CG14">
        <f t="array" ref="CG14">INDEX(Transcriptome!BD$2:BD$28,MATCH(1,(Transcriptome!$A$2:$A$28=$B14)*(Transcriptome!$C$2:$C$28=$E14),0))</f>
        <v>1.5663129663080484</v>
      </c>
      <c r="CH14">
        <f t="array" ref="CH14">INDEX(Transcriptome!BE$2:BE$28,MATCH(1,(Transcriptome!$A$2:$A$28=$B14)*(Transcriptome!$C$2:$C$28=$E14),0))</f>
        <v>1.4453935097704496</v>
      </c>
      <c r="CI14">
        <f t="array" ref="CI14">INDEX(Transcriptome!BF$2:BF$28,MATCH(1,(Transcriptome!$A$2:$A$28=$B14)*(Transcriptome!$C$2:$C$28=$E14),0))</f>
        <v>1.6277485452435247</v>
      </c>
      <c r="CJ14">
        <f t="array" ref="CJ14">INDEX(Transcriptome!BG$2:BG$28,MATCH(1,(Transcriptome!$A$2:$A$28=$B14)*(Transcriptome!$C$2:$C$28=$E14),0))</f>
        <v>2.3611743621600545</v>
      </c>
      <c r="CK14">
        <f t="array" ref="CK14">INDEX(Transcriptome!BH$2:BH$28,MATCH(1,(Transcriptome!$A$2:$A$28=$B14)*(Transcriptome!$C$2:$C$28=$E14),0))</f>
        <v>0.66157773370407957</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2.2177081080211609</v>
      </c>
      <c r="CO14">
        <f t="array" ref="CO14">INDEX(Transcriptome!BL$2:BL$28,MATCH(1,(Transcriptome!$A$2:$A$28=$B14)*(Transcriptome!$C$2:$C$28=$E14),0))</f>
        <v>1.8689744295700941</v>
      </c>
      <c r="CP14">
        <f t="array" ref="CP14">INDEX(Transcriptome!BM$2:BM$28,MATCH(1,(Transcriptome!$A$2:$A$28=$B14)*(Transcriptome!$C$2:$C$28=$E14),0))</f>
        <v>0.71999310841955522</v>
      </c>
      <c r="CQ14">
        <f t="array" ref="CQ14">INDEX(Transcriptome!BN$2:BN$28,MATCH(1,(Transcriptome!$A$2:$A$28=$B14)*(Transcriptome!$C$2:$C$28=$E14),0))</f>
        <v>31.051492934824005</v>
      </c>
      <c r="CR14">
        <f t="array" ref="CR14">INDEX(Transcriptome!BO$2:BO$28,MATCH(1,(Transcriptome!$A$2:$A$28=$B14)*(Transcriptome!$C$2:$C$28=$E14),0))</f>
        <v>1.7199426312342987</v>
      </c>
      <c r="CS14">
        <f t="array" ref="CS14">INDEX(Transcriptome!BP$2:BP$28,MATCH(1,(Transcriptome!$A$2:$A$28=$B14)*(Transcriptome!$C$2:$C$28=$E14),0))</f>
        <v>0.66157773370407957</v>
      </c>
      <c r="CT14">
        <f t="array" ref="CT14">INDEX(Transcriptome!BQ$2:BQ$28,MATCH(1,(Transcriptome!$A$2:$A$28=$B14)*(Transcriptome!$C$2:$C$28=$E14),0))</f>
        <v>1</v>
      </c>
      <c r="CU14">
        <f t="array" ref="CU14">INDEX(Transcriptome!BR$2:BR$28,MATCH(1,(Transcriptome!$A$2:$A$28=$B14)*(Transcriptome!$C$2:$C$28=$E14),0))</f>
        <v>1.3004604300657727</v>
      </c>
    </row>
    <row r="15" spans="1:99">
      <c r="A15">
        <f>'Measured Data'!A20</f>
        <v>13</v>
      </c>
      <c r="B15" t="s">
        <v>582</v>
      </c>
      <c r="C15" s="324" t="s">
        <v>586</v>
      </c>
      <c r="D15">
        <v>1</v>
      </c>
      <c r="E15" t="s">
        <v>712</v>
      </c>
      <c r="F15" s="477">
        <f>'Growth Regression'!R15</f>
        <v>13.371875000000728</v>
      </c>
      <c r="G15" s="477">
        <f>'Growth Regression'!S15</f>
        <v>320.92500000001746</v>
      </c>
      <c r="H15">
        <f>AVERAGE('TL input - regression'!L15:L16)</f>
        <v>11.850840382779367</v>
      </c>
      <c r="I15">
        <f>AVERAGE('TL input - regression'!M15:M16)</f>
        <v>3.5523978685612789</v>
      </c>
      <c r="J15">
        <f>AVERAGE('TL input - regression'!N15:N16)</f>
        <v>2.1630000000000003</v>
      </c>
      <c r="K15">
        <f>AVERAGE('TL input - regression'!O15:O16)</f>
        <v>7.3499999999999996E-2</v>
      </c>
      <c r="L15">
        <f>AVERAGE('TL input - regression'!P15:P16)</f>
        <v>2.3570000000000002</v>
      </c>
      <c r="M15">
        <f>'Growth Regression'!P15</f>
        <v>4.7150661224136737E-4</v>
      </c>
      <c r="N15">
        <f>M15/'Growth Regression'!$O$24</f>
        <v>1.7763733172677498E-2</v>
      </c>
      <c r="O15">
        <f>'Post Process Calc.'!C33</f>
        <v>5.2335567084138945E-2</v>
      </c>
      <c r="P15">
        <f>'Post Process Calc.'!D33</f>
        <v>9.8429248909746633E-3</v>
      </c>
      <c r="Q15">
        <f>'Post Process Calc.'!E33</f>
        <v>-1.3789976439136284E-3</v>
      </c>
      <c r="R15">
        <f>'Post Process Calc.'!F33</f>
        <v>-5.0098020991669661E-3</v>
      </c>
      <c r="S15">
        <f>'Post Process Calc.'!G33</f>
        <v>1.3931788620839654E-4</v>
      </c>
      <c r="T15">
        <f t="shared" ref="T15" si="11">P15/O15</f>
        <v>0.18807333978344729</v>
      </c>
      <c r="U15">
        <f t="shared" ref="U15" si="12">O15/0.0016</f>
        <v>32.709729427586836</v>
      </c>
      <c r="V15">
        <f t="shared" ref="V15" si="13">P15/0.0016</f>
        <v>6.1518280568591646</v>
      </c>
      <c r="W15">
        <f t="shared" ref="W15" si="14">Q15/0.0016</f>
        <v>-0.86187352744601775</v>
      </c>
      <c r="X15">
        <f t="shared" ref="X15" si="15">R15/0.0016</f>
        <v>-3.1311263119793535</v>
      </c>
      <c r="Y15">
        <f t="shared" ref="Y15" si="16">S15/0.0016</f>
        <v>8.7073678880247835E-2</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323</v>
      </c>
    </row>
    <row r="3" spans="1:2" ht="17" thickBot="1">
      <c r="A3" s="124"/>
      <c r="B3" s="129" t="s">
        <v>383</v>
      </c>
    </row>
    <row r="4" spans="1:2" ht="16">
      <c r="A4" s="155" t="s">
        <v>296</v>
      </c>
      <c r="B4" s="130">
        <v>4</v>
      </c>
    </row>
    <row r="5" spans="1:2" ht="16">
      <c r="A5" s="156" t="s">
        <v>297</v>
      </c>
      <c r="B5" s="131">
        <v>4</v>
      </c>
    </row>
    <row r="6" spans="1:2" ht="17" thickBot="1">
      <c r="A6" s="157" t="s">
        <v>298</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19" zoomScale="160" zoomScaleNormal="160" workbookViewId="0">
      <selection activeCell="B37" sqref="B37"/>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323</v>
      </c>
      <c r="C1" s="46"/>
    </row>
    <row r="2" spans="1:3" ht="17" thickBot="1">
      <c r="A2" s="124" t="s">
        <v>295</v>
      </c>
      <c r="B2" s="129" t="s">
        <v>383</v>
      </c>
      <c r="C2" s="46"/>
    </row>
    <row r="3" spans="1:3">
      <c r="A3" s="125" t="s">
        <v>300</v>
      </c>
      <c r="B3" s="133">
        <v>3</v>
      </c>
    </row>
    <row r="4" spans="1:3">
      <c r="A4" s="126" t="s">
        <v>301</v>
      </c>
      <c r="B4" s="134">
        <v>3</v>
      </c>
    </row>
    <row r="5" spans="1:3">
      <c r="A5" s="126" t="s">
        <v>302</v>
      </c>
      <c r="B5" s="134">
        <v>3</v>
      </c>
    </row>
    <row r="6" spans="1:3">
      <c r="A6" s="126" t="s">
        <v>303</v>
      </c>
      <c r="B6" s="134">
        <v>3</v>
      </c>
    </row>
    <row r="7" spans="1:3">
      <c r="A7" s="126" t="s">
        <v>304</v>
      </c>
      <c r="B7" s="134">
        <v>4</v>
      </c>
    </row>
    <row r="8" spans="1:3">
      <c r="A8" s="126" t="s">
        <v>305</v>
      </c>
      <c r="B8" s="134">
        <v>4</v>
      </c>
    </row>
    <row r="9" spans="1:3">
      <c r="A9" s="126" t="s">
        <v>306</v>
      </c>
      <c r="B9" s="134">
        <v>3</v>
      </c>
    </row>
    <row r="10" spans="1:3">
      <c r="A10" s="126" t="s">
        <v>355</v>
      </c>
      <c r="B10" s="134">
        <v>3</v>
      </c>
    </row>
    <row r="11" spans="1:3">
      <c r="A11" s="126" t="s">
        <v>330</v>
      </c>
      <c r="B11" s="134">
        <v>3</v>
      </c>
    </row>
    <row r="12" spans="1:3">
      <c r="A12" s="126" t="s">
        <v>307</v>
      </c>
      <c r="B12" s="134">
        <v>3</v>
      </c>
    </row>
    <row r="13" spans="1:3">
      <c r="A13" s="126" t="s">
        <v>308</v>
      </c>
      <c r="B13" s="134">
        <v>6</v>
      </c>
    </row>
    <row r="14" spans="1:3">
      <c r="A14" s="126" t="s">
        <v>708</v>
      </c>
      <c r="B14" s="134">
        <v>3</v>
      </c>
    </row>
    <row r="15" spans="1:3">
      <c r="A15" s="126" t="s">
        <v>309</v>
      </c>
      <c r="B15" s="134">
        <v>3</v>
      </c>
    </row>
    <row r="16" spans="1:3">
      <c r="A16" s="126" t="s">
        <v>310</v>
      </c>
      <c r="B16" s="134">
        <v>3</v>
      </c>
    </row>
    <row r="17" spans="1:29">
      <c r="A17" s="126" t="s">
        <v>311</v>
      </c>
      <c r="B17" s="134">
        <v>3</v>
      </c>
    </row>
    <row r="18" spans="1:29">
      <c r="A18" s="126" t="s">
        <v>335</v>
      </c>
      <c r="B18" s="134">
        <v>5</v>
      </c>
    </row>
    <row r="19" spans="1:29">
      <c r="A19" s="126" t="s">
        <v>312</v>
      </c>
      <c r="B19" s="134">
        <v>3</v>
      </c>
    </row>
    <row r="20" spans="1:29">
      <c r="A20" s="126" t="s">
        <v>313</v>
      </c>
      <c r="B20" s="134">
        <v>3</v>
      </c>
    </row>
    <row r="21" spans="1:29">
      <c r="A21" s="126" t="s">
        <v>314</v>
      </c>
      <c r="B21" s="134">
        <v>3</v>
      </c>
    </row>
    <row r="22" spans="1:29">
      <c r="A22" s="126" t="s">
        <v>315</v>
      </c>
      <c r="B22" s="134">
        <v>3</v>
      </c>
    </row>
    <row r="23" spans="1:29">
      <c r="A23" s="126" t="s">
        <v>316</v>
      </c>
      <c r="B23" s="134">
        <v>3</v>
      </c>
    </row>
    <row r="24" spans="1:29">
      <c r="A24" s="126" t="s">
        <v>317</v>
      </c>
      <c r="B24" s="134">
        <v>3</v>
      </c>
    </row>
    <row r="25" spans="1:29">
      <c r="A25" s="126" t="s">
        <v>336</v>
      </c>
      <c r="B25" s="134">
        <v>3</v>
      </c>
    </row>
    <row r="26" spans="1:29">
      <c r="A26" s="126" t="s">
        <v>318</v>
      </c>
      <c r="B26" s="134">
        <v>3</v>
      </c>
    </row>
    <row r="27" spans="1:29">
      <c r="A27" s="126" t="s">
        <v>356</v>
      </c>
      <c r="B27" s="134">
        <v>3</v>
      </c>
    </row>
    <row r="28" spans="1:29">
      <c r="A28" s="126" t="s">
        <v>319</v>
      </c>
      <c r="B28" s="134">
        <v>3</v>
      </c>
    </row>
    <row r="29" spans="1:29">
      <c r="A29" s="126" t="s">
        <v>320</v>
      </c>
      <c r="B29" s="134">
        <v>3</v>
      </c>
    </row>
    <row r="30" spans="1:29">
      <c r="A30" s="126" t="s">
        <v>357</v>
      </c>
      <c r="B30" s="134">
        <v>3</v>
      </c>
      <c r="AC30" s="47">
        <v>5</v>
      </c>
    </row>
    <row r="31" spans="1:29">
      <c r="A31" s="126" t="s">
        <v>321</v>
      </c>
      <c r="B31" s="134">
        <v>3</v>
      </c>
    </row>
    <row r="32" spans="1:29" ht="17" thickBot="1">
      <c r="A32" s="127" t="s">
        <v>322</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7" t="s">
        <v>421</v>
      </c>
      <c r="D2" s="557"/>
      <c r="E2" s="561" t="s">
        <v>413</v>
      </c>
      <c r="F2" s="561"/>
      <c r="G2" s="561"/>
      <c r="H2" s="561"/>
      <c r="I2" s="160"/>
      <c r="J2" s="559" t="s">
        <v>418</v>
      </c>
      <c r="K2" s="563" t="s">
        <v>424</v>
      </c>
      <c r="L2" s="561"/>
      <c r="M2" s="561"/>
      <c r="N2" s="561"/>
      <c r="O2" s="561" t="s">
        <v>425</v>
      </c>
      <c r="P2" s="561"/>
      <c r="Q2" s="561"/>
      <c r="R2" s="564"/>
    </row>
    <row r="3" spans="1:18" ht="14" thickBot="1">
      <c r="A3" s="161"/>
      <c r="B3" s="162"/>
      <c r="C3" s="569" t="s">
        <v>271</v>
      </c>
      <c r="D3" s="569"/>
      <c r="E3" s="163"/>
      <c r="F3" s="163" t="s">
        <v>325</v>
      </c>
      <c r="G3" s="163"/>
      <c r="H3" s="163" t="s">
        <v>433</v>
      </c>
      <c r="I3" s="164"/>
      <c r="J3" s="560"/>
      <c r="K3" s="165"/>
      <c r="L3" s="166" t="s">
        <v>325</v>
      </c>
      <c r="M3" s="166"/>
      <c r="N3" s="166" t="s">
        <v>288</v>
      </c>
      <c r="O3" s="166"/>
      <c r="P3" s="166" t="s">
        <v>325</v>
      </c>
      <c r="Q3" s="166"/>
      <c r="R3" s="167" t="s">
        <v>288</v>
      </c>
    </row>
    <row r="4" spans="1:18">
      <c r="A4" s="168" t="s">
        <v>272</v>
      </c>
      <c r="B4" s="169"/>
      <c r="C4" s="170"/>
      <c r="D4" s="171">
        <v>0.45050000000000001</v>
      </c>
      <c r="E4" s="172"/>
      <c r="F4" s="173">
        <f>SLOPE('In Process Calc.'!$U$3:$U$193,'In Process Calc.'!$T$3:$T$193)</f>
        <v>-4.4986896020797702E-2</v>
      </c>
      <c r="G4" s="173"/>
      <c r="H4" s="174">
        <f>RSQ('In Process Calc.'!$U$3:$U$193,'In Process Calc.'!$T$3:$T$193)</f>
        <v>0.27519780594312837</v>
      </c>
      <c r="I4" s="174"/>
      <c r="J4" s="203" t="s">
        <v>420</v>
      </c>
      <c r="K4" s="175" t="s">
        <v>272</v>
      </c>
      <c r="L4" s="174" cm="1">
        <f t="array" ref="L4">IF($J4="Yes", SLOPE(IF('In Process Calc.'!$A$3:$A$193&lt;=NS, 'In Process Calc.'!$U$3:$U$193),IF('In Process Calc.'!$A$3:$A$193&lt;=NS,'In Process Calc.'!$T$3:$T$193)), $F4)</f>
        <v>-0.14980321131776358</v>
      </c>
      <c r="M4" s="173"/>
      <c r="N4" s="174" cm="1">
        <f t="array" ref="N4">IF($J4="Yes", RSQ(IF('In Process Calc.'!$A$3:$A$193&lt;=NS, 'In Process Calc.'!$U$3:$U$193),IF('In Process Calc.'!$A$3:$A$193&lt;=NS,'In Process Calc.'!$T$3:$T$193)), $H4)</f>
        <v>0.95077141252495179</v>
      </c>
      <c r="O4" s="173"/>
      <c r="P4" s="174" cm="1">
        <f t="array" ref="P4">IF($J4="Yes", SLOPE(IF('In Process Calc.'!$A$3:$A$193&gt;NS, 'In Process Calc.'!$U$3:$U$193),IF('In Process Calc.'!$A$3:$A$193&gt;NS,'In Process Calc.'!$T$3:$T$193)), $F4)</f>
        <v>2.2199111281463551E-2</v>
      </c>
      <c r="Q4" s="173"/>
      <c r="R4" s="176" cm="1">
        <f t="array" ref="R4">IF($J4="Yes", RSQ(IF('In Process Calc.'!$A$3:$A$193&gt;NS, 'In Process Calc.'!$U$3:$U$193),IF('In Process Calc.'!$A$3:$A$193&gt;NS,'In Process Calc.'!$T$3:$T$193)), $H4)</f>
        <v>0.98182815180403216</v>
      </c>
    </row>
    <row r="5" spans="1:18" ht="14" thickBot="1">
      <c r="A5" s="161" t="s">
        <v>415</v>
      </c>
      <c r="B5" s="162"/>
      <c r="C5" s="172"/>
      <c r="D5" s="173"/>
      <c r="E5" s="172"/>
      <c r="F5" s="173">
        <f>SLOPE('In Process Calc.'!$Z$3:$Z$193,'In Process Calc.'!$T$3:$T$193)</f>
        <v>-1.0459934101742624E-2</v>
      </c>
      <c r="G5" s="173"/>
      <c r="H5" s="174">
        <f>RSQ('In Process Calc.'!$Z$3:$Z$193,'In Process Calc.'!$T$3:$T$193)</f>
        <v>4.1709733891931444E-3</v>
      </c>
      <c r="I5" s="174"/>
      <c r="J5" s="204" t="s">
        <v>420</v>
      </c>
      <c r="K5" s="177" t="s">
        <v>415</v>
      </c>
      <c r="L5" s="178" cm="1">
        <f t="array" ref="L5">IF($J5="Yes", SLOPE(IF('In Process Calc.'!$A$3:$A$193&lt;=NS, 'In Process Calc.'!$Z$3:$Z$193),IF('In Process Calc.'!$A$3:$A$193&lt;=NS,'In Process Calc.'!$T$3:$T$193)), $F5)</f>
        <v>0.21550645410262426</v>
      </c>
      <c r="M5" s="179"/>
      <c r="N5" s="178" cm="1">
        <f t="array" ref="N5">IF($J5="Yes", RSQ(IF('In Process Calc.'!$A$3:$A$193&lt;=NS, 'In Process Calc.'!$Z$3:$Z$193),IF('In Process Calc.'!$A$3:$A$193&lt;=NS,'In Process Calc.'!$T$3:$T$193)), $H5)</f>
        <v>0.45731811746267947</v>
      </c>
      <c r="O5" s="179"/>
      <c r="P5" s="178" cm="1">
        <f t="array" ref="P5">IF($J5="Yes", SLOPE(IF('In Process Calc.'!$A$3:$A$193&gt;NS, 'In Process Calc.'!$Z$3:$Z$193),IF('In Process Calc.'!$A$3:$A$193&gt;NS,'In Process Calc.'!$T$3:$T$193)), $F5)</f>
        <v>6.7830072632234006E-2</v>
      </c>
      <c r="Q5" s="179"/>
      <c r="R5" s="180" cm="1">
        <f t="array" ref="R5">IF($J5="Yes", RSQ(IF('In Process Calc.'!$A$3:$A$193&gt;NS, 'In Process Calc.'!$Z$3:$Z$193),IF('In Process Calc.'!$A$3:$A$193&gt;NS,'In Process Calc.'!$T$3:$T$193)), $H5)</f>
        <v>0.29358729821478846</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8" t="s">
        <v>422</v>
      </c>
      <c r="D7" s="558"/>
      <c r="E7" s="562" t="s">
        <v>414</v>
      </c>
      <c r="F7" s="562"/>
      <c r="G7" s="562"/>
      <c r="H7" s="562"/>
      <c r="I7" s="187"/>
      <c r="J7" s="567" t="s">
        <v>418</v>
      </c>
      <c r="K7" s="565" t="s">
        <v>434</v>
      </c>
      <c r="L7" s="562"/>
      <c r="M7" s="562"/>
      <c r="N7" s="562"/>
      <c r="O7" s="562" t="s">
        <v>435</v>
      </c>
      <c r="P7" s="562"/>
      <c r="Q7" s="562"/>
      <c r="R7" s="566"/>
    </row>
    <row r="8" spans="1:18" ht="14" thickBot="1">
      <c r="A8" s="188"/>
      <c r="B8" s="189"/>
      <c r="C8" s="570" t="s">
        <v>271</v>
      </c>
      <c r="D8" s="570"/>
      <c r="E8" s="190"/>
      <c r="F8" s="190" t="s">
        <v>325</v>
      </c>
      <c r="G8" s="190"/>
      <c r="H8" s="190" t="s">
        <v>288</v>
      </c>
      <c r="I8" s="191"/>
      <c r="J8" s="568"/>
      <c r="K8" s="192"/>
      <c r="L8" s="193" t="s">
        <v>325</v>
      </c>
      <c r="M8" s="193"/>
      <c r="N8" s="193" t="s">
        <v>288</v>
      </c>
      <c r="O8" s="193"/>
      <c r="P8" s="193" t="s">
        <v>325</v>
      </c>
      <c r="Q8" s="193"/>
      <c r="R8" s="194" t="s">
        <v>288</v>
      </c>
    </row>
    <row r="9" spans="1:18">
      <c r="A9" s="195" t="s">
        <v>273</v>
      </c>
      <c r="B9" s="196"/>
      <c r="C9" s="172"/>
      <c r="D9" s="174">
        <v>1.6666666666666666E-2</v>
      </c>
      <c r="E9" s="173"/>
      <c r="F9" s="174">
        <f>SLOPE('In Process Calc.'!$O$3:$O$193,'In Process Calc.'!$U$3:$U$193)</f>
        <v>1.2118099806681764</v>
      </c>
      <c r="G9" s="173"/>
      <c r="H9" s="174">
        <f>RSQ('In Process Calc.'!$O$3:$O$193,'In Process Calc.'!$U$3:$U$193)</f>
        <v>0.97294960020586418</v>
      </c>
      <c r="I9" s="197"/>
      <c r="J9" s="203" t="s">
        <v>420</v>
      </c>
      <c r="K9" s="198" t="s">
        <v>273</v>
      </c>
      <c r="L9" s="174" cm="1">
        <f t="array" ref="L9">IF($J9="Yes", SLOPE(IF('In Process Calc.'!$A$3:$A$193&lt;=NS, 'In Process Calc.'!$O$3:$O$193),IF('In Process Calc.'!$A$3:$A$193&lt;=NS,'In Process Calc.'!$U$3:$U$193)), $F9)</f>
        <v>1.1278074224478232</v>
      </c>
      <c r="M9" s="173"/>
      <c r="N9" s="174" cm="1">
        <f t="array" ref="N9">IF($J9="Yes", RSQ(IF('In Process Calc.'!$A$3:$A$193&lt;=NS, 'In Process Calc.'!$O$3:$O$193),IF('In Process Calc.'!$A$3:$A$193&lt;=NS,'In Process Calc.'!$U$3:$U$193)), $H9)</f>
        <v>0.98792772786369942</v>
      </c>
      <c r="O9" s="173"/>
      <c r="P9" s="174" cm="1">
        <f t="array" ref="P9">IF($J9="Yes", SLOPE(IF('In Process Calc.'!$A$3:$A$193&gt;NS, 'In Process Calc.'!$O$3:$O$193),IF('In Process Calc.'!$A$3:$A$193&gt;NS,'In Process Calc.'!$U$3:$U$193)), $F9)</f>
        <v>3.7334461599056254</v>
      </c>
      <c r="Q9" s="173"/>
      <c r="R9" s="176" cm="1">
        <f t="array" ref="R9">IF($J9="Yes", RSQ(IF('In Process Calc.'!$A$3:$A$193&gt;NS, 'In Process Calc.'!$O$3:$O$193),IF('In Process Calc.'!$A$3:$A$193&gt;NS,'In Process Calc.'!$U$3:$U$193)), $H9)</f>
        <v>0.85732507516216105</v>
      </c>
    </row>
    <row r="10" spans="1:18">
      <c r="A10" s="195" t="s">
        <v>274</v>
      </c>
      <c r="B10" s="196"/>
      <c r="C10" s="172"/>
      <c r="D10" s="174">
        <v>0.23333333333333334</v>
      </c>
      <c r="E10" s="173"/>
      <c r="F10" s="174">
        <f>SLOPE('In Process Calc.'!$P$3:$P$193,'In Process Calc.'!$U$3:$U$193)</f>
        <v>0.14767590623855817</v>
      </c>
      <c r="G10" s="173"/>
      <c r="H10" s="174">
        <f>RSQ('In Process Calc.'!$P$3:$P$193,'In Process Calc.'!$U$3:$U$193)</f>
        <v>0.19039065299627153</v>
      </c>
      <c r="I10" s="197"/>
      <c r="J10" s="203" t="s">
        <v>420</v>
      </c>
      <c r="K10" s="199" t="s">
        <v>274</v>
      </c>
      <c r="L10" s="174" cm="1">
        <f t="array" ref="L10">IF($J10="Yes", SLOPE(IF('In Process Calc.'!$A$3:$A$193&lt;=NS,'In Process Calc.'!$P$3:$P$193),IF('In Process Calc.'!$A$3:$A$193&lt;=NS,'In Process Calc.'!$U$3:$U$193)),$F10)</f>
        <v>0.12324770679386046</v>
      </c>
      <c r="M10" s="173"/>
      <c r="N10" s="174" cm="1">
        <f t="array" ref="N10">IF($J10="Yes", RSQ(IF('In Process Calc.'!$A$3:$A$193&lt;=NS,'In Process Calc.'!$P$3:$P$193),IF('In Process Calc.'!$A$3:$A$193&lt;=NS,'In Process Calc.'!$U$3:$U$193)),$H10)</f>
        <v>0.39150408944444282</v>
      </c>
      <c r="O10" s="197"/>
      <c r="P10" s="174" cm="1">
        <f t="array" ref="P10">IF($J10="Yes", SLOPE(IF('In Process Calc.'!$A$3:$A$193&gt;NS, 'In Process Calc.'!$P$3:$P$193),IF('In Process Calc.'!$A$3:$A$193&gt;NS,'In Process Calc.'!$U$3:$U$193)), $F10)</f>
        <v>1.1253079485090696</v>
      </c>
      <c r="Q10" s="173"/>
      <c r="R10" s="176" cm="1">
        <f t="array" ref="R10">IF($J10="Yes", RSQ(IF('In Process Calc.'!$A$3:$A$193&gt;NS, 'In Process Calc.'!$P$3:$P$193),IF('In Process Calc.'!$A$3:$A$193&gt;NS,'In Process Calc.'!$U$3:$U$193)), $H10)</f>
        <v>0.95451415206602386</v>
      </c>
    </row>
    <row r="11" spans="1:18">
      <c r="A11" s="195" t="s">
        <v>275</v>
      </c>
      <c r="B11" s="196"/>
      <c r="C11" s="172"/>
      <c r="D11" s="174">
        <v>1.6666666666666666E-2</v>
      </c>
      <c r="E11" s="173"/>
      <c r="F11" s="174">
        <f>SLOPE('In Process Calc.'!$Q$3:$Q$193,'In Process Calc.'!$U$3:$U$193)</f>
        <v>-1.2071972725234139</v>
      </c>
      <c r="G11" s="173"/>
      <c r="H11" s="174">
        <f>RSQ('In Process Calc.'!$Q$3:$Q$193,'In Process Calc.'!$U$3:$U$193)</f>
        <v>0.56167097956922396</v>
      </c>
      <c r="I11" s="197"/>
      <c r="J11" s="203" t="s">
        <v>420</v>
      </c>
      <c r="K11" s="199" t="s">
        <v>275</v>
      </c>
      <c r="L11" s="174" cm="1">
        <f t="array" ref="L11">IF($J11="Yes", SLOPE(IF('In Process Calc.'!$A$3:$A$193&lt;=NS,'In Process Calc.'!$Q$3:$Q$193),IF('In Process Calc.'!$A$3:$A$193&lt;=NS,'In Process Calc.'!$U$3:$U$193)),$F11)</f>
        <v>-1.2398922637228127</v>
      </c>
      <c r="M11" s="173"/>
      <c r="N11" s="174" cm="1">
        <f t="array" ref="N11">IF($J11="Yes", RSQ(IF('In Process Calc.'!$A$3:$A$193&lt;=NS,'In Process Calc.'!$Q$3:$Q$193),IF('In Process Calc.'!$A$3:$A$193&lt;=NS,'In Process Calc.'!$U$3:$U$193)),$H11)</f>
        <v>0.90145408638737501</v>
      </c>
      <c r="O11" s="197"/>
      <c r="P11" s="174" cm="1">
        <f t="array" ref="P11">IF($J11="Yes", SLOPE(IF('In Process Calc.'!$A$3:$A$193&gt;NS, 'In Process Calc.'!$Q$3:$Q$193),IF('In Process Calc.'!$A$3:$A$193&gt;NS,'In Process Calc.'!$U$3:$U$193)), $F11)</f>
        <v>1.117682585688113E-2</v>
      </c>
      <c r="Q11" s="173"/>
      <c r="R11" s="176" cm="1">
        <f t="array" ref="R11">IF($J11="Yes", RSQ(IF('In Process Calc.'!$A$3:$A$193&gt;NS, 'In Process Calc.'!$Q$3:$Q$193),IF('In Process Calc.'!$A$3:$A$193&gt;NS,'In Process Calc.'!$U$3:$U$193)), $H11)</f>
        <v>0.98862443976517989</v>
      </c>
    </row>
    <row r="12" spans="1:18">
      <c r="A12" s="195" t="s">
        <v>276</v>
      </c>
      <c r="B12" s="196"/>
      <c r="C12" s="172"/>
      <c r="D12" s="174">
        <v>1.6666666666666666E-2</v>
      </c>
      <c r="E12" s="173"/>
      <c r="F12" s="174">
        <f>SLOPE('In Process Calc.'!$R$3:$R$193,'In Process Calc.'!$U$3:$U$193)</f>
        <v>0.22098196670045361</v>
      </c>
      <c r="G12" s="173"/>
      <c r="H12" s="174">
        <f>RSQ('In Process Calc.'!$R$3:$R$193,'In Process Calc.'!$U$3:$U$193)</f>
        <v>0.55644556347517327</v>
      </c>
      <c r="I12" s="197"/>
      <c r="J12" s="203" t="s">
        <v>420</v>
      </c>
      <c r="K12" s="199" t="s">
        <v>276</v>
      </c>
      <c r="L12" s="174" cm="1">
        <f t="array" ref="L12">IF($J12="Yes", SLOPE(IF('In Process Calc.'!$A$3:$A$193&lt;=NS,'In Process Calc.'!$R$3:$R$193),IF('In Process Calc.'!$A$3:$A$193&lt;=NS,'In Process Calc.'!$U$3:$U$193)),$F12)</f>
        <v>0.19597445087069701</v>
      </c>
      <c r="M12" s="173"/>
      <c r="N12" s="174" cm="1">
        <f t="array" ref="N12">IF($J12="Yes", RSQ(IF('In Process Calc.'!$A$3:$A$193&lt;=NS,'In Process Calc.'!$R$3:$R$193),IF('In Process Calc.'!$A$3:$A$193&lt;=NS,'In Process Calc.'!$U$3:$U$193)),$H12)</f>
        <v>0.66055296163241306</v>
      </c>
      <c r="O12" s="197"/>
      <c r="P12" s="174" cm="1">
        <f t="array" ref="P12">IF($J12="Yes", SLOPE(IF('In Process Calc.'!$A$3:$A$193&gt;NS, 'In Process Calc.'!$R$3:$R$193),IF('In Process Calc.'!$A$3:$A$193&gt;NS,'In Process Calc.'!$U$3:$U$193)), $F12)</f>
        <v>0.17313074489606484</v>
      </c>
      <c r="Q12" s="173"/>
      <c r="R12" s="176" cm="1">
        <f t="array" ref="R12">IF($J12="Yes", RSQ(IF('In Process Calc.'!$A$3:$A$193&gt;NS, 'In Process Calc.'!$R$3:$R$193),IF('In Process Calc.'!$A$3:$A$193&gt;NS,'In Process Calc.'!$U$3:$U$193)), $H12)</f>
        <v>0.5308302513426798</v>
      </c>
    </row>
    <row r="13" spans="1:18">
      <c r="A13" s="195" t="s">
        <v>369</v>
      </c>
      <c r="B13" s="196"/>
      <c r="C13" s="172"/>
      <c r="D13" s="173"/>
      <c r="E13" s="173"/>
      <c r="F13" s="174">
        <f>SLOPE('In Process Calc.'!$S$3:$S$193,'In Process Calc.'!$U$3:$U$193)</f>
        <v>-0.17466255869927097</v>
      </c>
      <c r="G13" s="173"/>
      <c r="H13" s="174">
        <f>RSQ('In Process Calc.'!$S$3:$S$193,'In Process Calc.'!$U$3:$U$193)</f>
        <v>0.69485516574659756</v>
      </c>
      <c r="I13" s="197"/>
      <c r="J13" s="203" t="s">
        <v>420</v>
      </c>
      <c r="K13" s="199" t="s">
        <v>369</v>
      </c>
      <c r="L13" s="174" cm="1">
        <f t="array" ref="L13">IF($J13="Yes", SLOPE(IF('In Process Calc.'!$A$3:$A$193&lt;=NS,'In Process Calc.'!$S$3:$S$193),IF('In Process Calc.'!$A$3:$A$193&lt;=NS,'In Process Calc.'!$U$3:$U$193)),$F13)</f>
        <v>-0.19256817143857632</v>
      </c>
      <c r="M13" s="173"/>
      <c r="N13" s="174" cm="1">
        <f t="array" ref="N13">IF($J13="Yes", RSQ(IF('In Process Calc.'!$A$3:$A$193&lt;=NS,'In Process Calc.'!$S$3:$S$193),IF('In Process Calc.'!$A$3:$A$193&lt;=NS,'In Process Calc.'!$U$3:$U$193)),$H13)</f>
        <v>0.95747859027823057</v>
      </c>
      <c r="O13" s="197"/>
      <c r="P13" s="174" cm="1">
        <f t="array" ref="P13">IF($J13="Yes", SLOPE(IF('In Process Calc.'!$A$3:$A$193&gt;NS, 'In Process Calc.'!$S$3:$S$193),IF('In Process Calc.'!$A$3:$A$193&gt;NS,'In Process Calc.'!$U$3:$U$193)), $F13)</f>
        <v>-0.71300405568042713</v>
      </c>
      <c r="Q13" s="173"/>
      <c r="R13" s="176" cm="1">
        <f t="array" ref="R13">IF($J13="Yes", RSQ(IF('In Process Calc.'!$A$3:$A$193&gt;NS, 'In Process Calc.'!$S$3:$S$193),IF('In Process Calc.'!$A$3:$A$193&gt;NS,'In Process Calc.'!$U$3:$U$193)), $H13)</f>
        <v>0.99994561993221953</v>
      </c>
    </row>
    <row r="14" spans="1:18">
      <c r="A14" s="195" t="s">
        <v>277</v>
      </c>
      <c r="B14" s="196"/>
      <c r="C14" s="172"/>
      <c r="D14" s="174">
        <v>2.2202486678507993</v>
      </c>
      <c r="E14" s="173"/>
      <c r="F14" s="174">
        <f>SLOPE('In Process Calc.'!$V$3:$V$193,'In Process Calc.'!$U$3:$U$193)</f>
        <v>1.4570705229326377</v>
      </c>
      <c r="G14" s="173"/>
      <c r="H14" s="174">
        <f>RSQ('In Process Calc.'!$V$3:$V$193,'In Process Calc.'!$U$3:$U$193)</f>
        <v>0.31297798927523096</v>
      </c>
      <c r="I14" s="197"/>
      <c r="J14" s="203" t="s">
        <v>420</v>
      </c>
      <c r="K14" s="199" t="s">
        <v>277</v>
      </c>
      <c r="L14" s="174" cm="1">
        <f t="array" ref="L14">IF($J14="Yes", SLOPE(IF('In Process Calc.'!$A$3:$A$193&lt;=NS,'In Process Calc.'!$V$3:$V$193),IF('In Process Calc.'!$A$3:$A$193&lt;=NS,'In Process Calc.'!$U$3:$U$193)),$F14)</f>
        <v>2.0532912840467321</v>
      </c>
      <c r="M14" s="173"/>
      <c r="N14" s="174" cm="1">
        <f t="array" ref="N14">IF($J14="Yes", RSQ(IF('In Process Calc.'!$A$3:$A$193&lt;=NS,'In Process Calc.'!$V$3:$V$193),IF('In Process Calc.'!$A$3:$A$193&lt;=NS,'In Process Calc.'!$U$3:$U$193)),$H14)</f>
        <v>0.66015085924664263</v>
      </c>
      <c r="O14" s="197"/>
      <c r="P14" s="174" cm="1">
        <f t="array" ref="P14">IF($J14="Yes", SLOPE(IF('In Process Calc.'!$A$3:$A$193&gt;NS, 'In Process Calc.'!$V$3:$V$193),IF('In Process Calc.'!$A$3:$A$193&gt;NS,'In Process Calc.'!$U$3:$U$193)), $F14)</f>
        <v>3.9362695267943626</v>
      </c>
      <c r="Q14" s="173"/>
      <c r="R14" s="176" cm="1">
        <f t="array" ref="R14">IF($J14="Yes", RSQ(IF('In Process Calc.'!$A$3:$A$193&gt;NS, 'In Process Calc.'!$V$3:$V$193),IF('In Process Calc.'!$A$3:$A$193&gt;NS,'In Process Calc.'!$U$3:$U$193)), $H14)</f>
        <v>0.76973365107044389</v>
      </c>
    </row>
    <row r="15" spans="1:18">
      <c r="A15" s="195" t="s">
        <v>158</v>
      </c>
      <c r="B15" s="196"/>
      <c r="C15" s="172"/>
      <c r="D15" s="174">
        <v>8.3333333333333329E-2</v>
      </c>
      <c r="E15" s="173"/>
      <c r="F15" s="174">
        <f>SLOPE('In Process Calc.'!$W$3:$W$193,'In Process Calc.'!$U$3:$U$193)</f>
        <v>-1.3908684051455006E-2</v>
      </c>
      <c r="G15" s="173"/>
      <c r="H15" s="174">
        <f>RSQ('In Process Calc.'!$W$3:$W$193,'In Process Calc.'!$U$3:$U$193)</f>
        <v>3.0596426790663422E-3</v>
      </c>
      <c r="I15" s="197"/>
      <c r="J15" s="203" t="s">
        <v>420</v>
      </c>
      <c r="K15" s="199" t="s">
        <v>158</v>
      </c>
      <c r="L15" s="174" cm="1">
        <f t="array" ref="L15">IF($J15="Yes", SLOPE(IF('In Process Calc.'!$A$3:$A$193&lt;=NS,'In Process Calc.'!$W$3:$W$193),IF('In Process Calc.'!$A$3:$A$193&lt;=NS,'In Process Calc.'!$U$3:$U$193)),$F15)</f>
        <v>0.11055914038620694</v>
      </c>
      <c r="M15" s="173"/>
      <c r="N15" s="174" cm="1">
        <f t="array" ref="N15">IF($J15="Yes", RSQ(IF('In Process Calc.'!$A$3:$A$193&lt;=NS,'In Process Calc.'!$W$3:$W$193),IF('In Process Calc.'!$A$3:$A$193&lt;=NS,'In Process Calc.'!$U$3:$U$193)),$H15)</f>
        <v>0.23622863045843104</v>
      </c>
      <c r="O15" s="197"/>
      <c r="P15" s="174" cm="1">
        <f t="array" ref="P15">IF($J15="Yes", SLOPE(IF('In Process Calc.'!$A$3:$A$193&gt;NS, 'In Process Calc.'!$W$3:$W$193),IF('In Process Calc.'!$A$3:$A$193&gt;NS,'In Process Calc.'!$U$3:$U$193)), $F15)</f>
        <v>-2.7229472288271115</v>
      </c>
      <c r="Q15" s="173"/>
      <c r="R15" s="176" cm="1">
        <f t="array" ref="R15">IF($J15="Yes", RSQ(IF('In Process Calc.'!$A$3:$A$193&gt;NS, 'In Process Calc.'!$W$3:$W$193),IF('In Process Calc.'!$A$3:$A$193&gt;NS,'In Process Calc.'!$U$3:$U$193)), $H15)</f>
        <v>0.99777773992380481</v>
      </c>
    </row>
    <row r="16" spans="1:18">
      <c r="A16" s="195" t="s">
        <v>278</v>
      </c>
      <c r="B16" s="196"/>
      <c r="C16" s="172"/>
      <c r="D16" s="174">
        <v>5.1000000000000004E-2</v>
      </c>
      <c r="E16" s="173"/>
      <c r="F16" s="174">
        <f>SLOPE('In Process Calc.'!$X$3:$X$193,'In Process Calc.'!$U$3:$U$193)</f>
        <v>-0.12290547080456114</v>
      </c>
      <c r="G16" s="173"/>
      <c r="H16" s="174">
        <f>RSQ('In Process Calc.'!$X$3:$X$193,'In Process Calc.'!$U$3:$U$193)</f>
        <v>0.25986964968744641</v>
      </c>
      <c r="I16" s="197"/>
      <c r="J16" s="203" t="s">
        <v>420</v>
      </c>
      <c r="K16" s="199" t="s">
        <v>278</v>
      </c>
      <c r="L16" s="174" cm="1">
        <f t="array" ref="L16">IF($J16="Yes", SLOPE(IF('In Process Calc.'!$A$3:$A$193&lt;=NS,'In Process Calc.'!$X$3:$X$193),IF('In Process Calc.'!$A$3:$A$193&lt;=NS,'In Process Calc.'!$U$3:$U$193)),$F16)</f>
        <v>-7.5945094803733126E-2</v>
      </c>
      <c r="M16" s="173"/>
      <c r="N16" s="174" cm="1">
        <f t="array" ref="N16">IF($J16="Yes", RSQ(IF('In Process Calc.'!$A$3:$A$193&lt;=NS,'In Process Calc.'!$X$3:$X$193),IF('In Process Calc.'!$A$3:$A$193&lt;=NS,'In Process Calc.'!$U$3:$U$193)),$H16)</f>
        <v>0.36901155391632917</v>
      </c>
      <c r="O16" s="197"/>
      <c r="P16" s="174" cm="1">
        <f t="array" ref="P16">IF($J16="Yes", SLOPE(IF('In Process Calc.'!$A$3:$A$193&gt;NS, 'In Process Calc.'!$X$3:$X$193),IF('In Process Calc.'!$A$3:$A$193&gt;NS,'In Process Calc.'!$U$3:$U$193)), $F16)</f>
        <v>0.28386824801265587</v>
      </c>
      <c r="Q16" s="173"/>
      <c r="R16" s="176" cm="1">
        <f t="array" ref="R16">IF($J16="Yes", RSQ(IF('In Process Calc.'!$A$3:$A$193&gt;NS, 'In Process Calc.'!$X$3:$X$193),IF('In Process Calc.'!$A$3:$A$193&gt;NS,'In Process Calc.'!$U$3:$U$193)), $H16)</f>
        <v>0.93645459193712399</v>
      </c>
    </row>
    <row r="17" spans="1:24">
      <c r="A17" s="195" t="s">
        <v>279</v>
      </c>
      <c r="B17" s="196"/>
      <c r="C17" s="172"/>
      <c r="D17" s="174">
        <v>0.13833333333333334</v>
      </c>
      <c r="E17" s="173"/>
      <c r="F17" s="174">
        <f>SLOPE('In Process Calc.'!$Y$3:$Y$193,'In Process Calc.'!$U$3:$U$193)</f>
        <v>4.4888047242184842E-2</v>
      </c>
      <c r="G17" s="173"/>
      <c r="H17" s="174">
        <f>RSQ('In Process Calc.'!$Y$3:$Y$193,'In Process Calc.'!$U$3:$U$193)</f>
        <v>1.8834611158860714E-2</v>
      </c>
      <c r="I17" s="197"/>
      <c r="J17" s="203" t="s">
        <v>420</v>
      </c>
      <c r="K17" s="199" t="s">
        <v>279</v>
      </c>
      <c r="L17" s="174" cm="1">
        <f t="array" ref="L17">IF($J17="Yes", SLOPE(IF('In Process Calc.'!$A$3:$A$193&lt;=NS,'In Process Calc.'!$Y$3:$Y$193),IF('In Process Calc.'!$A$3:$A$193&lt;=NS,'In Process Calc.'!$U$3:$U$193)),$F17)</f>
        <v>5.8009358552240729E-2</v>
      </c>
      <c r="M17" s="173"/>
      <c r="N17" s="174" cm="1">
        <f t="array" ref="N17">IF($J17="Yes", RSQ(IF('In Process Calc.'!$A$3:$A$193&lt;=NS,'In Process Calc.'!$Y$3:$Y$193),IF('In Process Calc.'!$A$3:$A$193&lt;=NS,'In Process Calc.'!$U$3:$U$193)),$H17)</f>
        <v>8.9213593346272491E-2</v>
      </c>
      <c r="O17" s="197"/>
      <c r="P17" s="174" cm="1">
        <f t="array" ref="P17">IF($J17="Yes", SLOPE(IF('In Process Calc.'!$A$3:$A$193&gt;NS, 'In Process Calc.'!$Y$3:$Y$193),IF('In Process Calc.'!$A$3:$A$193&gt;NS,'In Process Calc.'!$U$3:$U$193)), $F17)</f>
        <v>5.6595077670326281E-2</v>
      </c>
      <c r="Q17" s="173"/>
      <c r="R17" s="176" cm="1">
        <f t="array" ref="R17">IF($J17="Yes", RSQ(IF('In Process Calc.'!$A$3:$A$193&gt;NS, 'In Process Calc.'!$Y$3:$Y$193),IF('In Process Calc.'!$A$3:$A$193&gt;NS,'In Process Calc.'!$U$3:$U$193)), $H17)</f>
        <v>0.55946494498999522</v>
      </c>
    </row>
    <row r="18" spans="1:24">
      <c r="A18" s="195" t="s">
        <v>280</v>
      </c>
      <c r="B18" s="196"/>
      <c r="C18" s="172"/>
      <c r="D18" s="174">
        <v>0.15</v>
      </c>
      <c r="E18" s="173"/>
      <c r="F18" s="174">
        <f>SLOPE('In Process Calc.'!$AA$3:$AA$193,'In Process Calc.'!$U$3:$U$193)</f>
        <v>-0.26992500546170417</v>
      </c>
      <c r="G18" s="173"/>
      <c r="H18" s="174">
        <f>RSQ('In Process Calc.'!$AA$3:$AA$193,'In Process Calc.'!$U$3:$U$193)</f>
        <v>0.1007101181226006</v>
      </c>
      <c r="I18" s="197"/>
      <c r="J18" s="203" t="s">
        <v>420</v>
      </c>
      <c r="K18" s="199" t="s">
        <v>280</v>
      </c>
      <c r="L18" s="174" cm="1">
        <f t="array" ref="L18">IF($J18="Yes", SLOPE(IF('In Process Calc.'!$A$3:$A$193&lt;=NS,'In Process Calc.'!$AA$3:$AA$193),IF('In Process Calc.'!$A$3:$A$193&lt;=NS,'In Process Calc.'!$U$3:$U$193)),$F18)</f>
        <v>-0.26708808496945691</v>
      </c>
      <c r="M18" s="173"/>
      <c r="N18" s="174" cm="1">
        <f t="array" ref="N18">IF($J18="Yes", RSQ(IF('In Process Calc.'!$A$3:$A$193&lt;=NS,'In Process Calc.'!$AA$3:$AA$193),IF('In Process Calc.'!$A$3:$A$193&lt;=NS,'In Process Calc.'!$U$3:$U$193)),$H18)</f>
        <v>0.49757890233613972</v>
      </c>
      <c r="O18" s="197"/>
      <c r="P18" s="174" cm="1">
        <f t="array" ref="P18">IF($J18="Yes", SLOPE(IF('In Process Calc.'!$A$3:$A$193&gt;NS, 'In Process Calc.'!$AA$3:$AA$193),IF('In Process Calc.'!$A$3:$A$193&gt;NS,'In Process Calc.'!$U$3:$U$193)), $F18)</f>
        <v>1.3690561117497901</v>
      </c>
      <c r="Q18" s="173"/>
      <c r="R18" s="176" cm="1">
        <f t="array" ref="R18">IF($J18="Yes", RSQ(IF('In Process Calc.'!$A$3:$A$193&gt;NS, 'In Process Calc.'!$AA$3:$AA$193),IF('In Process Calc.'!$A$3:$A$193&gt;NS,'In Process Calc.'!$U$3:$U$193)), $H18)</f>
        <v>0.88229824905734799</v>
      </c>
    </row>
    <row r="19" spans="1:24">
      <c r="A19" s="195" t="s">
        <v>281</v>
      </c>
      <c r="B19" s="196"/>
      <c r="C19" s="172"/>
      <c r="D19" s="174">
        <v>0.16666666666666666</v>
      </c>
      <c r="E19" s="173"/>
      <c r="F19" s="174">
        <f>SLOPE('In Process Calc.'!$AB$3:$AB$193,'In Process Calc.'!$U$3:$U$193)</f>
        <v>5.6764335766221696E-2</v>
      </c>
      <c r="G19" s="173"/>
      <c r="H19" s="174">
        <f>RSQ('In Process Calc.'!$AB$3:$AB$193,'In Process Calc.'!$U$3:$U$193)</f>
        <v>7.9213696028313969E-3</v>
      </c>
      <c r="I19" s="197"/>
      <c r="J19" s="203" t="s">
        <v>420</v>
      </c>
      <c r="K19" s="199" t="s">
        <v>281</v>
      </c>
      <c r="L19" s="174" cm="1">
        <f t="array" ref="L19">IF($J19="Yes", SLOPE(IF('In Process Calc.'!$A$3:$A$193&lt;=NS,'In Process Calc.'!$AB$3:$AB$193),IF('In Process Calc.'!$A$3:$A$193&lt;=NS,'In Process Calc.'!$U$3:$U$193)),$F19)</f>
        <v>9.6130462525145663E-2</v>
      </c>
      <c r="M19" s="173"/>
      <c r="N19" s="174" cm="1">
        <f t="array" ref="N19">IF($J19="Yes", RSQ(IF('In Process Calc.'!$A$3:$A$193&lt;=NS,'In Process Calc.'!$AB$3:$AB$193),IF('In Process Calc.'!$A$3:$A$193&lt;=NS,'In Process Calc.'!$U$3:$U$193)),$H19)</f>
        <v>0.14196171887254694</v>
      </c>
      <c r="O19" s="197"/>
      <c r="P19" s="174" cm="1">
        <f t="array" ref="P19">IF($J19="Yes", SLOPE(IF('In Process Calc.'!$A$3:$A$193&gt;NS, 'In Process Calc.'!$AB$3:$AB$193),IF('In Process Calc.'!$A$3:$A$193&gt;NS,'In Process Calc.'!$U$3:$U$193)), $F19)</f>
        <v>2.3656526551467678</v>
      </c>
      <c r="Q19" s="173"/>
      <c r="R19" s="176" cm="1">
        <f t="array" ref="R19">IF($J19="Yes", RSQ(IF('In Process Calc.'!$A$3:$A$193&gt;NS, 'In Process Calc.'!$AB$3:$AB$193),IF('In Process Calc.'!$A$3:$A$193&gt;NS,'In Process Calc.'!$U$3:$U$193)), $H19)</f>
        <v>0.92128739281694194</v>
      </c>
    </row>
    <row r="20" spans="1:24">
      <c r="A20" s="195" t="s">
        <v>282</v>
      </c>
      <c r="B20" s="196"/>
      <c r="C20" s="172"/>
      <c r="D20" s="174">
        <v>3.833333333333333E-2</v>
      </c>
      <c r="E20" s="173"/>
      <c r="F20" s="174">
        <f>SLOPE('In Process Calc.'!$AC$3:$AC$193,'In Process Calc.'!$U$3:$U$193)</f>
        <v>-0.14769355234990794</v>
      </c>
      <c r="G20" s="173"/>
      <c r="H20" s="174">
        <f>RSQ('In Process Calc.'!$AC$3:$AC$193,'In Process Calc.'!$U$3:$U$193)</f>
        <v>0.82381965095188181</v>
      </c>
      <c r="I20" s="197"/>
      <c r="J20" s="203" t="s">
        <v>420</v>
      </c>
      <c r="K20" s="199" t="s">
        <v>282</v>
      </c>
      <c r="L20" s="174" cm="1">
        <f t="array" ref="L20">IF($J20="Yes", SLOPE(IF('In Process Calc.'!$A$3:$A$193&lt;=NS,'In Process Calc.'!$AC$3:$AC$193),IF('In Process Calc.'!$A$3:$A$193&lt;=NS,'In Process Calc.'!$U$3:$U$193)),$F20)</f>
        <v>-0.17348932703021958</v>
      </c>
      <c r="M20" s="173"/>
      <c r="N20" s="174" cm="1">
        <f t="array" ref="N20">IF($J20="Yes", RSQ(IF('In Process Calc.'!$A$3:$A$193&lt;=NS,'In Process Calc.'!$AC$3:$AC$193),IF('In Process Calc.'!$A$3:$A$193&lt;=NS,'In Process Calc.'!$U$3:$U$193)),$H20)</f>
        <v>0.95676894455052552</v>
      </c>
      <c r="O20" s="197"/>
      <c r="P20" s="174" cm="1">
        <f t="array" ref="P20">IF($J20="Yes", SLOPE(IF('In Process Calc.'!$A$3:$A$193&gt;NS, 'In Process Calc.'!$AC$3:$AC$193),IF('In Process Calc.'!$A$3:$A$193&gt;NS,'In Process Calc.'!$U$3:$U$193)), $F20)</f>
        <v>-0.55334576005666747</v>
      </c>
      <c r="Q20" s="173"/>
      <c r="R20" s="176" cm="1">
        <f t="array" ref="R20">IF($J20="Yes", RSQ(IF('In Process Calc.'!$A$3:$A$193&gt;NS, 'In Process Calc.'!$AC$3:$AC$193),IF('In Process Calc.'!$A$3:$A$193&gt;NS,'In Process Calc.'!$U$3:$U$193)), $H20)</f>
        <v>0.97380844712805315</v>
      </c>
    </row>
    <row r="21" spans="1:24">
      <c r="A21" s="195" t="s">
        <v>85</v>
      </c>
      <c r="B21" s="196"/>
      <c r="C21" s="172"/>
      <c r="D21" s="174"/>
      <c r="E21" s="173"/>
      <c r="F21" s="174">
        <f>SLOPE('In Process Calc.'!$AD$3:$AD$193,'In Process Calc.'!$U$3:$U$193)</f>
        <v>1.3440085195402507</v>
      </c>
      <c r="G21" s="173"/>
      <c r="H21" s="174">
        <f>RSQ('In Process Calc.'!$AD$3:$AD$193,'In Process Calc.'!$U$3:$U$193)</f>
        <v>0.40326632108630239</v>
      </c>
      <c r="I21" s="197"/>
      <c r="J21" s="203" t="s">
        <v>420</v>
      </c>
      <c r="K21" s="199" t="s">
        <v>85</v>
      </c>
      <c r="L21" s="174" cm="1">
        <f t="array" ref="L21">IF($J21="Yes", SLOPE(IF('In Process Calc.'!$A$3:$A$193&lt;=NS,'In Process Calc.'!$AD$3:$AD$193),IF('In Process Calc.'!$A$3:$A$193&lt;=NS,'In Process Calc.'!$U$3:$U$193)),$F21)</f>
        <v>1.6487399198101433</v>
      </c>
      <c r="M21" s="173"/>
      <c r="N21" s="174" cm="1">
        <f t="array" ref="N21">IF($J21="Yes", RSQ(IF('In Process Calc.'!$A$3:$A$193&lt;=NS,'In Process Calc.'!$AD$3:$AD$193),IF('In Process Calc.'!$A$3:$A$193&lt;=NS,'In Process Calc.'!$U$3:$U$193)),$H21)</f>
        <v>0.87237778412242029</v>
      </c>
      <c r="O21" s="197"/>
      <c r="P21" s="174" cm="1">
        <f t="array" ref="P21">IF($J21="Yes", SLOPE(IF('In Process Calc.'!$A$3:$A$193&gt;NS, 'In Process Calc.'!$AD$3:$AD$193),IF('In Process Calc.'!$A$3:$A$193&gt;NS,'In Process Calc.'!$U$3:$U$193)), $F21)</f>
        <v>-4.1228906897888553</v>
      </c>
      <c r="Q21" s="173"/>
      <c r="R21" s="176" cm="1">
        <f t="array" ref="R21">IF($J21="Yes", RSQ(IF('In Process Calc.'!$A$3:$A$193&gt;NS, 'In Process Calc.'!$AD$3:$AD$193),IF('In Process Calc.'!$A$3:$A$193&gt;NS,'In Process Calc.'!$U$3:$U$193)), $H21)</f>
        <v>0.95388448177938145</v>
      </c>
    </row>
    <row r="22" spans="1:24">
      <c r="A22" s="195" t="s">
        <v>283</v>
      </c>
      <c r="B22" s="196"/>
      <c r="C22" s="172"/>
      <c r="D22" s="174">
        <v>7.166666666666667E-2</v>
      </c>
      <c r="E22" s="173"/>
      <c r="F22" s="174">
        <f>SLOPE('In Process Calc.'!$AE$3:$AE$193,'In Process Calc.'!$U$3:$U$193)</f>
        <v>1.9341617775366479E-3</v>
      </c>
      <c r="G22" s="173"/>
      <c r="H22" s="174">
        <f>RSQ('In Process Calc.'!$AE$3:$AE$193,'In Process Calc.'!$U$3:$U$193)</f>
        <v>4.0077424834377722E-5</v>
      </c>
      <c r="I22" s="197"/>
      <c r="J22" s="203" t="s">
        <v>420</v>
      </c>
      <c r="K22" s="199" t="s">
        <v>283</v>
      </c>
      <c r="L22" s="174" cm="1">
        <f t="array" ref="L22">IF($J22="Yes", SLOPE(IF('In Process Calc.'!$A$3:$A$193&lt;=NS,'In Process Calc.'!$AE$3:$AE$193),IF('In Process Calc.'!$A$3:$A$193&lt;=NS,'In Process Calc.'!$U$3:$U$193)),$F22)</f>
        <v>2.0334999271261901E-2</v>
      </c>
      <c r="M22" s="173"/>
      <c r="N22" s="174" cm="1">
        <f t="array" ref="N22">IF($J22="Yes", RSQ(IF('In Process Calc.'!$A$3:$A$193&lt;=NS,'In Process Calc.'!$AE$3:$AE$193),IF('In Process Calc.'!$A$3:$A$193&lt;=NS,'In Process Calc.'!$U$3:$U$193)),$H22)</f>
        <v>3.2072712045316108E-2</v>
      </c>
      <c r="O22" s="197"/>
      <c r="P22" s="174" cm="1">
        <f t="array" ref="P22">IF($J22="Yes", SLOPE(IF('In Process Calc.'!$A$3:$A$193&gt;NS, 'In Process Calc.'!$AE$3:$AE$193),IF('In Process Calc.'!$A$3:$A$193&gt;NS,'In Process Calc.'!$U$3:$U$193)), $F22)</f>
        <v>1.0734394305981394</v>
      </c>
      <c r="Q22" s="173"/>
      <c r="R22" s="176" cm="1">
        <f t="array" ref="R22">IF($J22="Yes", RSQ(IF('In Process Calc.'!$A$3:$A$193&gt;NS, 'In Process Calc.'!$AE$3:$AE$193),IF('In Process Calc.'!$A$3:$A$193&gt;NS,'In Process Calc.'!$U$3:$U$193)), $H22)</f>
        <v>0.92046132669131608</v>
      </c>
    </row>
    <row r="23" spans="1:24" ht="24.5" customHeight="1">
      <c r="A23" s="195" t="s">
        <v>370</v>
      </c>
      <c r="B23" s="196"/>
      <c r="C23" s="172"/>
      <c r="D23" s="173"/>
      <c r="E23" s="173"/>
      <c r="F23" s="174">
        <f>SLOPE('In Process Calc.'!$AF$3:$AF$193,'In Process Calc.'!$U$3:$U$193)</f>
        <v>-0.51237975725473728</v>
      </c>
      <c r="G23" s="173"/>
      <c r="H23" s="174">
        <f>RSQ('In Process Calc.'!$AF$3:$AF$193,'In Process Calc.'!$U$3:$U$193)</f>
        <v>0.75035844835945253</v>
      </c>
      <c r="I23" s="197"/>
      <c r="J23" s="203" t="s">
        <v>420</v>
      </c>
      <c r="K23" s="199" t="s">
        <v>370</v>
      </c>
      <c r="L23" s="174" cm="1">
        <f t="array" ref="L23">IF($J23="Yes", SLOPE(IF('In Process Calc.'!$A$3:$A$193&lt;=NS,'In Process Calc.'!$P$3:$P$193),IF('In Process Calc.'!$A$3:$A$193&lt;=NS,'In Process Calc.'!$U$3:$U$193)),$F23)</f>
        <v>0.12324770679386046</v>
      </c>
      <c r="M23" s="173"/>
      <c r="N23" s="174" cm="1">
        <f t="array" ref="N23">IF($J23="Yes", RSQ(IF('In Process Calc.'!$A$3:$A$193&lt;=NS,'In Process Calc.'!$P$3:$P$193),IF('In Process Calc.'!$A$3:$A$193&lt;=NS,'In Process Calc.'!$U$3:$U$193)),$H23)</f>
        <v>0.39150408944444282</v>
      </c>
      <c r="O23" s="197"/>
      <c r="P23" s="174" cm="1">
        <f t="array" ref="P23">IF($J23="Yes", SLOPE(IF('In Process Calc.'!$A$3:$A$193&gt;NS, 'In Process Calc.'!$P$3:$P$193),IF('In Process Calc.'!$A$3:$A$193&gt;NS,'In Process Calc.'!$U$3:$U$193)), $F23)</f>
        <v>1.1253079485090696</v>
      </c>
      <c r="Q23" s="173"/>
      <c r="R23" s="176" cm="1">
        <f t="array" ref="R23">IF($J23="Yes", RSQ(IF('In Process Calc.'!$A$3:$A$193&gt;NS, 'In Process Calc.'!$P$3:$P$193),IF('In Process Calc.'!$A$3:$A$193&gt;NS,'In Process Calc.'!$U$3:$U$193)), $H23)</f>
        <v>0.95451415206602386</v>
      </c>
    </row>
    <row r="24" spans="1:24">
      <c r="A24" s="195" t="s">
        <v>284</v>
      </c>
      <c r="B24" s="196"/>
      <c r="C24" s="172"/>
      <c r="D24" s="174">
        <v>8.3333333333333329E-2</v>
      </c>
      <c r="E24" s="173"/>
      <c r="F24" s="174">
        <f>SLOPE('In Process Calc.'!$AG$3:$AG$193,'In Process Calc.'!$U$3:$U$193)</f>
        <v>-0.84217677652875489</v>
      </c>
      <c r="G24" s="173"/>
      <c r="H24" s="174">
        <f>RSQ('In Process Calc.'!$AG$3:$AG$193,'In Process Calc.'!$U$3:$U$193)</f>
        <v>0.76141681564730346</v>
      </c>
      <c r="I24" s="197"/>
      <c r="J24" s="203" t="s">
        <v>420</v>
      </c>
      <c r="K24" s="199" t="s">
        <v>284</v>
      </c>
      <c r="L24" s="174" cm="1">
        <f t="array" ref="L24">IF($J24="Yes", SLOPE(IF('In Process Calc.'!$A$3:$A$193&lt;=NS,'In Process Calc.'!$AG$3:$AG$193),IF('In Process Calc.'!$A$3:$A$193&lt;=NS,'In Process Calc.'!$U$3:$U$193)),$F24)</f>
        <v>-1.0476503041186631</v>
      </c>
      <c r="M24" s="173"/>
      <c r="N24" s="174" cm="1">
        <f t="array" ref="N24">IF($J24="Yes", RSQ(IF('In Process Calc.'!$A$3:$A$193&lt;=NS,'In Process Calc.'!$AG$3:$AG$193),IF('In Process Calc.'!$A$3:$A$193&lt;=NS,'In Process Calc.'!$U$3:$U$193)),$H24)</f>
        <v>0.93532930639646583</v>
      </c>
      <c r="O24" s="197"/>
      <c r="P24" s="174" cm="1">
        <f t="array" ref="P24">IF($J24="Yes", SLOPE(IF('In Process Calc.'!$A$3:$A$193&gt;NS, 'In Process Calc.'!$AG$3:$AG$193),IF('In Process Calc.'!$A$3:$A$193&gt;NS,'In Process Calc.'!$U$3:$U$193)), $F24)</f>
        <v>-1.8265219147504805</v>
      </c>
      <c r="Q24" s="173"/>
      <c r="R24" s="176" cm="1">
        <f t="array" ref="R24">IF($J24="Yes", RSQ(IF('In Process Calc.'!$A$3:$A$193&gt;NS, 'In Process Calc.'!$AG$3:$AG$193),IF('In Process Calc.'!$A$3:$A$193&gt;NS,'In Process Calc.'!$U$3:$U$193)), $H24)</f>
        <v>0.88648925103290832</v>
      </c>
    </row>
    <row r="25" spans="1:24" ht="14" thickBot="1">
      <c r="A25" s="195" t="s">
        <v>285</v>
      </c>
      <c r="B25" s="196"/>
      <c r="C25" s="172"/>
      <c r="D25" s="174">
        <v>0.15</v>
      </c>
      <c r="E25" s="173"/>
      <c r="F25" s="174">
        <f>SLOPE('In Process Calc.'!$AH$3:$AH$193,'In Process Calc.'!$U$3:$U$193)</f>
        <v>-0.54727518508366513</v>
      </c>
      <c r="G25" s="173"/>
      <c r="H25" s="174">
        <f>RSQ('In Process Calc.'!$AH$3:$AH$193,'In Process Calc.'!$U$3:$U$193)</f>
        <v>0.66445678348833725</v>
      </c>
      <c r="I25" s="197"/>
      <c r="J25" s="203" t="s">
        <v>419</v>
      </c>
      <c r="K25" s="199" t="s">
        <v>285</v>
      </c>
      <c r="L25" s="174" cm="1">
        <f t="array" ref="L25">IF($J25="Yes", SLOPE(IF('In Process Calc.'!$A$3:$A$193&lt;=NS,'In Process Calc.'!$AH$3:$AH$193),IF('In Process Calc.'!$A$3:$A$193&lt;=NS,'In Process Calc.'!$U$3:$U$193)),$F25)</f>
        <v>-0.54727518508366513</v>
      </c>
      <c r="M25" s="173"/>
      <c r="N25" s="174" cm="1">
        <f t="array" ref="N25">IF($J25="Yes", RSQ(IF('In Process Calc.'!$A$3:$A$193&lt;=NS,'In Process Calc.'!$AH$3:$AH$193),IF('In Process Calc.'!$A$3:$A$193&lt;=NS,'In Process Calc.'!$U$3:$U$193)),$H25)</f>
        <v>0.66445678348833725</v>
      </c>
      <c r="O25" s="197"/>
      <c r="P25" s="174" cm="1">
        <f t="array" ref="P25">IF($J25="Yes", SLOPE(IF('In Process Calc.'!$A$3:$A$193&gt;NS, 'In Process Calc.'!$AH$3:$AH$193),IF('In Process Calc.'!$A$3:$A$193&gt;NS,'In Process Calc.'!$U$3:$U$193)), $F25)</f>
        <v>-0.54727518508366513</v>
      </c>
      <c r="Q25" s="173"/>
      <c r="R25" s="176" cm="1">
        <f t="array" ref="R25">IF($J25="Yes", RSQ(IF('In Process Calc.'!$A$3:$A$193&gt;NS, 'In Process Calc.'!$AH$3:$AH$193),IF('In Process Calc.'!$A$3:$A$193&gt;NS,'In Process Calc.'!$U$3:$U$193)), $H25)</f>
        <v>0.66445678348833725</v>
      </c>
    </row>
    <row r="26" spans="1:24">
      <c r="A26" s="195" t="s">
        <v>371</v>
      </c>
      <c r="B26" s="196"/>
      <c r="C26" s="172"/>
      <c r="D26" s="173"/>
      <c r="E26" s="173"/>
      <c r="F26" s="174">
        <f>SLOPE('In Process Calc.'!$AI$3:$AI$193,'In Process Calc.'!$U$3:$U$193)</f>
        <v>4.0962266545531166E-2</v>
      </c>
      <c r="G26" s="173"/>
      <c r="H26" s="174">
        <f>RSQ('In Process Calc.'!$AI$3:$AI$193,'In Process Calc.'!$U$3:$U$193)</f>
        <v>6.5748760824624553E-2</v>
      </c>
      <c r="I26" s="197"/>
      <c r="J26" s="203" t="s">
        <v>420</v>
      </c>
      <c r="K26" s="199" t="s">
        <v>371</v>
      </c>
      <c r="L26" s="174" cm="1">
        <f t="array" ref="L26">IF($J26="Yes", SLOPE(IF('In Process Calc.'!$A$3:$A$193&lt;=NS,'In Process Calc.'!$AI$3:$AI$193),IF('In Process Calc.'!$A$3:$A$193&lt;=NS,'In Process Calc.'!$U$3:$U$193)),$F26)</f>
        <v>3.7812807615326918E-2</v>
      </c>
      <c r="M26" s="173"/>
      <c r="N26" s="174" cm="1">
        <f t="array" ref="N26">IF($J26="Yes", RSQ(IF('In Process Calc.'!$A$3:$A$193&lt;=NS,'In Process Calc.'!$AI$3:$AI$193),IF('In Process Calc.'!$A$3:$A$193&lt;=NS,'In Process Calc.'!$U$3:$U$193)),$H26)</f>
        <v>0.25409313615124091</v>
      </c>
      <c r="O26" s="197"/>
      <c r="P26" s="174" cm="1">
        <f t="array" ref="P26">IF($J26="Yes", SLOPE(IF('In Process Calc.'!$A$3:$A$193&gt;NS, 'In Process Calc.'!$AI$3:$AI$193),IF('In Process Calc.'!$A$3:$A$193&gt;NS,'In Process Calc.'!$U$3:$U$193)), $F26)</f>
        <v>0.65952163130465846</v>
      </c>
      <c r="Q26" s="173"/>
      <c r="R26" s="176" cm="1">
        <f t="array" ref="R26">IF($J26="Yes", RSQ(IF('In Process Calc.'!$A$3:$A$193&gt;NS, 'In Process Calc.'!$AI$3:$AI$193),IF('In Process Calc.'!$A$3:$A$193&gt;NS,'In Process Calc.'!$U$3:$U$193)), $H26)</f>
        <v>0.93599131289755133</v>
      </c>
      <c r="T26" s="544" t="s">
        <v>423</v>
      </c>
      <c r="U26" s="545"/>
      <c r="V26" s="546"/>
      <c r="W26" s="553" t="s">
        <v>416</v>
      </c>
      <c r="X26" s="555" t="s">
        <v>417</v>
      </c>
    </row>
    <row r="27" spans="1:24">
      <c r="A27" s="195" t="s">
        <v>286</v>
      </c>
      <c r="B27" s="196"/>
      <c r="C27" s="172"/>
      <c r="D27" s="174">
        <v>7.0000000000000007E-2</v>
      </c>
      <c r="E27" s="173"/>
      <c r="F27" s="174">
        <f>SLOPE('In Process Calc.'!$AJ$3:$AJ$193,'In Process Calc.'!$U$3:$U$193)</f>
        <v>-0.27631706362897024</v>
      </c>
      <c r="G27" s="173"/>
      <c r="H27" s="174">
        <f>RSQ('In Process Calc.'!$AJ$3:$AJ$193,'In Process Calc.'!$U$3:$U$193)</f>
        <v>0.74424246914061953</v>
      </c>
      <c r="I27" s="197"/>
      <c r="J27" s="203" t="s">
        <v>419</v>
      </c>
      <c r="K27" s="199" t="s">
        <v>286</v>
      </c>
      <c r="L27" s="174" cm="1">
        <f t="array" ref="L27">IF($J27="Yes", SLOPE(IF('In Process Calc.'!$A$3:$A$193&lt;=NS,'In Process Calc.'!$AJ$3:$AJ$193),IF('In Process Calc.'!$A$3:$A$193&lt;=NS,'In Process Calc.'!$U$3:$U$193)),$F27)</f>
        <v>-0.27631706362897024</v>
      </c>
      <c r="M27" s="173"/>
      <c r="N27" s="174" cm="1">
        <f t="array" ref="N27">IF($J27="Yes", RSQ(IF('In Process Calc.'!$A$3:$A$193&lt;=NS,'In Process Calc.'!$AJ$3:$AJ$193),IF('In Process Calc.'!$A$3:$A$193&lt;=NS,'In Process Calc.'!$U$3:$U$193)),$H27)</f>
        <v>0.74424246914061953</v>
      </c>
      <c r="O27" s="197"/>
      <c r="P27" s="174" cm="1">
        <f t="array" ref="P27">IF($J27="Yes", SLOPE(IF('In Process Calc.'!$A$3:$A$193&gt;NS, 'In Process Calc.'!$AJ$3:$AJ$193),IF('In Process Calc.'!$A$3:$A$193&gt;NS,'In Process Calc.'!$U$3:$U$193)), $F27)</f>
        <v>-0.27631706362897024</v>
      </c>
      <c r="Q27" s="173"/>
      <c r="R27" s="176" cm="1">
        <f t="array" ref="R27">IF($J27="Yes", RSQ(IF('In Process Calc.'!$A$3:$A$193&gt;NS, 'In Process Calc.'!$AJ$3:$AJ$193),IF('In Process Calc.'!$A$3:$A$193&gt;NS,'In Process Calc.'!$U$3:$U$193)), $H27)</f>
        <v>0.74424246914061953</v>
      </c>
      <c r="T27" s="547"/>
      <c r="U27" s="548"/>
      <c r="V27" s="549"/>
      <c r="W27" s="554"/>
      <c r="X27" s="556"/>
    </row>
    <row r="28" spans="1:24" ht="17" thickBot="1">
      <c r="A28" s="188" t="s">
        <v>287</v>
      </c>
      <c r="B28" s="189"/>
      <c r="C28" s="200"/>
      <c r="D28" s="178">
        <v>0.15</v>
      </c>
      <c r="E28" s="179"/>
      <c r="F28" s="178">
        <f>SLOPE('In Process Calc.'!$AK$3:$AK$193,'In Process Calc.'!$U$3:$U$193)</f>
        <v>0.44935887340627073</v>
      </c>
      <c r="G28" s="179"/>
      <c r="H28" s="178">
        <f>RSQ('In Process Calc.'!$AK$3:$AK$193,'In Process Calc.'!$U$3:$U$193)</f>
        <v>0.24193066037404959</v>
      </c>
      <c r="I28" s="201"/>
      <c r="J28" s="204" t="s">
        <v>420</v>
      </c>
      <c r="K28" s="202" t="s">
        <v>287</v>
      </c>
      <c r="L28" s="178" cm="1">
        <f t="array" ref="L28">IF($J28="Yes", SLOPE(IF('In Process Calc.'!$A$3:$A$193&lt;=NS,'In Process Calc.'!$AK$3:$AK$193),IF('In Process Calc.'!$A$3:$A$193&lt;=NS,'In Process Calc.'!$U$3:$U$193)),$F28)</f>
        <v>0.56337739726091973</v>
      </c>
      <c r="M28" s="179"/>
      <c r="N28" s="178" cm="1">
        <f t="array" ref="N28">IF($J28="Yes", RSQ(IF('In Process Calc.'!$A$3:$A$193&lt;=NS,'In Process Calc.'!$AK$3:$AK$193),IF('In Process Calc.'!$A$3:$A$193&lt;=NS,'In Process Calc.'!$U$3:$U$193)),$H28)</f>
        <v>0.63266747224262176</v>
      </c>
      <c r="O28" s="201"/>
      <c r="P28" s="178" cm="1">
        <f t="array" ref="P28">IF($J28="Yes", SLOPE(IF('In Process Calc.'!$A$3:$A$193&gt;NS, 'In Process Calc.'!$AK$3:$AK$193),IF('In Process Calc.'!$A$3:$A$193&gt;NS,'In Process Calc.'!$U$3:$U$193)), $F28)</f>
        <v>3.2605886839658607</v>
      </c>
      <c r="Q28" s="179"/>
      <c r="R28" s="180" cm="1">
        <f t="array" ref="R28">IF($J28="Yes", RSQ(IF('In Process Calc.'!$A$3:$A$193&gt;NS, 'In Process Calc.'!$AK$3:$AK$193),IF('In Process Calc.'!$A$3:$A$193&gt;NS,'In Process Calc.'!$U$3:$U$193)), $H28)</f>
        <v>0.9380488533807847</v>
      </c>
      <c r="T28" s="550"/>
      <c r="U28" s="551"/>
      <c r="V28" s="552"/>
      <c r="W28" s="71">
        <v>11</v>
      </c>
      <c r="X28" s="70">
        <f>VLOOKUP(W28,'In Process Calc.'!A3:B93,2)</f>
        <v>10.913194444445253</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426</v>
      </c>
      <c r="B2" s="137" t="s">
        <v>430</v>
      </c>
      <c r="C2" s="138"/>
      <c r="D2" s="68"/>
      <c r="E2" s="139" t="s">
        <v>427</v>
      </c>
      <c r="F2" s="140" t="s">
        <v>430</v>
      </c>
      <c r="G2" s="141"/>
      <c r="H2" s="141"/>
      <c r="I2" s="141"/>
      <c r="J2" s="141"/>
      <c r="K2" s="141"/>
      <c r="L2" s="141"/>
      <c r="M2" s="141"/>
      <c r="N2" s="141"/>
      <c r="O2" s="141"/>
      <c r="P2" s="141"/>
      <c r="Q2" s="141"/>
    </row>
    <row r="3" spans="1:22" s="5" customFormat="1" ht="29" customHeight="1">
      <c r="A3" s="142" t="s">
        <v>143</v>
      </c>
      <c r="B3" s="143" t="str">
        <f>_xlfn.CONCAT("Beginning through ", 24*ROUND('Stoichiometric Ratios'!X28,2), " hrs")</f>
        <v>Beginning through 261.84 hrs</v>
      </c>
      <c r="C3" s="143" t="str">
        <f>_xlfn.CONCAT(24*ROUND('Stoichiometric Ratios'!X28,2), " hrs through End")</f>
        <v>261.84 hrs through End</v>
      </c>
      <c r="D3" s="144"/>
      <c r="E3" s="145" t="s">
        <v>384</v>
      </c>
      <c r="F3" s="146">
        <f>'In Process Calc.'!$C4</f>
        <v>21.28333333338378</v>
      </c>
      <c r="G3" s="146">
        <f>'In Process Calc.'!$C5</f>
        <v>48.550000000046566</v>
      </c>
      <c r="H3" s="146">
        <f>'In Process Calc.'!$C6</f>
        <v>71.050000000046566</v>
      </c>
      <c r="I3" s="146">
        <f>'In Process Calc.'!$C7</f>
        <v>95.53333333338378</v>
      </c>
      <c r="J3" s="146">
        <f>'In Process Calc.'!$C8</f>
        <v>115.96666666679084</v>
      </c>
      <c r="K3" s="146">
        <f>'In Process Calc.'!$C9</f>
        <v>141.16666666668607</v>
      </c>
      <c r="L3" s="146">
        <f>'In Process Calc.'!$C10</f>
        <v>164.81666666676756</v>
      </c>
      <c r="M3" s="146">
        <f>'In Process Calc.'!$C11</f>
        <v>189.19999999995343</v>
      </c>
      <c r="N3" s="146">
        <f>'In Process Calc.'!$C12</f>
        <v>213.14999999996508</v>
      </c>
      <c r="O3" s="146" t="e">
        <f>'In Process Calc.'!#REF!</f>
        <v>#REF!</v>
      </c>
      <c r="P3" s="146" t="e">
        <f>'In Process Calc.'!#REF!</f>
        <v>#REF!</v>
      </c>
      <c r="Q3" s="146" t="e">
        <f>'In Process Calc.'!#REF!</f>
        <v>#REF!</v>
      </c>
      <c r="R3" s="4"/>
      <c r="S3" s="4"/>
      <c r="T3" s="4"/>
      <c r="U3" s="4"/>
      <c r="V3" s="24"/>
    </row>
    <row r="4" spans="1:22">
      <c r="A4" s="147" t="s">
        <v>400</v>
      </c>
      <c r="B4" s="234" cm="1">
        <f t="array" ref="B4">-SLOPE(IF('In Process Calc.'!$A$3:$A$93&lt;=NS, 'In Process Calc.'!$N$3:$N$93),IF('In Process Calc.'!$A$3:$A$93 &lt;=NS, 'In Process Calc.'!$T$3:$T$93))*B$15/22.53</f>
        <v>0.10334324577348004</v>
      </c>
      <c r="C4" s="234" cm="1">
        <f t="array" ref="C4">-SLOPE(IF('In Process Calc.'!$A$3:$A$93&gt;NS, 'In Process Calc.'!$N$3:$N$93),IF('In Process Calc.'!$A$3:$A$93&gt;NS, 'In Process Calc.'!$T$3:$T$93))*C$15/22.53</f>
        <v>4.9723144435398485E-2</v>
      </c>
      <c r="D4" s="148"/>
      <c r="E4" s="149" t="s">
        <v>400</v>
      </c>
      <c r="F4" s="236">
        <f>'Post Process Calc.'!$E4/22.53</f>
        <v>-0.84017052304798157</v>
      </c>
      <c r="G4" s="236">
        <f>'Post Process Calc.'!$E5/22.53</f>
        <v>-6.8610904966534242E-2</v>
      </c>
      <c r="H4" s="236">
        <f>'Post Process Calc.'!$E6/22.53</f>
        <v>0.11318189923091293</v>
      </c>
      <c r="I4" s="236">
        <f>'Post Process Calc.'!$E7/22.53</f>
        <v>0.14301367579680269</v>
      </c>
      <c r="J4" s="236">
        <f>'Post Process Calc.'!$E8/22.53</f>
        <v>0.13625843241401148</v>
      </c>
      <c r="K4" s="236">
        <f>'Post Process Calc.'!$E9/22.53</f>
        <v>0.10981315358196074</v>
      </c>
      <c r="L4" s="236">
        <f>'Post Process Calc.'!$E10/22.53</f>
        <v>9.048779870911125E-2</v>
      </c>
      <c r="M4" s="236">
        <f>'Post Process Calc.'!$E11/22.53</f>
        <v>8.0259784759599828E-2</v>
      </c>
      <c r="N4" s="236">
        <f>'Post Process Calc.'!$E12/22.53</f>
        <v>7.2342910062090357E-2</v>
      </c>
      <c r="O4" s="236">
        <f>'Post Process Calc.'!$E13/22.53</f>
        <v>7.2934763030679806E-2</v>
      </c>
      <c r="P4" s="236">
        <f>'Post Process Calc.'!$E14/22.53</f>
        <v>7.1917418224231117E-2</v>
      </c>
      <c r="Q4" s="236">
        <f>'Post Process Calc.'!$E15/22.53</f>
        <v>7.8010777045432508E-2</v>
      </c>
      <c r="R4" s="6"/>
      <c r="S4" s="6"/>
      <c r="T4" s="6"/>
      <c r="U4" s="6"/>
      <c r="V4" s="6"/>
    </row>
    <row r="5" spans="1:22">
      <c r="A5" s="150" t="s">
        <v>65</v>
      </c>
      <c r="B5" s="234">
        <v>0</v>
      </c>
      <c r="C5" s="234">
        <v>0</v>
      </c>
      <c r="D5" s="151"/>
      <c r="E5" s="149" t="s">
        <v>65</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406</v>
      </c>
      <c r="B6" s="235">
        <v>0</v>
      </c>
      <c r="C6" s="235">
        <v>0</v>
      </c>
      <c r="D6" s="151"/>
      <c r="E6" s="152" t="s">
        <v>144</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66</v>
      </c>
      <c r="B7" s="234">
        <f>'Stoichiometric Ratios'!$L9*'Specific Rate Tables'!$B$16</f>
        <v>9.8618532119671611E-3</v>
      </c>
      <c r="C7" s="234">
        <f>'Stoichiometric Ratios'!$P9*'Specific Rate Tables'!$C$16</f>
        <v>-3.0524466617464401E-3</v>
      </c>
      <c r="D7" s="151"/>
      <c r="E7" s="149" t="s">
        <v>66</v>
      </c>
      <c r="F7" s="237">
        <f>-'Post Process Calc.'!$F4</f>
        <v>-9.8495624353183611E-2</v>
      </c>
      <c r="G7" s="237">
        <f>-'Post Process Calc.'!$F5</f>
        <v>7.8687591101249867E-3</v>
      </c>
      <c r="H7" s="237">
        <f>-'Post Process Calc.'!$F6</f>
        <v>2.5597997605620416E-2</v>
      </c>
      <c r="I7" s="237">
        <f>-'Post Process Calc.'!$F7</f>
        <v>2.3238437545949595E-2</v>
      </c>
      <c r="J7" s="237">
        <f>-'Post Process Calc.'!$F8</f>
        <v>1.8925970705394066E-2</v>
      </c>
      <c r="K7" s="237">
        <f>-'Post Process Calc.'!$F9</f>
        <v>1.2674397591816541E-2</v>
      </c>
      <c r="L7" s="237">
        <f>-'Post Process Calc.'!$F10</f>
        <v>8.4957279563395785E-3</v>
      </c>
      <c r="M7" s="237">
        <f>-'Post Process Calc.'!$F11</f>
        <v>5.624503712637602E-3</v>
      </c>
      <c r="N7" s="237">
        <f>-'Post Process Calc.'!$F12</f>
        <v>3.1661760472056137E-3</v>
      </c>
      <c r="O7" s="237">
        <f>-'Post Process Calc.'!$F13</f>
        <v>8.4871495735689556E-4</v>
      </c>
      <c r="P7" s="237">
        <f>-'Post Process Calc.'!$F14</f>
        <v>-1.7606608390506489E-3</v>
      </c>
      <c r="Q7" s="237">
        <f>-'Post Process Calc.'!$F15</f>
        <v>-5.2358363026922781E-3</v>
      </c>
      <c r="R7" s="7"/>
      <c r="S7" s="7"/>
      <c r="T7" s="7"/>
      <c r="U7" s="7"/>
      <c r="V7" s="7"/>
    </row>
    <row r="8" spans="1:22">
      <c r="A8" s="150" t="s">
        <v>67</v>
      </c>
      <c r="B8" s="234">
        <f>'Stoichiometric Ratios'!$L10*'Specific Rate Tables'!$B$16</f>
        <v>1.0777112908820666E-3</v>
      </c>
      <c r="C8" s="234">
        <f>'Stoichiometric Ratios'!$P10*'Specific Rate Tables'!$C$16</f>
        <v>-9.2004607639770359E-4</v>
      </c>
      <c r="D8" s="151"/>
      <c r="E8" s="149" t="s">
        <v>67</v>
      </c>
      <c r="F8" s="237">
        <f>-'Post Process Calc.'!$G4</f>
        <v>1.4785226862303721E-3</v>
      </c>
      <c r="G8" s="237">
        <f>-'Post Process Calc.'!$G5</f>
        <v>4.9375296149146023E-3</v>
      </c>
      <c r="H8" s="237">
        <f>-'Post Process Calc.'!$G6</f>
        <v>4.148483595207972E-3</v>
      </c>
      <c r="I8" s="237">
        <f>-'Post Process Calc.'!$G7</f>
        <v>2.7172100479731522E-3</v>
      </c>
      <c r="J8" s="237">
        <f>-'Post Process Calc.'!$G8</f>
        <v>1.8519912771189824E-3</v>
      </c>
      <c r="K8" s="237">
        <f>-'Post Process Calc.'!$G9</f>
        <v>1.0037762621890576E-3</v>
      </c>
      <c r="L8" s="237">
        <f>-'Post Process Calc.'!$G10</f>
        <v>5.0553532442258731E-4</v>
      </c>
      <c r="M8" s="237">
        <f>-'Post Process Calc.'!$G11</f>
        <v>1.5896545812900945E-4</v>
      </c>
      <c r="N8" s="237">
        <f>-'Post Process Calc.'!$G12</f>
        <v>-1.2635059406216549E-4</v>
      </c>
      <c r="O8" s="237">
        <f>-'Post Process Calc.'!$G13</f>
        <v>-4.6345487833054824E-4</v>
      </c>
      <c r="P8" s="237">
        <f>-'Post Process Calc.'!$G14</f>
        <v>-8.22879450273814E-4</v>
      </c>
      <c r="Q8" s="237">
        <f>-'Post Process Calc.'!$G15</f>
        <v>-1.3862870741595172E-3</v>
      </c>
      <c r="R8" s="7"/>
      <c r="S8" s="7"/>
      <c r="T8" s="7"/>
      <c r="U8" s="7"/>
      <c r="V8" s="7"/>
    </row>
    <row r="9" spans="1:22">
      <c r="A9" s="150" t="s">
        <v>68</v>
      </c>
      <c r="B9" s="234">
        <f>'Stoichiometric Ratios'!$L11*'Specific Rate Tables'!$B$16</f>
        <v>-1.0841953386819241E-2</v>
      </c>
      <c r="C9" s="234">
        <f>'Stoichiometric Ratios'!$P11*'Specific Rate Tables'!$C$16</f>
        <v>-9.1381161839549616E-6</v>
      </c>
      <c r="D9" s="151"/>
      <c r="E9" s="149" t="s">
        <v>68</v>
      </c>
      <c r="F9" s="237">
        <f>-'Post Process Calc.'!$H4</f>
        <v>-3.3605251098454407E-2</v>
      </c>
      <c r="G9" s="237">
        <f>-'Post Process Calc.'!$H5</f>
        <v>-1.4326743173083321E-3</v>
      </c>
      <c r="H9" s="237">
        <f>-'Post Process Calc.'!$H6</f>
        <v>7.8041664401997429E-5</v>
      </c>
      <c r="I9" s="237">
        <f>-'Post Process Calc.'!$H7</f>
        <v>-2.192933562696698E-3</v>
      </c>
      <c r="J9" s="237">
        <f>-'Post Process Calc.'!$H8</f>
        <v>-3.7030804665030264E-3</v>
      </c>
      <c r="K9" s="237">
        <f>-'Post Process Calc.'!$H9</f>
        <v>-4.3053082141014101E-3</v>
      </c>
      <c r="L9" s="237">
        <f>-'Post Process Calc.'!$H10</f>
        <v>-4.2806759663201865E-3</v>
      </c>
      <c r="M9" s="237">
        <f>-'Post Process Calc.'!$H11</f>
        <v>-4.126163794069348E-3</v>
      </c>
      <c r="N9" s="237">
        <f>-'Post Process Calc.'!$H12</f>
        <v>-3.7189671648012765E-3</v>
      </c>
      <c r="O9" s="237">
        <f>-'Post Process Calc.'!$H13</f>
        <v>-3.3720608448230905E-3</v>
      </c>
      <c r="P9" s="237">
        <f>-'Post Process Calc.'!$H14</f>
        <v>-2.2929165592122111E-3</v>
      </c>
      <c r="Q9" s="237">
        <f>-'Post Process Calc.'!$H15</f>
        <v>-5.9009153747328371E-4</v>
      </c>
      <c r="R9" s="7"/>
      <c r="S9" s="7"/>
      <c r="T9" s="7"/>
      <c r="U9" s="7"/>
      <c r="V9" s="7"/>
    </row>
    <row r="10" spans="1:22">
      <c r="A10" s="150" t="s">
        <v>395</v>
      </c>
      <c r="B10" s="234">
        <f>'Stoichiometric Ratios'!$L12*'Specific Rate Tables'!$B$16</f>
        <v>1.7136536161359559E-3</v>
      </c>
      <c r="C10" s="234">
        <f>'Stoichiometric Ratios'!$P12*'Specific Rate Tables'!$C$16</f>
        <v>-1.4155081971693048E-4</v>
      </c>
      <c r="D10" s="151"/>
      <c r="E10" s="149" t="s">
        <v>69</v>
      </c>
      <c r="F10" s="237">
        <f>-'Post Process Calc.'!$I4</f>
        <v>-7.0182415339087187E-2</v>
      </c>
      <c r="G10" s="237">
        <f>-'Post Process Calc.'!$I5</f>
        <v>1.4355056811020956E-3</v>
      </c>
      <c r="H10" s="237">
        <f>-'Post Process Calc.'!$I6</f>
        <v>1.140001204610081E-2</v>
      </c>
      <c r="I10" s="237">
        <f>-'Post Process Calc.'!$I7</f>
        <v>9.3529770842386336E-3</v>
      </c>
      <c r="J10" s="237">
        <f>-'Post Process Calc.'!$I8</f>
        <v>6.6136363825725379E-3</v>
      </c>
      <c r="K10" s="237">
        <f>-'Post Process Calc.'!$I9</f>
        <v>3.4734303654749901E-3</v>
      </c>
      <c r="L10" s="237">
        <f>-'Post Process Calc.'!$I10</f>
        <v>1.6319023076364571E-3</v>
      </c>
      <c r="M10" s="237">
        <f>-'Post Process Calc.'!$I11</f>
        <v>4.816587839801346E-4</v>
      </c>
      <c r="N10" s="237">
        <f>-'Post Process Calc.'!$I12</f>
        <v>-2.6844958604214312E-4</v>
      </c>
      <c r="O10" s="237">
        <f>-'Post Process Calc.'!$I13</f>
        <v>-8.1739620857980725E-4</v>
      </c>
      <c r="P10" s="237">
        <f>-'Post Process Calc.'!$I14</f>
        <v>-1.0835911789715722E-3</v>
      </c>
      <c r="Q10" s="237">
        <f>-'Post Process Calc.'!$I15</f>
        <v>-1.1610614637019526E-3</v>
      </c>
      <c r="R10" s="7"/>
      <c r="S10" s="7"/>
      <c r="T10" s="7"/>
      <c r="U10" s="7"/>
      <c r="V10" s="7"/>
    </row>
    <row r="11" spans="1:22">
      <c r="A11" s="150" t="s">
        <v>70</v>
      </c>
      <c r="B11" s="234">
        <f>-SUMIF('In Process Calc.'!$A$4:$A$93,"&lt;="&amp;NS,'In Process Calc.'!$AS$4:$AS$93)/COUNTIF('In Process Calc.'!$A$4:$A$93,"&lt;="&amp;NS)*240/25.474</f>
        <v>-0.14627708172598713</v>
      </c>
      <c r="C11" s="234">
        <f>-SUMIF('In Process Calc.'!$A$4:$A$93,"&gt;"&amp;NS,'In Process Calc.'!$AS$4:$AS$93)/COUNTIF('In Process Calc.'!$A$4:$A$93,"&gt;"&amp;NS)*240/25.474</f>
        <v>1.2330550136480914E-2</v>
      </c>
      <c r="D11" s="151"/>
      <c r="E11" s="149" t="s">
        <v>70</v>
      </c>
      <c r="F11" s="236">
        <f>'Post Process Calc.'!$C4*240/25.474</f>
        <v>0.24353539180683137</v>
      </c>
      <c r="G11" s="236">
        <f>'Post Process Calc.'!$C5*240/25.474</f>
        <v>0.23695529658506942</v>
      </c>
      <c r="H11" s="236">
        <f>'Post Process Calc.'!$C6*240/25.474</f>
        <v>0.22721656110046431</v>
      </c>
      <c r="I11" s="236">
        <f>'Post Process Calc.'!$C7*240/25.474</f>
        <v>0.20967556492311731</v>
      </c>
      <c r="J11" s="236">
        <f>'Post Process Calc.'!$C8*240/25.474</f>
        <v>0.18782688195740346</v>
      </c>
      <c r="K11" s="236">
        <f>'Post Process Calc.'!$C9*240/25.474</f>
        <v>0.15184283326252254</v>
      </c>
      <c r="L11" s="236">
        <f>'Post Process Calc.'!$C10*240/25.474</f>
        <v>0.11305636575582075</v>
      </c>
      <c r="M11" s="236">
        <f>'Post Process Calc.'!$C11*240/25.474</f>
        <v>7.5435801817083994E-2</v>
      </c>
      <c r="N11" s="236">
        <f>'Post Process Calc.'!$C12*240/25.474</f>
        <v>4.6554277812333275E-2</v>
      </c>
      <c r="O11" s="236">
        <f>'Post Process Calc.'!$C13*240/25.474</f>
        <v>2.6282278704835307E-2</v>
      </c>
      <c r="P11" s="236">
        <f>'Post Process Calc.'!$C14*240/25.474</f>
        <v>1.4752114723067485E-2</v>
      </c>
      <c r="Q11" s="236">
        <f>'Post Process Calc.'!$C15*240/25.474</f>
        <v>8.2335433646655281E-3</v>
      </c>
      <c r="R11" s="6"/>
      <c r="S11" s="6"/>
      <c r="T11" s="6"/>
      <c r="U11" s="6"/>
      <c r="V11" s="6"/>
    </row>
    <row r="12" spans="1:22">
      <c r="A12" s="150" t="s">
        <v>71</v>
      </c>
      <c r="B12" s="234">
        <f>-B42</f>
        <v>0</v>
      </c>
      <c r="C12" s="234">
        <f>-C42</f>
        <v>0</v>
      </c>
      <c r="D12" s="151"/>
      <c r="E12" s="149" t="s">
        <v>71</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72</v>
      </c>
      <c r="B13" s="234">
        <f>'Stoichiometric Ratios'!$L13*'Specific Rate Tables'!$B$16</f>
        <v>-1.6838681872676058E-3</v>
      </c>
      <c r="C13" s="234">
        <f>'Stoichiometric Ratios'!$P13*'Specific Rate Tables'!$C$16</f>
        <v>5.8294850289963959E-4</v>
      </c>
      <c r="D13" s="153"/>
      <c r="E13" s="149" t="s">
        <v>72</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73</v>
      </c>
      <c r="B14" s="235">
        <v>0</v>
      </c>
      <c r="C14" s="235">
        <v>0</v>
      </c>
      <c r="D14" s="153"/>
      <c r="E14" s="149" t="s">
        <v>73</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74</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74</v>
      </c>
      <c r="F15" s="237">
        <f>-'Post Process Calc.'!$K4</f>
        <v>-4.0979128707748252E-2</v>
      </c>
      <c r="G15" s="237">
        <f>-'Post Process Calc.'!$K5</f>
        <v>-0.10944412662374273</v>
      </c>
      <c r="H15" s="237">
        <f>-'Post Process Calc.'!$K6</f>
        <v>-0.10183961855854926</v>
      </c>
      <c r="I15" s="237">
        <f>-'Post Process Calc.'!$K7</f>
        <v>-7.9229038056036358E-2</v>
      </c>
      <c r="J15" s="237">
        <f>-'Post Process Calc.'!$K8</f>
        <v>-6.6036572777094044E-2</v>
      </c>
      <c r="K15" s="237">
        <f>-'Post Process Calc.'!$K9</f>
        <v>-4.9899925349047344E-2</v>
      </c>
      <c r="L15" s="237">
        <f>-'Post Process Calc.'!$K10</f>
        <v>-4.0591282479987778E-2</v>
      </c>
      <c r="M15" s="237">
        <f>-'Post Process Calc.'!$K11</f>
        <v>-3.6523069295356467E-2</v>
      </c>
      <c r="N15" s="237">
        <f>-'Post Process Calc.'!$K12</f>
        <v>-3.4031186971645651E-2</v>
      </c>
      <c r="O15" s="237">
        <f>-'Post Process Calc.'!$K13</f>
        <v>-3.6115258863786089E-2</v>
      </c>
      <c r="P15" s="237">
        <f>-'Post Process Calc.'!$K14</f>
        <v>-3.7909932102069825E-2</v>
      </c>
      <c r="Q15" s="237">
        <f>-'Post Process Calc.'!$K15</f>
        <v>-4.4297629416349911E-2</v>
      </c>
      <c r="R15" s="7"/>
      <c r="S15" s="7"/>
      <c r="T15" s="7"/>
      <c r="U15" s="7"/>
      <c r="V15" s="7"/>
    </row>
    <row r="16" spans="1:22">
      <c r="A16" s="150" t="s">
        <v>401</v>
      </c>
      <c r="B16" s="234">
        <f>'Stoichiometric Ratios'!L4*'Specific Rate Tables'!B15</f>
        <v>8.7442705338494162E-3</v>
      </c>
      <c r="C16" s="234">
        <f>'Stoichiometric Ratios'!P4*'Specific Rate Tables'!C15</f>
        <v>-8.1759493267303477E-4</v>
      </c>
      <c r="D16" s="153"/>
      <c r="E16" s="149" t="s">
        <v>75</v>
      </c>
      <c r="F16" s="237">
        <f>-'Post Process Calc.'!$L4</f>
        <v>2.1788301503209831E-2</v>
      </c>
      <c r="G16" s="237">
        <f>-'Post Process Calc.'!$L5</f>
        <v>7.4697979419109453E-3</v>
      </c>
      <c r="H16" s="237">
        <f>-'Post Process Calc.'!$L6</f>
        <v>2.7196515941778536E-3</v>
      </c>
      <c r="I16" s="237">
        <f>-'Post Process Calc.'!$L7</f>
        <v>3.8903542654517547E-3</v>
      </c>
      <c r="J16" s="237">
        <f>-'Post Process Calc.'!$L8</f>
        <v>5.6348922878439274E-3</v>
      </c>
      <c r="K16" s="237">
        <f>-'Post Process Calc.'!$L9</f>
        <v>6.1506280205075731E-3</v>
      </c>
      <c r="L16" s="237">
        <f>-'Post Process Calc.'!$L10</f>
        <v>5.4383264897684561E-3</v>
      </c>
      <c r="M16" s="237">
        <f>-'Post Process Calc.'!$L11</f>
        <v>4.0351184838348046E-3</v>
      </c>
      <c r="N16" s="237">
        <f>-'Post Process Calc.'!$L12</f>
        <v>1.9577392315362927E-3</v>
      </c>
      <c r="O16" s="237">
        <f>-'Post Process Calc.'!$L13</f>
        <v>-6.935851052849209E-4</v>
      </c>
      <c r="P16" s="237">
        <f>-'Post Process Calc.'!$L14</f>
        <v>-3.3639362758156456E-3</v>
      </c>
      <c r="Q16" s="237">
        <f>-'Post Process Calc.'!$L15</f>
        <v>-5.3290088709318836E-3</v>
      </c>
      <c r="R16" s="7"/>
      <c r="S16" s="7"/>
      <c r="T16" s="7"/>
      <c r="U16" s="7"/>
      <c r="V16" s="7"/>
    </row>
    <row r="17" spans="1:22">
      <c r="A17" s="150" t="s">
        <v>394</v>
      </c>
      <c r="B17" s="234">
        <f>'Stoichiometric Ratios'!$L14*'Specific Rate Tables'!$B$16</f>
        <v>1.7954534472499672E-2</v>
      </c>
      <c r="C17" s="234">
        <f>'Stoichiometric Ratios'!$P14*'Specific Rate Tables'!$C$16</f>
        <v>-3.2182740187423555E-3</v>
      </c>
      <c r="D17" s="153"/>
      <c r="E17" s="149" t="s">
        <v>76</v>
      </c>
      <c r="F17" s="237">
        <f>-'Post Process Calc.'!$M4</f>
        <v>0.38333781517343507</v>
      </c>
      <c r="G17" s="237">
        <f>-'Post Process Calc.'!$M5</f>
        <v>0.191712929183664</v>
      </c>
      <c r="H17" s="237">
        <f>-'Post Process Calc.'!$M6</f>
        <v>0.10160692279135072</v>
      </c>
      <c r="I17" s="237">
        <f>-'Post Process Calc.'!$M7</f>
        <v>4.9557787001092035E-2</v>
      </c>
      <c r="J17" s="237">
        <f>-'Post Process Calc.'!$M8</f>
        <v>2.8607657498844776E-2</v>
      </c>
      <c r="K17" s="237">
        <f>-'Post Process Calc.'!$M9</f>
        <v>1.3033708447694102E-2</v>
      </c>
      <c r="L17" s="237">
        <f>-'Post Process Calc.'!$M10</f>
        <v>5.4491736343254141E-3</v>
      </c>
      <c r="M17" s="237">
        <f>-'Post Process Calc.'!$M11</f>
        <v>8.3733967400339887E-4</v>
      </c>
      <c r="N17" s="237">
        <f>-'Post Process Calc.'!$M12</f>
        <v>-2.5430596236326922E-3</v>
      </c>
      <c r="O17" s="237">
        <f>-'Post Process Calc.'!$M13</f>
        <v>-6.1191617135623452E-3</v>
      </c>
      <c r="P17" s="237">
        <f>-'Post Process Calc.'!$M14</f>
        <v>-9.6328750469324622E-3</v>
      </c>
      <c r="Q17" s="237">
        <f>-'Post Process Calc.'!$M15</f>
        <v>-1.4789556669808459E-2</v>
      </c>
      <c r="R17" s="7"/>
      <c r="S17" s="7"/>
      <c r="T17" s="7"/>
      <c r="U17" s="7"/>
      <c r="V17" s="7"/>
    </row>
    <row r="18" spans="1:22">
      <c r="A18" s="150" t="s">
        <v>77</v>
      </c>
      <c r="B18" s="234">
        <f>'Stoichiometric Ratios'!$L15*'Specific Rate Tables'!$B$16</f>
        <v>9.6675903352683038E-4</v>
      </c>
      <c r="C18" s="234">
        <f>'Stoichiometric Ratios'!$P15*'Specific Rate Tables'!$C$16</f>
        <v>2.2262678562251286E-3</v>
      </c>
      <c r="D18" s="153"/>
      <c r="E18" s="149" t="s">
        <v>77</v>
      </c>
      <c r="F18" s="237">
        <f>-'Post Process Calc.'!$N4</f>
        <v>8.9430046535007093E-2</v>
      </c>
      <c r="G18" s="237">
        <f>-'Post Process Calc.'!$N5</f>
        <v>2.82486380780286E-2</v>
      </c>
      <c r="H18" s="237">
        <f>-'Post Process Calc.'!$N6</f>
        <v>8.9851294244339477E-3</v>
      </c>
      <c r="I18" s="237">
        <f>-'Post Process Calc.'!$N7</f>
        <v>1.5178732435344772E-3</v>
      </c>
      <c r="J18" s="237">
        <f>-'Post Process Calc.'!$N8</f>
        <v>-4.9672622057870348E-4</v>
      </c>
      <c r="K18" s="237">
        <f>-'Post Process Calc.'!$N9</f>
        <v>-1.1452350615696839E-3</v>
      </c>
      <c r="L18" s="237">
        <f>-'Post Process Calc.'!$N10</f>
        <v>-1.1281147740047387E-3</v>
      </c>
      <c r="M18" s="237">
        <f>-'Post Process Calc.'!$N11</f>
        <v>-9.8348781810847215E-4</v>
      </c>
      <c r="N18" s="237">
        <f>-'Post Process Calc.'!$N12</f>
        <v>-7.562046974048072E-4</v>
      </c>
      <c r="O18" s="237">
        <f>-'Post Process Calc.'!$N13</f>
        <v>-5.18333355276236E-4</v>
      </c>
      <c r="P18" s="237">
        <f>-'Post Process Calc.'!$N14</f>
        <v>-1.8386966689654344E-4</v>
      </c>
      <c r="Q18" s="237">
        <f>-'Post Process Calc.'!$N15</f>
        <v>2.6399050308210844E-4</v>
      </c>
      <c r="R18" s="7"/>
      <c r="S18" s="7"/>
      <c r="T18" s="7"/>
      <c r="U18" s="7"/>
      <c r="V18" s="7"/>
    </row>
    <row r="19" spans="1:22">
      <c r="A19" s="150" t="s">
        <v>78</v>
      </c>
      <c r="B19" s="234">
        <f>'Stoichiometric Ratios'!$L16*'Specific Rate Tables'!$B$16</f>
        <v>-6.6408445468268398E-4</v>
      </c>
      <c r="C19" s="234">
        <f>'Stoichiometric Ratios'!$P16*'Specific Rate Tables'!$C$16</f>
        <v>-2.3208924112191971E-4</v>
      </c>
      <c r="D19" s="153"/>
      <c r="E19" s="149" t="s">
        <v>78</v>
      </c>
      <c r="F19" s="237">
        <f>-'Post Process Calc.'!$O4</f>
        <v>1.8304527758454803E-2</v>
      </c>
      <c r="G19" s="237">
        <f>-'Post Process Calc.'!$O5</f>
        <v>3.9208392085177558E-3</v>
      </c>
      <c r="H19" s="237">
        <f>-'Post Process Calc.'!$O6</f>
        <v>-2.2712067380807719E-5</v>
      </c>
      <c r="I19" s="237">
        <f>-'Post Process Calc.'!$O7</f>
        <v>-1.1647555349649226E-3</v>
      </c>
      <c r="J19" s="237">
        <f>-'Post Process Calc.'!$O8</f>
        <v>-1.3314261979544132E-3</v>
      </c>
      <c r="K19" s="237">
        <f>-'Post Process Calc.'!$O9</f>
        <v>-1.1554227359164143E-3</v>
      </c>
      <c r="L19" s="237">
        <f>-'Post Process Calc.'!$O10</f>
        <v>-9.6996334708924689E-4</v>
      </c>
      <c r="M19" s="237">
        <f>-'Post Process Calc.'!$O11</f>
        <v>-8.5463649164439499E-4</v>
      </c>
      <c r="N19" s="237">
        <f>-'Post Process Calc.'!$O12</f>
        <v>-7.5138667686655233E-4</v>
      </c>
      <c r="O19" s="237">
        <f>-'Post Process Calc.'!$O13</f>
        <v>-7.243922815979286E-4</v>
      </c>
      <c r="P19" s="237">
        <f>-'Post Process Calc.'!$O14</f>
        <v>-6.7090079231028465E-4</v>
      </c>
      <c r="Q19" s="237">
        <f>-'Post Process Calc.'!$O15</f>
        <v>-6.6697774458563048E-4</v>
      </c>
      <c r="R19" s="7"/>
      <c r="S19" s="7"/>
      <c r="T19" s="7"/>
      <c r="U19" s="7"/>
      <c r="V19" s="7"/>
    </row>
    <row r="20" spans="1:22">
      <c r="A20" s="150" t="s">
        <v>79</v>
      </c>
      <c r="B20" s="234">
        <f>'Stoichiometric Ratios'!$L17*'Specific Rate Tables'!$B$16</f>
        <v>5.0724952467586426E-4</v>
      </c>
      <c r="C20" s="234">
        <f>'Stoichiometric Ratios'!$P17*'Specific Rate Tables'!$C$16</f>
        <v>-4.6271848717495586E-5</v>
      </c>
      <c r="D20" s="153"/>
      <c r="E20" s="149" t="s">
        <v>79</v>
      </c>
      <c r="F20" s="237">
        <f>-'Post Process Calc.'!$P4</f>
        <v>2.8373910678298832E-2</v>
      </c>
      <c r="G20" s="237">
        <f>-'Post Process Calc.'!$P5</f>
        <v>1.3881564768262109E-2</v>
      </c>
      <c r="H20" s="237">
        <f>-'Post Process Calc.'!$P6</f>
        <v>7.114514006230495E-3</v>
      </c>
      <c r="I20" s="237">
        <f>-'Post Process Calc.'!$P7</f>
        <v>3.2566650942361256E-3</v>
      </c>
      <c r="J20" s="237">
        <f>-'Post Process Calc.'!$P8</f>
        <v>1.7081573493948744E-3</v>
      </c>
      <c r="K20" s="237">
        <f>-'Post Process Calc.'!$P9</f>
        <v>5.9271271556553132E-4</v>
      </c>
      <c r="L20" s="237">
        <f>-'Post Process Calc.'!$P10</f>
        <v>5.1790356899000314E-5</v>
      </c>
      <c r="M20" s="237">
        <f>-'Post Process Calc.'!$P11</f>
        <v>-3.0085902937307949E-4</v>
      </c>
      <c r="N20" s="237">
        <f>-'Post Process Calc.'!$P12</f>
        <v>-5.7004611917727671E-4</v>
      </c>
      <c r="O20" s="237">
        <f>-'Post Process Calc.'!$P13</f>
        <v>-9.0819877605983828E-4</v>
      </c>
      <c r="P20" s="237">
        <f>-'Post Process Calc.'!$P14</f>
        <v>-1.2418605046917352E-3</v>
      </c>
      <c r="Q20" s="237">
        <f>-'Post Process Calc.'!$P15</f>
        <v>-1.7722528723368579E-3</v>
      </c>
      <c r="R20" s="7"/>
      <c r="S20" s="7"/>
      <c r="T20" s="7"/>
      <c r="U20" s="7"/>
      <c r="V20" s="7"/>
    </row>
    <row r="21" spans="1:22">
      <c r="A21" s="150" t="s">
        <v>80</v>
      </c>
      <c r="B21" s="234">
        <f>'Stoichiometric Ratios'!L5*'Specific Rate Tables'!B15</f>
        <v>-1.2579481573773794E-2</v>
      </c>
      <c r="C21" s="234">
        <f>'Stoichiometric Ratios'!P5*'Specific Rate Tables'!C15</f>
        <v>-2.4981866599887684E-3</v>
      </c>
      <c r="D21" s="153"/>
      <c r="E21" s="149" t="s">
        <v>80</v>
      </c>
      <c r="F21" s="237">
        <f>'Post Process Calc.'!$Q4</f>
        <v>1.6113994448061195E-2</v>
      </c>
      <c r="G21" s="237">
        <f>'Post Process Calc.'!$Q5</f>
        <v>8.3067473273430462E-2</v>
      </c>
      <c r="H21" s="237">
        <f>'Post Process Calc.'!$Q6</f>
        <v>6.447816367453886E-2</v>
      </c>
      <c r="I21" s="237">
        <f>'Post Process Calc.'!$Q7</f>
        <v>3.6459594382270859E-2</v>
      </c>
      <c r="J21" s="237">
        <f>'Post Process Calc.'!$Q8</f>
        <v>2.0561896874776223E-2</v>
      </c>
      <c r="K21" s="237">
        <f>'Post Process Calc.'!$Q9</f>
        <v>7.2171226478049862E-3</v>
      </c>
      <c r="L21" s="237">
        <f>'Post Process Calc.'!$Q10</f>
        <v>4.872342888806082E-4</v>
      </c>
      <c r="M21" s="237">
        <f>'Post Process Calc.'!$Q11</f>
        <v>-3.3879665944314065E-3</v>
      </c>
      <c r="N21" s="237">
        <f>'Post Process Calc.'!$Q12</f>
        <v>-5.4346547775025603E-3</v>
      </c>
      <c r="O21" s="237">
        <f>'Post Process Calc.'!$Q13</f>
        <v>-6.8355867380543592E-3</v>
      </c>
      <c r="P21" s="237">
        <f>'Post Process Calc.'!$Q14</f>
        <v>-6.1209030930378036E-3</v>
      </c>
      <c r="Q21" s="237">
        <f>'Post Process Calc.'!$Q15</f>
        <v>-3.5160782177537792E-3</v>
      </c>
      <c r="R21" s="7"/>
      <c r="S21" s="7"/>
      <c r="T21" s="7"/>
      <c r="U21" s="7"/>
      <c r="V21" s="7"/>
    </row>
    <row r="22" spans="1:22">
      <c r="A22" s="150" t="s">
        <v>81</v>
      </c>
      <c r="B22" s="234">
        <f>'Stoichiometric Ratios'!$L18*'Specific Rate Tables'!$B$16</f>
        <v>-2.3354904713406913E-3</v>
      </c>
      <c r="C22" s="234">
        <f>'Stoichiometric Ratios'!$P18*'Specific Rate Tables'!$C$16</f>
        <v>-1.1193333395116765E-3</v>
      </c>
      <c r="D22" s="153"/>
      <c r="E22" s="149" t="s">
        <v>81</v>
      </c>
      <c r="F22" s="237">
        <f>-'Post Process Calc.'!$R4</f>
        <v>3.7002599268038464E-2</v>
      </c>
      <c r="G22" s="237">
        <f>-'Post Process Calc.'!$R5</f>
        <v>1.1808240335662988E-2</v>
      </c>
      <c r="H22" s="237">
        <f>-'Post Process Calc.'!$R6</f>
        <v>3.0817097597934323E-3</v>
      </c>
      <c r="I22" s="237">
        <f>-'Post Process Calc.'!$R7</f>
        <v>-5.7085096647091342E-4</v>
      </c>
      <c r="J22" s="237">
        <f>-'Post Process Calc.'!$R8</f>
        <v>-1.719430873729996E-3</v>
      </c>
      <c r="K22" s="237">
        <f>-'Post Process Calc.'!$R9</f>
        <v>-2.115462882837398E-3</v>
      </c>
      <c r="L22" s="237">
        <f>-'Post Process Calc.'!$R10</f>
        <v>-2.1954150057466285E-3</v>
      </c>
      <c r="M22" s="237">
        <f>-'Post Process Calc.'!$R11</f>
        <v>-2.3389817829336545E-3</v>
      </c>
      <c r="N22" s="237">
        <f>-'Post Process Calc.'!$R12</f>
        <v>-2.4688000210272834E-3</v>
      </c>
      <c r="O22" s="237">
        <f>-'Post Process Calc.'!$R13</f>
        <v>-2.9109187011895836E-3</v>
      </c>
      <c r="P22" s="237">
        <f>-'Post Process Calc.'!$R14</f>
        <v>-3.3231443486948296E-3</v>
      </c>
      <c r="Q22" s="237">
        <f>-'Post Process Calc.'!$R15</f>
        <v>-4.1728859651056468E-3</v>
      </c>
      <c r="R22" s="7"/>
      <c r="S22" s="7"/>
      <c r="T22" s="7"/>
      <c r="U22" s="7"/>
      <c r="V22" s="7"/>
    </row>
    <row r="23" spans="1:22">
      <c r="A23" s="150" t="s">
        <v>82</v>
      </c>
      <c r="B23" s="234">
        <f>'Stoichiometric Ratios'!$L19*'Specific Rate Tables'!$B$16</f>
        <v>8.4059077086394679E-4</v>
      </c>
      <c r="C23" s="234">
        <f>'Stoichiometric Ratios'!$P19*'Specific Rate Tables'!$C$16</f>
        <v>-1.9341456233125075E-3</v>
      </c>
      <c r="D23" s="153"/>
      <c r="E23" s="149" t="s">
        <v>82</v>
      </c>
      <c r="F23" s="237">
        <f>-'Post Process Calc.'!$S4</f>
        <v>3.092051520107186E-2</v>
      </c>
      <c r="G23" s="237">
        <f>-'Post Process Calc.'!$S5</f>
        <v>1.9268282505815224E-2</v>
      </c>
      <c r="H23" s="237">
        <f>-'Post Process Calc.'!$S6</f>
        <v>1.1168630200276915E-2</v>
      </c>
      <c r="I23" s="237">
        <f>-'Post Process Calc.'!$S7</f>
        <v>5.58778280513114E-3</v>
      </c>
      <c r="J23" s="237">
        <f>-'Post Process Calc.'!$S8</f>
        <v>3.0660991397779237E-3</v>
      </c>
      <c r="K23" s="237">
        <f>-'Post Process Calc.'!$S9</f>
        <v>1.0600018958451178E-3</v>
      </c>
      <c r="L23" s="237">
        <f>-'Post Process Calc.'!$S10</f>
        <v>-6.6887397350814649E-6</v>
      </c>
      <c r="M23" s="237">
        <f>-'Post Process Calc.'!$S11</f>
        <v>-7.7193130453476005E-4</v>
      </c>
      <c r="N23" s="237">
        <f>-'Post Process Calc.'!$S12</f>
        <v>-1.4031652078656557E-3</v>
      </c>
      <c r="O23" s="237">
        <f>-'Post Process Calc.'!$S13</f>
        <v>-2.2443424793877533E-3</v>
      </c>
      <c r="P23" s="237">
        <f>-'Post Process Calc.'!$S14</f>
        <v>-3.1048576192300166E-3</v>
      </c>
      <c r="Q23" s="237">
        <f>-'Post Process Calc.'!$S15</f>
        <v>-4.488009689259902E-3</v>
      </c>
      <c r="R23" s="7"/>
      <c r="S23" s="7"/>
      <c r="T23" s="7"/>
      <c r="U23" s="7"/>
      <c r="V23" s="7"/>
    </row>
    <row r="24" spans="1:22">
      <c r="A24" s="150" t="s">
        <v>83</v>
      </c>
      <c r="B24" s="234">
        <v>0</v>
      </c>
      <c r="C24" s="234">
        <v>0</v>
      </c>
      <c r="D24" s="153"/>
      <c r="E24" s="149" t="s">
        <v>83</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84</v>
      </c>
      <c r="B25" s="234">
        <f>'Stoichiometric Ratios'!$L20*'Specific Rate Tables'!$B$16</f>
        <v>-1.5170376102877142E-3</v>
      </c>
      <c r="C25" s="234">
        <f>'Stoichiometric Ratios'!$P20*'Specific Rate Tables'!$C$16</f>
        <v>4.5241268943844028E-4</v>
      </c>
      <c r="D25" s="153"/>
      <c r="E25" s="149" t="s">
        <v>84</v>
      </c>
      <c r="F25" s="237">
        <f>-'Post Process Calc.'!$T4</f>
        <v>-4.7293295876413479E-3</v>
      </c>
      <c r="G25" s="237">
        <f>-'Post Process Calc.'!$T5</f>
        <v>-6.1957086790605338E-3</v>
      </c>
      <c r="H25" s="237">
        <f>-'Post Process Calc.'!$T6</f>
        <v>-4.7999847190793735E-3</v>
      </c>
      <c r="I25" s="237">
        <f>-'Post Process Calc.'!$T7</f>
        <v>-3.1595062435130724E-3</v>
      </c>
      <c r="J25" s="237">
        <f>-'Post Process Calc.'!$T8</f>
        <v>-2.2824193900395063E-3</v>
      </c>
      <c r="K25" s="237">
        <f>-'Post Process Calc.'!$T9</f>
        <v>-1.4141295036574303E-3</v>
      </c>
      <c r="L25" s="237">
        <f>-'Post Process Calc.'!$T10</f>
        <v>-9.1762420588048467E-4</v>
      </c>
      <c r="M25" s="237">
        <f>-'Post Process Calc.'!$T11</f>
        <v>-6.095696423920713E-4</v>
      </c>
      <c r="N25" s="237">
        <f>-'Post Process Calc.'!$T12</f>
        <v>-3.6795662341660427E-4</v>
      </c>
      <c r="O25" s="237">
        <f>-'Post Process Calc.'!$T13</f>
        <v>-1.6384939639597104E-4</v>
      </c>
      <c r="P25" s="237">
        <f>-'Post Process Calc.'!$T14</f>
        <v>5.6972534533401634E-5</v>
      </c>
      <c r="Q25" s="237">
        <f>-'Post Process Calc.'!$T15</f>
        <v>3.3296714914703287E-4</v>
      </c>
      <c r="R25" s="7"/>
      <c r="S25" s="7"/>
      <c r="T25" s="7"/>
      <c r="U25" s="7"/>
      <c r="V25" s="7"/>
    </row>
    <row r="26" spans="1:22">
      <c r="A26" s="150" t="s">
        <v>85</v>
      </c>
      <c r="B26" s="234">
        <f>'Stoichiometric Ratios'!$L21*'Specific Rate Tables'!$B$16</f>
        <v>1.4417027898777086E-2</v>
      </c>
      <c r="C26" s="234">
        <f>'Stoichiometric Ratios'!$P21*'Specific Rate Tables'!$C$16</f>
        <v>3.3708545359362012E-3</v>
      </c>
      <c r="D26" s="153"/>
      <c r="E26" s="149" t="s">
        <v>85</v>
      </c>
      <c r="F26" s="237">
        <f>'Post Process Calc.'!$U4</f>
        <v>-0.1392914128459713</v>
      </c>
      <c r="G26" s="237">
        <f>'Post Process Calc.'!$U5</f>
        <v>-7.893539044450644E-2</v>
      </c>
      <c r="H26" s="237">
        <f>'Post Process Calc.'!$U6</f>
        <v>-4.7189136835614473E-2</v>
      </c>
      <c r="I26" s="237">
        <f>'Post Process Calc.'!$U7</f>
        <v>-2.7056685467892149E-2</v>
      </c>
      <c r="J26" s="237">
        <f>'Post Process Calc.'!$U8</f>
        <v>-1.8612301461638354E-2</v>
      </c>
      <c r="K26" s="237">
        <f>'Post Process Calc.'!$U9</f>
        <v>-1.1556201284119019E-2</v>
      </c>
      <c r="L26" s="237">
        <f>'Post Process Calc.'!$U10</f>
        <v>-7.9923256177509613E-3</v>
      </c>
      <c r="M26" s="237">
        <f>'Post Process Calc.'!$U11</f>
        <v>-6.1488955749735893E-3</v>
      </c>
      <c r="N26" s="237">
        <f>'Post Process Calc.'!$U12</f>
        <v>-4.9266807216725821E-3</v>
      </c>
      <c r="O26" s="237">
        <f>'Post Process Calc.'!$U13</f>
        <v>-4.4460814639508649E-3</v>
      </c>
      <c r="P26" s="237">
        <f>'Post Process Calc.'!$U14</f>
        <v>-3.9672751456954567E-3</v>
      </c>
      <c r="Q26" s="237">
        <f>'Post Process Calc.'!$U15</f>
        <v>-3.8955995950154944E-3</v>
      </c>
      <c r="R26" s="7"/>
      <c r="S26" s="7"/>
      <c r="T26" s="7"/>
      <c r="U26" s="7"/>
      <c r="V26" s="7"/>
    </row>
    <row r="27" spans="1:22">
      <c r="A27" s="150" t="s">
        <v>86</v>
      </c>
      <c r="B27" s="235">
        <v>0</v>
      </c>
      <c r="C27" s="235">
        <v>0</v>
      </c>
      <c r="D27" s="153"/>
      <c r="E27" s="149" t="s">
        <v>86</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87</v>
      </c>
      <c r="B28" s="234">
        <f>'Stoichiometric Ratios'!$L22*'Specific Rate Tables'!$B$16</f>
        <v>1.7781473493354478E-4</v>
      </c>
      <c r="C28" s="234">
        <f>'Stoichiometric Ratios'!$P22*'Specific Rate Tables'!$C$16</f>
        <v>-8.7763863898846655E-4</v>
      </c>
      <c r="D28" s="153"/>
      <c r="E28" s="149" t="s">
        <v>87</v>
      </c>
      <c r="F28" s="237">
        <f>-'Post Process Calc.'!$V4</f>
        <v>1.635447897528302E-2</v>
      </c>
      <c r="G28" s="237">
        <f>-'Post Process Calc.'!$V5</f>
        <v>8.8997696663846559E-3</v>
      </c>
      <c r="H28" s="237">
        <f>-'Post Process Calc.'!$V6</f>
        <v>4.7592948015765541E-3</v>
      </c>
      <c r="I28" s="237">
        <f>-'Post Process Calc.'!$V7</f>
        <v>2.1781199409864741E-3</v>
      </c>
      <c r="J28" s="237">
        <f>-'Post Process Calc.'!$V8</f>
        <v>1.0718608714373676E-3</v>
      </c>
      <c r="K28" s="237">
        <f>-'Post Process Calc.'!$V9</f>
        <v>2.4560310512414322E-4</v>
      </c>
      <c r="L28" s="237">
        <f>-'Post Process Calc.'!$V10</f>
        <v>-1.7796443570081765E-4</v>
      </c>
      <c r="M28" s="237">
        <f>-'Post Process Calc.'!$V11</f>
        <v>-4.8551658746352825E-4</v>
      </c>
      <c r="N28" s="237">
        <f>-'Post Process Calc.'!$V12</f>
        <v>-7.3805814437677485E-4</v>
      </c>
      <c r="O28" s="237">
        <f>-'Post Process Calc.'!$V13</f>
        <v>-1.0947596168405711E-3</v>
      </c>
      <c r="P28" s="237">
        <f>-'Post Process Calc.'!$V14</f>
        <v>-1.4551842014561335E-3</v>
      </c>
      <c r="Q28" s="237">
        <f>-'Post Process Calc.'!$V15</f>
        <v>-2.0493446436699362E-3</v>
      </c>
      <c r="R28" s="7"/>
      <c r="S28" s="7"/>
      <c r="T28" s="7"/>
      <c r="U28" s="7"/>
      <c r="V28" s="7"/>
    </row>
    <row r="29" spans="1:22">
      <c r="A29" s="150" t="s">
        <v>88</v>
      </c>
      <c r="B29" s="234">
        <f>'Stoichiometric Ratios'!$L23*'Specific Rate Tables'!$B$16</f>
        <v>1.0777112908820666E-3</v>
      </c>
      <c r="C29" s="234">
        <f>'Stoichiometric Ratios'!$P23*'Specific Rate Tables'!$C$16</f>
        <v>-9.2004607639770359E-4</v>
      </c>
      <c r="D29" s="153"/>
      <c r="E29" s="149" t="s">
        <v>88</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89</v>
      </c>
      <c r="B30" s="234">
        <v>0</v>
      </c>
      <c r="C30" s="234">
        <v>0</v>
      </c>
      <c r="D30" s="153"/>
      <c r="E30" s="149" t="s">
        <v>89</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90</v>
      </c>
      <c r="B31" s="234">
        <f>'Stoichiometric Ratios'!$L24*'Specific Rate Tables'!$B$16</f>
        <v>-9.160937684083206E-3</v>
      </c>
      <c r="C31" s="234">
        <f>'Stoichiometric Ratios'!$P24*'Specific Rate Tables'!$C$16</f>
        <v>1.4933550619162417E-3</v>
      </c>
      <c r="D31" s="153"/>
      <c r="E31" s="149" t="s">
        <v>90</v>
      </c>
      <c r="F31" s="237">
        <f>-'Post Process Calc.'!$X4</f>
        <v>-6.3077544630334131E-2</v>
      </c>
      <c r="G31" s="237">
        <f>-'Post Process Calc.'!$X5</f>
        <v>-4.5786259755064229E-2</v>
      </c>
      <c r="H31" s="237">
        <f>-'Post Process Calc.'!$X6</f>
        <v>-3.0227070960024839E-2</v>
      </c>
      <c r="I31" s="237">
        <f>-'Post Process Calc.'!$X7</f>
        <v>-1.8181340591535422E-2</v>
      </c>
      <c r="J31" s="237">
        <f>-'Post Process Calc.'!$X8</f>
        <v>-1.2562307379522264E-2</v>
      </c>
      <c r="K31" s="237">
        <f>-'Post Process Calc.'!$X9</f>
        <v>-7.5321246441353755E-3</v>
      </c>
      <c r="L31" s="237">
        <f>-'Post Process Calc.'!$X10</f>
        <v>-4.8183903206392145E-3</v>
      </c>
      <c r="M31" s="237">
        <f>-'Post Process Calc.'!$X11</f>
        <v>-3.2105166560790666E-3</v>
      </c>
      <c r="N31" s="237">
        <f>-'Post Process Calc.'!$X12</f>
        <v>-2.0053507903606922E-3</v>
      </c>
      <c r="O31" s="237">
        <f>-'Post Process Calc.'!$X13</f>
        <v>-1.0541022724398245E-3</v>
      </c>
      <c r="P31" s="237">
        <f>-'Post Process Calc.'!$X14</f>
        <v>-5.2245527733571292E-5</v>
      </c>
      <c r="Q31" s="237">
        <f>-'Post Process Calc.'!$X15</f>
        <v>1.1403545433736216E-3</v>
      </c>
      <c r="R31" s="7"/>
      <c r="S31" s="7"/>
      <c r="T31" s="7"/>
      <c r="U31" s="7"/>
      <c r="V31" s="7"/>
    </row>
    <row r="32" spans="1:22">
      <c r="A32" s="150" t="s">
        <v>91</v>
      </c>
      <c r="B32" s="235">
        <v>0</v>
      </c>
      <c r="C32" s="235">
        <v>0</v>
      </c>
      <c r="D32" s="153"/>
      <c r="E32" s="149" t="s">
        <v>91</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92</v>
      </c>
      <c r="B33" s="234">
        <f>'Stoichiometric Ratios'!$L25*'Specific Rate Tables'!$B$16</f>
        <v>-4.7855222748340786E-3</v>
      </c>
      <c r="C33" s="234">
        <f>'Stoichiometric Ratios'!$P25*'Specific Rate Tables'!$C$16</f>
        <v>4.4744941810210181E-4</v>
      </c>
      <c r="D33" s="153"/>
      <c r="E33" s="149" t="s">
        <v>92</v>
      </c>
      <c r="F33" s="237">
        <f>-'Post Process Calc.'!$Y4</f>
        <v>-2.3477057927152626E-3</v>
      </c>
      <c r="G33" s="237">
        <f>-'Post Process Calc.'!$Y5</f>
        <v>-1.5888569666529878E-2</v>
      </c>
      <c r="H33" s="237">
        <f>-'Post Process Calc.'!$Y6</f>
        <v>-1.4367928161335761E-2</v>
      </c>
      <c r="I33" s="237">
        <f>-'Post Process Calc.'!$Y7</f>
        <v>-1.0301255514077028E-2</v>
      </c>
      <c r="J33" s="237">
        <f>-'Post Process Calc.'!$Y8</f>
        <v>-7.8450201351255976E-3</v>
      </c>
      <c r="K33" s="237">
        <f>-'Post Process Calc.'!$Y9</f>
        <v>-5.1697314416401822E-3</v>
      </c>
      <c r="L33" s="237">
        <f>-'Post Process Calc.'!$Y10</f>
        <v>-3.5876474581512247E-3</v>
      </c>
      <c r="M33" s="237">
        <f>-'Post Process Calc.'!$Y11</f>
        <v>-2.6266441102410845E-3</v>
      </c>
      <c r="N33" s="237">
        <f>-'Post Process Calc.'!$Y12</f>
        <v>-1.8736638108276464E-3</v>
      </c>
      <c r="O33" s="237">
        <f>-'Post Process Calc.'!$Y13</f>
        <v>-1.3249208259417165E-3</v>
      </c>
      <c r="P33" s="237">
        <f>-'Post Process Calc.'!$Y14</f>
        <v>-7.1095596756496184E-4</v>
      </c>
      <c r="Q33" s="237">
        <f>-'Post Process Calc.'!$Y15</f>
        <v>-3.2038347349848097E-5</v>
      </c>
      <c r="R33" s="7"/>
      <c r="S33" s="7"/>
      <c r="T33" s="7"/>
      <c r="U33" s="7"/>
      <c r="V33" s="7"/>
    </row>
    <row r="34" spans="1:22">
      <c r="A34" s="150" t="s">
        <v>93</v>
      </c>
      <c r="B34" s="234">
        <f>'Stoichiometric Ratios'!$L27*'Specific Rate Tables'!$B$16</f>
        <v>-2.4161911574905985E-3</v>
      </c>
      <c r="C34" s="234">
        <f>'Stoichiometric Ratios'!$P27*'Specific Rate Tables'!$C$16</f>
        <v>2.2591543103413859E-4</v>
      </c>
      <c r="D34" s="153"/>
      <c r="E34" s="149" t="s">
        <v>93</v>
      </c>
      <c r="F34" s="237">
        <f>-'Post Process Calc.'!$AA4</f>
        <v>1.1513107126300331E-3</v>
      </c>
      <c r="G34" s="237">
        <f>-'Post Process Calc.'!$AA5</f>
        <v>-7.797729110753682E-3</v>
      </c>
      <c r="H34" s="237">
        <f>-'Post Process Calc.'!$AA6</f>
        <v>-7.4456503392083765E-3</v>
      </c>
      <c r="I34" s="237">
        <f>-'Post Process Calc.'!$AA7</f>
        <v>-5.4183675273043004E-3</v>
      </c>
      <c r="J34" s="237">
        <f>-'Post Process Calc.'!$AA8</f>
        <v>-4.1282927205065602E-3</v>
      </c>
      <c r="K34" s="237">
        <f>-'Post Process Calc.'!$AA9</f>
        <v>-2.6967480827537788E-3</v>
      </c>
      <c r="L34" s="237">
        <f>-'Post Process Calc.'!$AA10</f>
        <v>-1.8385386189081598E-3</v>
      </c>
      <c r="M34" s="237">
        <f>-'Post Process Calc.'!$AA11</f>
        <v>-1.3029036368780477E-3</v>
      </c>
      <c r="N34" s="237">
        <f>-'Post Process Calc.'!$AA12</f>
        <v>-8.7554999011124905E-4</v>
      </c>
      <c r="O34" s="237">
        <f>-'Post Process Calc.'!$AA13</f>
        <v>-5.35312721203211E-4</v>
      </c>
      <c r="P34" s="237">
        <f>-'Post Process Calc.'!$AA14</f>
        <v>-1.5664487270953715E-4</v>
      </c>
      <c r="Q34" s="237">
        <f>-'Post Process Calc.'!$AA15</f>
        <v>2.9450793845180309E-4</v>
      </c>
      <c r="R34" s="7"/>
      <c r="S34" s="7"/>
      <c r="T34" s="7"/>
      <c r="U34" s="7"/>
      <c r="V34" s="7"/>
    </row>
    <row r="35" spans="1:22">
      <c r="A35" s="150" t="s">
        <v>94</v>
      </c>
      <c r="B35" s="234">
        <f>'Stoichiometric Ratios'!$L28*'Specific Rate Tables'!$B$16</f>
        <v>4.9263243743054375E-3</v>
      </c>
      <c r="C35" s="234">
        <f>'Stoichiometric Ratios'!$P28*'Specific Rate Tables'!$C$16</f>
        <v>-2.6658407855415268E-3</v>
      </c>
      <c r="D35" s="153"/>
      <c r="E35" s="149" t="s">
        <v>94</v>
      </c>
      <c r="F35" s="237">
        <f>-'Post Process Calc.'!$AB4</f>
        <v>7.402291767897283E-2</v>
      </c>
      <c r="G35" s="237">
        <f>-'Post Process Calc.'!$AB5</f>
        <v>4.7883493399010192E-2</v>
      </c>
      <c r="H35" s="237">
        <f>-'Post Process Calc.'!$AB6</f>
        <v>2.9121638816756668E-2</v>
      </c>
      <c r="I35" s="237">
        <f>-'Post Process Calc.'!$AB7</f>
        <v>1.5843476788115672E-2</v>
      </c>
      <c r="J35" s="237">
        <f>-'Post Process Calc.'!$AB8</f>
        <v>9.823283195317889E-3</v>
      </c>
      <c r="K35" s="237">
        <f>-'Post Process Calc.'!$AB9</f>
        <v>4.8189789901655379E-3</v>
      </c>
      <c r="L35" s="237">
        <f>-'Post Process Calc.'!$AB10</f>
        <v>2.1562191130005889E-3</v>
      </c>
      <c r="M35" s="237">
        <f>-'Post Process Calc.'!$AB11</f>
        <v>4.0768798746151116E-4</v>
      </c>
      <c r="N35" s="237">
        <f>-'Post Process Calc.'!$AB12</f>
        <v>-9.7414074901811323E-4</v>
      </c>
      <c r="O35" s="237">
        <f>-'Post Process Calc.'!$AB13</f>
        <v>-2.5174211832617917E-3</v>
      </c>
      <c r="P35" s="237">
        <f>-'Post Process Calc.'!$AB14</f>
        <v>-4.1053377486536483E-3</v>
      </c>
      <c r="Q35" s="237">
        <f>-'Post Process Calc.'!$AB15</f>
        <v>-6.4696157105298222E-3</v>
      </c>
      <c r="R35" s="7"/>
      <c r="S35" s="7"/>
      <c r="T35" s="7"/>
      <c r="U35" s="7"/>
      <c r="V35" s="7"/>
    </row>
    <row r="36" spans="1:22">
      <c r="A36" s="150" t="s">
        <v>385</v>
      </c>
      <c r="B36" s="235">
        <v>0</v>
      </c>
      <c r="C36" s="235">
        <v>0</v>
      </c>
      <c r="D36" s="153"/>
      <c r="E36" s="149" t="s">
        <v>385</v>
      </c>
      <c r="F36" s="235">
        <v>0</v>
      </c>
      <c r="G36" s="235">
        <v>0</v>
      </c>
      <c r="H36" s="235">
        <v>0</v>
      </c>
      <c r="I36" s="235">
        <v>0</v>
      </c>
      <c r="J36" s="235">
        <v>0</v>
      </c>
      <c r="K36" s="235">
        <v>0</v>
      </c>
      <c r="L36" s="235">
        <v>0</v>
      </c>
      <c r="M36" s="235">
        <v>0</v>
      </c>
      <c r="N36" s="235">
        <v>0</v>
      </c>
      <c r="O36" s="235">
        <v>0</v>
      </c>
      <c r="P36" s="235">
        <v>0</v>
      </c>
      <c r="Q36" s="235">
        <v>0</v>
      </c>
    </row>
    <row r="37" spans="1:22">
      <c r="A37" s="150" t="s">
        <v>386</v>
      </c>
      <c r="B37" s="235">
        <v>0</v>
      </c>
      <c r="C37" s="235">
        <v>0</v>
      </c>
      <c r="D37" s="153"/>
      <c r="E37" s="149" t="s">
        <v>386</v>
      </c>
      <c r="F37" s="235">
        <v>0</v>
      </c>
      <c r="G37" s="235">
        <v>0</v>
      </c>
      <c r="H37" s="235">
        <v>0</v>
      </c>
      <c r="I37" s="235">
        <v>0</v>
      </c>
      <c r="J37" s="235">
        <v>0</v>
      </c>
      <c r="K37" s="235">
        <v>0</v>
      </c>
      <c r="L37" s="235">
        <v>0</v>
      </c>
      <c r="M37" s="235">
        <v>0</v>
      </c>
      <c r="N37" s="235">
        <v>0</v>
      </c>
      <c r="O37" s="235">
        <v>0</v>
      </c>
      <c r="P37" s="235">
        <v>0</v>
      </c>
      <c r="Q37" s="235">
        <v>0</v>
      </c>
    </row>
    <row r="38" spans="1:22">
      <c r="A38" s="150" t="s">
        <v>387</v>
      </c>
      <c r="B38" s="235">
        <v>0</v>
      </c>
      <c r="C38" s="235">
        <v>0</v>
      </c>
      <c r="D38" s="153"/>
      <c r="E38" s="149" t="s">
        <v>387</v>
      </c>
      <c r="F38" s="235">
        <v>0</v>
      </c>
      <c r="G38" s="235">
        <v>0</v>
      </c>
      <c r="H38" s="235">
        <v>0</v>
      </c>
      <c r="I38" s="235">
        <v>0</v>
      </c>
      <c r="J38" s="235">
        <v>0</v>
      </c>
      <c r="K38" s="235">
        <v>0</v>
      </c>
      <c r="L38" s="235">
        <v>0</v>
      </c>
      <c r="M38" s="235">
        <v>0</v>
      </c>
      <c r="N38" s="235">
        <v>0</v>
      </c>
      <c r="O38" s="235">
        <v>0</v>
      </c>
      <c r="P38" s="235">
        <v>0</v>
      </c>
      <c r="Q38" s="235">
        <v>0</v>
      </c>
    </row>
    <row r="39" spans="1:22">
      <c r="A39" s="150" t="s">
        <v>388</v>
      </c>
      <c r="B39" s="235">
        <v>0</v>
      </c>
      <c r="C39" s="235">
        <v>0</v>
      </c>
      <c r="D39" s="153"/>
      <c r="E39" s="149" t="s">
        <v>388</v>
      </c>
      <c r="F39" s="235">
        <v>0</v>
      </c>
      <c r="G39" s="235">
        <v>0</v>
      </c>
      <c r="H39" s="235">
        <v>0</v>
      </c>
      <c r="I39" s="235">
        <v>0</v>
      </c>
      <c r="J39" s="235">
        <v>0</v>
      </c>
      <c r="K39" s="235">
        <v>0</v>
      </c>
      <c r="L39" s="235">
        <v>0</v>
      </c>
      <c r="M39" s="235">
        <v>0</v>
      </c>
      <c r="N39" s="235">
        <v>0</v>
      </c>
      <c r="O39" s="235">
        <v>0</v>
      </c>
      <c r="P39" s="235">
        <v>0</v>
      </c>
      <c r="Q39" s="235">
        <v>0</v>
      </c>
    </row>
    <row r="40" spans="1:22">
      <c r="A40" s="150" t="s">
        <v>389</v>
      </c>
      <c r="B40" s="235">
        <v>0</v>
      </c>
      <c r="C40" s="235">
        <v>0</v>
      </c>
      <c r="D40" s="153"/>
      <c r="E40" s="149" t="s">
        <v>389</v>
      </c>
      <c r="F40" s="235">
        <v>0</v>
      </c>
      <c r="G40" s="235">
        <v>0</v>
      </c>
      <c r="H40" s="235">
        <v>0</v>
      </c>
      <c r="I40" s="235">
        <v>0</v>
      </c>
      <c r="J40" s="235">
        <v>0</v>
      </c>
      <c r="K40" s="235">
        <v>0</v>
      </c>
      <c r="L40" s="235">
        <v>0</v>
      </c>
      <c r="M40" s="235">
        <v>0</v>
      </c>
      <c r="N40" s="235">
        <v>0</v>
      </c>
      <c r="O40" s="235">
        <v>0</v>
      </c>
      <c r="P40" s="235">
        <v>0</v>
      </c>
      <c r="Q40" s="235">
        <v>0</v>
      </c>
    </row>
    <row r="41" spans="1:22">
      <c r="A41" s="150" t="s">
        <v>390</v>
      </c>
      <c r="B41" s="235">
        <v>0</v>
      </c>
      <c r="C41" s="235">
        <v>0</v>
      </c>
      <c r="D41" s="153"/>
      <c r="E41" s="149" t="s">
        <v>390</v>
      </c>
      <c r="F41" s="235">
        <v>0</v>
      </c>
      <c r="G41" s="235">
        <v>0</v>
      </c>
      <c r="H41" s="235">
        <v>0</v>
      </c>
      <c r="I41" s="235">
        <v>0</v>
      </c>
      <c r="J41" s="235">
        <v>0</v>
      </c>
      <c r="K41" s="235">
        <v>0</v>
      </c>
      <c r="L41" s="235">
        <v>0</v>
      </c>
      <c r="M41" s="235">
        <v>0</v>
      </c>
      <c r="N41" s="235">
        <v>0</v>
      </c>
      <c r="O41" s="235">
        <v>0</v>
      </c>
      <c r="P41" s="235">
        <v>0</v>
      </c>
      <c r="Q41" s="235">
        <v>0</v>
      </c>
    </row>
    <row r="42" spans="1:22">
      <c r="A42" s="150" t="s">
        <v>391</v>
      </c>
      <c r="B42" s="234">
        <f>-SUMIF('In Process Calc.'!$A$4:$A$93,"&lt;="&amp;NS,'In Process Calc.'!$AQ$4:$AQ$93)/COUNTIF('In Process Calc.'!$A$4:$A$93,"&lt;="&amp;NS)</f>
        <v>0</v>
      </c>
      <c r="C42" s="234">
        <f>-SUMIF('In Process Calc.'!$A$4:$A$93,"&gt;"&amp;NS,'In Process Calc.'!$AQ$4:$AQ$93)/COUNTIF('In Process Calc.'!$A$4:$A$93,"&gt;"&amp;NS)</f>
        <v>0</v>
      </c>
      <c r="D42" s="153"/>
      <c r="E42" s="149" t="s">
        <v>391</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392</v>
      </c>
      <c r="B43" s="235">
        <v>0</v>
      </c>
      <c r="C43" s="235">
        <v>0</v>
      </c>
      <c r="D43" s="153"/>
      <c r="E43" s="149" t="s">
        <v>392</v>
      </c>
      <c r="F43" s="235">
        <v>0</v>
      </c>
      <c r="G43" s="235">
        <v>0</v>
      </c>
      <c r="H43" s="235">
        <v>0</v>
      </c>
      <c r="I43" s="235">
        <v>0</v>
      </c>
      <c r="J43" s="235">
        <v>0</v>
      </c>
      <c r="K43" s="235">
        <v>0</v>
      </c>
      <c r="L43" s="235">
        <v>0</v>
      </c>
      <c r="M43" s="235">
        <v>0</v>
      </c>
      <c r="N43" s="235">
        <v>0</v>
      </c>
      <c r="O43" s="235">
        <v>0</v>
      </c>
      <c r="P43" s="235">
        <v>0</v>
      </c>
      <c r="Q43" s="235">
        <v>0</v>
      </c>
    </row>
    <row r="44" spans="1:22">
      <c r="A44" s="150" t="s">
        <v>393</v>
      </c>
      <c r="B44" s="235">
        <v>0</v>
      </c>
      <c r="C44" s="235">
        <v>0</v>
      </c>
      <c r="D44" s="153"/>
      <c r="E44" s="149" t="s">
        <v>393</v>
      </c>
      <c r="F44" s="235">
        <v>0</v>
      </c>
      <c r="G44" s="235">
        <v>0</v>
      </c>
      <c r="H44" s="235">
        <v>0</v>
      </c>
      <c r="I44" s="235">
        <v>0</v>
      </c>
      <c r="J44" s="235">
        <v>0</v>
      </c>
      <c r="K44" s="235">
        <v>0</v>
      </c>
      <c r="L44" s="235">
        <v>0</v>
      </c>
      <c r="M44" s="235">
        <v>0</v>
      </c>
      <c r="N44" s="235">
        <v>0</v>
      </c>
      <c r="O44" s="235">
        <v>0</v>
      </c>
      <c r="P44" s="235">
        <v>0</v>
      </c>
      <c r="Q44" s="235">
        <v>0</v>
      </c>
    </row>
    <row r="45" spans="1:22">
      <c r="A45" s="150" t="s">
        <v>402</v>
      </c>
      <c r="B45" s="235">
        <v>0</v>
      </c>
      <c r="C45" s="235">
        <v>0</v>
      </c>
      <c r="D45" s="153"/>
      <c r="E45" s="149" t="s">
        <v>402</v>
      </c>
      <c r="F45" s="235">
        <v>0</v>
      </c>
      <c r="G45" s="235">
        <v>0</v>
      </c>
      <c r="H45" s="235">
        <v>0</v>
      </c>
      <c r="I45" s="235">
        <v>0</v>
      </c>
      <c r="J45" s="235">
        <v>0</v>
      </c>
      <c r="K45" s="235">
        <v>0</v>
      </c>
      <c r="L45" s="235">
        <v>0</v>
      </c>
      <c r="M45" s="235">
        <v>0</v>
      </c>
      <c r="N45" s="235">
        <v>0</v>
      </c>
      <c r="O45" s="235">
        <v>0</v>
      </c>
      <c r="P45" s="235">
        <v>0</v>
      </c>
      <c r="Q45" s="235">
        <v>0</v>
      </c>
    </row>
    <row r="46" spans="1:22">
      <c r="A46" s="150" t="s">
        <v>403</v>
      </c>
      <c r="B46" s="235">
        <v>0</v>
      </c>
      <c r="C46" s="235">
        <v>0</v>
      </c>
      <c r="D46" s="153"/>
      <c r="E46" s="149" t="s">
        <v>403</v>
      </c>
      <c r="F46" s="235">
        <v>0</v>
      </c>
      <c r="G46" s="235">
        <v>0</v>
      </c>
      <c r="H46" s="235">
        <v>0</v>
      </c>
      <c r="I46" s="235">
        <v>0</v>
      </c>
      <c r="J46" s="235">
        <v>0</v>
      </c>
      <c r="K46" s="235">
        <v>0</v>
      </c>
      <c r="L46" s="235">
        <v>0</v>
      </c>
      <c r="M46" s="235">
        <v>0</v>
      </c>
      <c r="N46" s="235">
        <v>0</v>
      </c>
      <c r="O46" s="235">
        <v>0</v>
      </c>
      <c r="P46" s="235">
        <v>0</v>
      </c>
      <c r="Q46" s="235">
        <v>0</v>
      </c>
    </row>
    <row r="47" spans="1:22">
      <c r="A47" s="150" t="s">
        <v>396</v>
      </c>
      <c r="B47" s="235">
        <v>0</v>
      </c>
      <c r="C47" s="235">
        <v>0</v>
      </c>
      <c r="D47" s="153"/>
      <c r="E47" s="149" t="s">
        <v>396</v>
      </c>
      <c r="F47" s="235">
        <v>0</v>
      </c>
      <c r="G47" s="235">
        <v>0</v>
      </c>
      <c r="H47" s="235">
        <v>0</v>
      </c>
      <c r="I47" s="235">
        <v>0</v>
      </c>
      <c r="J47" s="235">
        <v>0</v>
      </c>
      <c r="K47" s="235">
        <v>0</v>
      </c>
      <c r="L47" s="235">
        <v>0</v>
      </c>
      <c r="M47" s="235">
        <v>0</v>
      </c>
      <c r="N47" s="235">
        <v>0</v>
      </c>
      <c r="O47" s="235">
        <v>0</v>
      </c>
      <c r="P47" s="235">
        <v>0</v>
      </c>
      <c r="Q47" s="235">
        <v>0</v>
      </c>
    </row>
    <row r="48" spans="1:22">
      <c r="A48" s="150" t="s">
        <v>397</v>
      </c>
      <c r="B48" s="235">
        <v>0</v>
      </c>
      <c r="C48" s="235">
        <v>0</v>
      </c>
      <c r="D48" s="153"/>
      <c r="E48" s="149" t="s">
        <v>397</v>
      </c>
      <c r="F48" s="235">
        <v>0</v>
      </c>
      <c r="G48" s="235">
        <v>0</v>
      </c>
      <c r="H48" s="235">
        <v>0</v>
      </c>
      <c r="I48" s="235">
        <v>0</v>
      </c>
      <c r="J48" s="235">
        <v>0</v>
      </c>
      <c r="K48" s="235">
        <v>0</v>
      </c>
      <c r="L48" s="235">
        <v>0</v>
      </c>
      <c r="M48" s="235">
        <v>0</v>
      </c>
      <c r="N48" s="235">
        <v>0</v>
      </c>
      <c r="O48" s="235">
        <v>0</v>
      </c>
      <c r="P48" s="235">
        <v>0</v>
      </c>
      <c r="Q48" s="235">
        <v>0</v>
      </c>
    </row>
    <row r="49" spans="1:17">
      <c r="A49" s="150" t="s">
        <v>398</v>
      </c>
      <c r="B49" s="235">
        <v>0</v>
      </c>
      <c r="C49" s="235">
        <v>0</v>
      </c>
      <c r="D49" s="153"/>
      <c r="E49" s="149" t="s">
        <v>398</v>
      </c>
      <c r="F49" s="235">
        <v>0</v>
      </c>
      <c r="G49" s="235">
        <v>0</v>
      </c>
      <c r="H49" s="235">
        <v>0</v>
      </c>
      <c r="I49" s="235">
        <v>0</v>
      </c>
      <c r="J49" s="235">
        <v>0</v>
      </c>
      <c r="K49" s="235">
        <v>0</v>
      </c>
      <c r="L49" s="235">
        <v>0</v>
      </c>
      <c r="M49" s="235">
        <v>0</v>
      </c>
      <c r="N49" s="235">
        <v>0</v>
      </c>
      <c r="O49" s="235">
        <v>0</v>
      </c>
      <c r="P49" s="235">
        <v>0</v>
      </c>
      <c r="Q49" s="235">
        <v>0</v>
      </c>
    </row>
    <row r="50" spans="1:17">
      <c r="A50" s="150" t="s">
        <v>399</v>
      </c>
      <c r="B50" s="235">
        <v>0</v>
      </c>
      <c r="C50" s="235">
        <v>0</v>
      </c>
      <c r="D50" s="153"/>
      <c r="E50" s="149" t="s">
        <v>399</v>
      </c>
      <c r="F50" s="235">
        <v>0</v>
      </c>
      <c r="G50" s="235">
        <v>0</v>
      </c>
      <c r="H50" s="235">
        <v>0</v>
      </c>
      <c r="I50" s="235">
        <v>0</v>
      </c>
      <c r="J50" s="235">
        <v>0</v>
      </c>
      <c r="K50" s="235">
        <v>0</v>
      </c>
      <c r="L50" s="235">
        <v>0</v>
      </c>
      <c r="M50" s="235">
        <v>0</v>
      </c>
      <c r="N50" s="235">
        <v>0</v>
      </c>
      <c r="O50" s="235">
        <v>0</v>
      </c>
      <c r="P50" s="235">
        <v>0</v>
      </c>
      <c r="Q50" s="235">
        <v>0</v>
      </c>
    </row>
    <row r="51" spans="1:17">
      <c r="A51" s="150" t="s">
        <v>428</v>
      </c>
      <c r="B51" s="235">
        <v>0</v>
      </c>
      <c r="C51" s="235">
        <v>0</v>
      </c>
      <c r="D51" s="153"/>
      <c r="E51" s="149" t="s">
        <v>428</v>
      </c>
      <c r="F51" s="235">
        <v>0</v>
      </c>
      <c r="G51" s="235">
        <v>0</v>
      </c>
      <c r="H51" s="235">
        <v>0</v>
      </c>
      <c r="I51" s="235">
        <v>0</v>
      </c>
      <c r="J51" s="235">
        <v>0</v>
      </c>
      <c r="K51" s="235">
        <v>0</v>
      </c>
      <c r="L51" s="235">
        <v>0</v>
      </c>
      <c r="M51" s="235">
        <v>0</v>
      </c>
      <c r="N51" s="235">
        <v>0</v>
      </c>
      <c r="O51" s="235">
        <v>0</v>
      </c>
      <c r="P51" s="235">
        <v>0</v>
      </c>
      <c r="Q51" s="235">
        <v>0</v>
      </c>
    </row>
    <row r="52" spans="1:17">
      <c r="A52" s="150" t="s">
        <v>429</v>
      </c>
      <c r="B52" s="234">
        <f>'Stoichiometric Ratios'!$L26*'Specific Rate Tables'!$B$16</f>
        <v>3.3064541943281998E-4</v>
      </c>
      <c r="C52" s="234">
        <f>'Stoichiometric Ratios'!$P26*'Specific Rate Tables'!$C$16</f>
        <v>-5.3922154374294227E-4</v>
      </c>
      <c r="D52" s="153"/>
      <c r="E52" s="149" t="s">
        <v>429</v>
      </c>
      <c r="F52" s="237">
        <f>-'Post Process Calc.'!$Z$4</f>
        <v>1.588874958190014E-3</v>
      </c>
      <c r="G52" s="237">
        <f>-'Post Process Calc.'!$Z$5</f>
        <v>3.7293362806272603E-3</v>
      </c>
      <c r="H52" s="237">
        <f>-'Post Process Calc.'!$Z$6</f>
        <v>2.9588383329946346E-3</v>
      </c>
      <c r="I52" s="237">
        <f>-'Post Process Calc.'!$Z$7</f>
        <v>1.8505956396410344E-3</v>
      </c>
      <c r="J52" s="237">
        <f>-'Post Process Calc.'!$Z$8</f>
        <v>1.2188296018646385E-3</v>
      </c>
      <c r="K52" s="237">
        <f>-'Post Process Calc.'!$Z$9</f>
        <v>6.106768316237783E-4</v>
      </c>
      <c r="L52" s="237">
        <f>-'Post Process Calc.'!$Z$10</f>
        <v>2.5267091887405088E-4</v>
      </c>
      <c r="M52" s="237">
        <f>-'Post Process Calc.'!$Z$11</f>
        <v>-5.8141819908434257E-6</v>
      </c>
      <c r="N52" s="237">
        <f>-'Post Process Calc.'!$Z$12</f>
        <v>-2.2522701388149447E-4</v>
      </c>
      <c r="O52" s="237">
        <f>-'Post Process Calc.'!$Z$13</f>
        <v>-4.9120075901859582E-4</v>
      </c>
      <c r="P52" s="237">
        <f>-'Post Process Calc.'!$Z$14</f>
        <v>-7.7259839525922421E-4</v>
      </c>
      <c r="Q52" s="237">
        <f>-'Post Process Calc.'!$Z$15</f>
        <v>-1.2035948132056182E-3</v>
      </c>
    </row>
    <row r="53" spans="1:17">
      <c r="A53" s="150" t="s">
        <v>404</v>
      </c>
      <c r="B53" s="235">
        <v>0</v>
      </c>
      <c r="C53" s="235">
        <v>0</v>
      </c>
      <c r="D53" s="153"/>
      <c r="E53" s="149" t="s">
        <v>404</v>
      </c>
      <c r="F53" s="235">
        <v>0</v>
      </c>
      <c r="G53" s="235">
        <v>0</v>
      </c>
      <c r="H53" s="235">
        <v>0</v>
      </c>
      <c r="I53" s="235">
        <v>0</v>
      </c>
      <c r="J53" s="235">
        <v>0</v>
      </c>
      <c r="K53" s="235">
        <v>0</v>
      </c>
      <c r="L53" s="235">
        <v>0</v>
      </c>
      <c r="M53" s="235">
        <v>0</v>
      </c>
      <c r="N53" s="235">
        <v>0</v>
      </c>
      <c r="O53" s="235">
        <v>0</v>
      </c>
      <c r="P53" s="235">
        <v>0</v>
      </c>
      <c r="Q53" s="235">
        <v>0</v>
      </c>
    </row>
    <row r="54" spans="1:17">
      <c r="A54" s="150" t="s">
        <v>405</v>
      </c>
      <c r="B54" s="235">
        <v>0</v>
      </c>
      <c r="C54" s="235">
        <v>0</v>
      </c>
      <c r="D54" s="153"/>
      <c r="E54" s="149" t="s">
        <v>405</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112</v>
      </c>
      <c r="B2" s="240" t="str">
        <f>IF('Measured Data'!A6&lt;&gt;0,'Measured Data'!A6,"")</f>
        <v>SAMPLE #</v>
      </c>
      <c r="C2" s="240" t="str">
        <f>IF('Measured Data'!B6&lt;&gt;0,'Measured Data'!B6,"")</f>
        <v>Day</v>
      </c>
      <c r="D2" s="240" t="str">
        <f>IF('Measured Data'!C6&lt;&gt;0,'Measured Data'!C6,"")</f>
        <v>RUN TIME (HOURS)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374</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XB50</v>
      </c>
      <c r="B3" s="238">
        <f>IF(ISBLANK('Measured Data'!A7),"",'Measured Data'!A7)</f>
        <v>0</v>
      </c>
      <c r="C3" s="245">
        <f>IF(ISBLANK('Measured Data'!B7),"",'Measured Data'!B7)</f>
        <v>2.5694444448163267E-2</v>
      </c>
      <c r="D3" s="246">
        <f>IF(ISBLANK('Measured Data'!C7),"",'Measured Data'!C7)</f>
        <v>0.61666666675591841</v>
      </c>
      <c r="E3" s="238">
        <f>IF(ISBLANK('Measured Data'!D7),"",'Measured Data'!D7)</f>
        <v>20</v>
      </c>
      <c r="F3" s="238" t="str">
        <f>IF(ISBLANK('Measured Data'!E7),"",'Measured Data'!E7)</f>
        <v/>
      </c>
      <c r="G3" s="238" t="str">
        <f>IF(ISBLANK('Measured Data'!G7),"",'Measured Data'!G7)</f>
        <v/>
      </c>
      <c r="H3" s="243">
        <f>IF(ISBLANK('Measured Data'!H7),"",'Measured Data'!H7)</f>
        <v>0.26</v>
      </c>
      <c r="I3" s="243">
        <f>IF(ISBLANK('Measured Data'!I7),"",'Measured Data'!I7)</f>
        <v>1.0441767068273267E-3</v>
      </c>
      <c r="J3" s="243">
        <f>IF(ISBLANK('Measured Data'!J7),"",'Measured Data'!J7)</f>
        <v>0.26104417670682734</v>
      </c>
      <c r="K3" s="243">
        <f>IF(ISBLANK('Measured Data'!K7),"",'Measured Data'!K7)</f>
        <v>99.6</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335</v>
      </c>
      <c r="S3" s="238" t="str">
        <f>IF(ISBLANK('Measured Data'!S7),"",'Measured Data'!S7)</f>
        <v/>
      </c>
      <c r="T3" s="243">
        <f>IF(ISBLANK('Measured Data'!U7),"",'Measured Data'!U7)</f>
        <v>6.5000000000000002E-2</v>
      </c>
      <c r="U3" s="243">
        <f>IF(ISBLANK('Measured Data'!V7),"",'Measured Data'!V7)</f>
        <v>2.2170000000000001</v>
      </c>
      <c r="V3" s="243">
        <f>IF(ISBLANK('Measured Data'!W7),"",'Measured Data'!W7)</f>
        <v>6.718</v>
      </c>
      <c r="W3" s="243">
        <f>IF(ISBLANK('Measured Data'!X7),"",'Measured Data'!X7)</f>
        <v>1.8839999999999999</v>
      </c>
      <c r="X3" s="243">
        <f>IF(ISBLANK('Measured Data'!Y7),"",'Measured Data'!Y7)</f>
        <v>1.123</v>
      </c>
      <c r="Y3" s="243">
        <f>IF(ISBLANK('Measured Data'!Z7),"",'Measured Data'!Z7)</f>
        <v>34.08157374719687</v>
      </c>
      <c r="Z3" s="243">
        <f>IF(ISBLANK('Measured Data'!AA7),"",'Measured Data'!AA7)</f>
        <v>0</v>
      </c>
      <c r="AA3" s="243">
        <f>IF(ISBLANK('Measured Data'!AB7),"",'Measured Data'!AB7)</f>
        <v>2.4990000000000001</v>
      </c>
      <c r="AB3" s="243">
        <f>IF(ISBLANK('Measured Data'!AC7),"",'Measured Data'!AC7)</f>
        <v>0.21199999999999999</v>
      </c>
      <c r="AC3" s="243">
        <f>IF(ISBLANK('Measured Data'!AD7),"",'Measured Data'!AD7)</f>
        <v>1.3089999999999999</v>
      </c>
      <c r="AD3" s="243">
        <f>IF(ISBLANK('Measured Data'!AE7),"",'Measured Data'!AE7)</f>
        <v>2.9790000000000001</v>
      </c>
      <c r="AE3" s="243">
        <f>IF(ISBLANK('Measured Data'!AF7),"",'Measured Data'!AF7)</f>
        <v>0.6660746003552398</v>
      </c>
      <c r="AF3" s="243">
        <f>IF(ISBLANK('Measured Data'!AG7),"",'Measured Data'!AG7)</f>
        <v>4.5869999999999997</v>
      </c>
      <c r="AG3" s="243">
        <f>IF(ISBLANK('Measured Data'!AH7),"",'Measured Data'!AH7)</f>
        <v>3.5350000000000001</v>
      </c>
      <c r="AH3" s="243">
        <f>IF(ISBLANK('Measured Data'!AI7),"",'Measured Data'!AI7)</f>
        <v>0.83099999999999996</v>
      </c>
      <c r="AI3" s="243">
        <f>IF(ISBLANK('Measured Data'!AJ7),"",'Measured Data'!AJ7)</f>
        <v>0.64</v>
      </c>
      <c r="AJ3" s="243">
        <f>IF(ISBLANK('Measured Data'!AK7),"",'Measured Data'!AK7)</f>
        <v>1.357</v>
      </c>
      <c r="AK3" s="243">
        <f>IF(ISBLANK('Measured Data'!AL7),"",'Measured Data'!AL7)</f>
        <v>5.3029999999999999</v>
      </c>
      <c r="AL3" s="243">
        <f>IF(ISBLANK('Measured Data'!AM7),"",'Measured Data'!AM7)</f>
        <v>5.1929999999999996</v>
      </c>
      <c r="AM3" s="243">
        <f>IF(ISBLANK('Measured Data'!AN7),"",'Measured Data'!AN7)</f>
        <v>3.2669999999999999</v>
      </c>
      <c r="AN3" s="243">
        <f>IF(ISBLANK('Measured Data'!AO7),"",'Measured Data'!AO7)</f>
        <v>1.141</v>
      </c>
      <c r="AO3" s="243">
        <f>IF(ISBLANK('Measured Data'!AP7),"",'Measured Data'!AP7)</f>
        <v>1.5580000000000001</v>
      </c>
      <c r="AP3" s="243">
        <f>IF(ISBLANK('Measured Data'!AQ7),"",'Measured Data'!AQ7)</f>
        <v>3.2669999999999999</v>
      </c>
      <c r="AQ3" s="243">
        <f>IF(ISBLANK('Measured Data'!AR7),"",'Measured Data'!AR7)</f>
        <v>0</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t="str">
        <f>IF(ISBLANK('Measured Data'!BP7),"",'Measured Data'!BP7)</f>
        <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0.26422524334438419</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XB50</v>
      </c>
      <c r="B4" s="238">
        <f>IF(ISBLANK('Measured Data'!A8),"",'Measured Data'!A8)</f>
        <v>1</v>
      </c>
      <c r="C4" s="245">
        <f>IF(ISBLANK('Measured Data'!B8),"",'Measured Data'!B8)</f>
        <v>0.8868055555576575</v>
      </c>
      <c r="D4" s="246">
        <f>IF(ISBLANK('Measured Data'!C8),"",'Measured Data'!C8)</f>
        <v>21.28333333338378</v>
      </c>
      <c r="E4" s="238">
        <f>IF(ISBLANK('Measured Data'!D8),"",'Measured Data'!D8)</f>
        <v>20</v>
      </c>
      <c r="F4" s="238" t="str">
        <f>IF(ISBLANK('Measured Data'!E9),"",'Measured Data'!E9)</f>
        <v/>
      </c>
      <c r="G4" s="238" t="str">
        <f>IF(ISBLANK('Measured Data'!G8),"",'Measured Data'!G8)</f>
        <v/>
      </c>
      <c r="H4" s="243">
        <f>IF(ISBLANK('Measured Data'!H8),"",'Measured Data'!H8)</f>
        <v>0.43249998817443841</v>
      </c>
      <c r="I4" s="243">
        <f>IF(ISBLANK('Measured Data'!I8),"",'Measured Data'!I8)</f>
        <v>2.5590320804282363E-3</v>
      </c>
      <c r="J4" s="243">
        <f>IF(ISBLANK('Measured Data'!J8),"",'Measured Data'!J8)</f>
        <v>0.43505902025486665</v>
      </c>
      <c r="K4" s="243">
        <f>IF(ISBLANK('Measured Data'!K8),"",'Measured Data'!K8)</f>
        <v>99.411796569824219</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330</v>
      </c>
      <c r="S4" s="238" t="str">
        <f>IF(ISBLANK('Measured Data'!S8),"",'Measured Data'!S8)</f>
        <v/>
      </c>
      <c r="T4" s="243">
        <f>IF(ISBLANK('Measured Data'!U8),"",'Measured Data'!U8)</f>
        <v>7.2999999999999995E-2</v>
      </c>
      <c r="U4" s="243">
        <f>IF(ISBLANK('Measured Data'!V8),"",'Measured Data'!V8)</f>
        <v>2.133</v>
      </c>
      <c r="V4" s="243">
        <f>IF(ISBLANK('Measured Data'!W8),"",'Measured Data'!W8)</f>
        <v>6.3630000000000004</v>
      </c>
      <c r="W4" s="243">
        <f>IF(ISBLANK('Measured Data'!X8),"",'Measured Data'!X8)</f>
        <v>1.9319999999999999</v>
      </c>
      <c r="X4" s="243">
        <f>IF(ISBLANK('Measured Data'!Y8),"",'Measured Data'!Y8)</f>
        <v>1.19</v>
      </c>
      <c r="Y4" s="243">
        <f>IF(ISBLANK('Measured Data'!Z8),"",'Measured Data'!Z8)</f>
        <v>32.860409867004151</v>
      </c>
      <c r="Z4" s="243">
        <f>IF(ISBLANK('Measured Data'!AA8),"",'Measured Data'!AA8)</f>
        <v>0</v>
      </c>
      <c r="AA4" s="243">
        <f>IF(ISBLANK('Measured Data'!AB8),"",'Measured Data'!AB8)</f>
        <v>2.5510000000000002</v>
      </c>
      <c r="AB4" s="243">
        <f>IF(ISBLANK('Measured Data'!AC8),"",'Measured Data'!AC8)</f>
        <v>0.27300000000000002</v>
      </c>
      <c r="AC4" s="243">
        <f>IF(ISBLANK('Measured Data'!AD8),"",'Measured Data'!AD8)</f>
        <v>1.6679999999999999</v>
      </c>
      <c r="AD4" s="243">
        <f>IF(ISBLANK('Measured Data'!AE8),"",'Measured Data'!AE8)</f>
        <v>2.9820000000000002</v>
      </c>
      <c r="AE4" s="243">
        <f>IF(ISBLANK('Measured Data'!AF8),"",'Measured Data'!AF8)</f>
        <v>1.3321492007104796</v>
      </c>
      <c r="AF4" s="243">
        <f>IF(ISBLANK('Measured Data'!AG8),"",'Measured Data'!AG8)</f>
        <v>4.5999999999999996</v>
      </c>
      <c r="AG4" s="243">
        <f>IF(ISBLANK('Measured Data'!AH8),"",'Measured Data'!AH8)</f>
        <v>3.6219999999999999</v>
      </c>
      <c r="AH4" s="243">
        <f>IF(ISBLANK('Measured Data'!AI8),"",'Measured Data'!AI8)</f>
        <v>0.82199999999999995</v>
      </c>
      <c r="AI4" s="243">
        <f>IF(ISBLANK('Measured Data'!AJ8),"",'Measured Data'!AJ8)</f>
        <v>0.8</v>
      </c>
      <c r="AJ4" s="243">
        <f>IF(ISBLANK('Measured Data'!AK8),"",'Measured Data'!AK8)</f>
        <v>1.3779999999999999</v>
      </c>
      <c r="AK4" s="243">
        <f>IF(ISBLANK('Measured Data'!AL8),"",'Measured Data'!AL8)</f>
        <v>5.3490000000000002</v>
      </c>
      <c r="AL4" s="243">
        <f>IF(ISBLANK('Measured Data'!AM8),"",'Measured Data'!AM8)</f>
        <v>5.1020000000000003</v>
      </c>
      <c r="AM4" s="243">
        <f>IF(ISBLANK('Measured Data'!AN8),"",'Measured Data'!AN8)</f>
        <v>3.33</v>
      </c>
      <c r="AN4" s="243">
        <f>IF(ISBLANK('Measured Data'!AO8),"",'Measured Data'!AO8)</f>
        <v>1.153</v>
      </c>
      <c r="AO4" s="243">
        <f>IF(ISBLANK('Measured Data'!AP8),"",'Measured Data'!AP8)</f>
        <v>1.5720000000000001</v>
      </c>
      <c r="AP4" s="243">
        <f>IF(ISBLANK('Measured Data'!AQ8),"",'Measured Data'!AQ8)</f>
        <v>3.302</v>
      </c>
      <c r="AQ4" s="243">
        <f>IF(ISBLANK('Measured Data'!AR8),"",'Measured Data'!AR8)</f>
        <v>0</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t="str">
        <f>IF(ISBLANK('Measured Data'!BP8),"",'Measured Data'!BP8)</f>
        <v/>
      </c>
      <c r="BN4" s="238">
        <f>IF(ISBLANK('In Process Calc.'!B4),"",ROUND('In Process Calc.'!B4,2))</f>
        <v>0.89</v>
      </c>
      <c r="BO4" s="238">
        <f>IF(ISBLANK('In Process Calc.'!C4),"",ROUND('In Process Calc.'!C4,2))</f>
        <v>21.28</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327.29997729492175</v>
      </c>
      <c r="BV4" s="243">
        <f>IF(ISBLANK('In Process Calc.'!M4),"",'In Process Calc.'!M4)</f>
        <v>0</v>
      </c>
      <c r="BW4" s="243">
        <f>IF(ISBLANK('In Process Calc.'!N4),"",'In Process Calc.'!N4)</f>
        <v>0</v>
      </c>
      <c r="BX4" s="243">
        <f>IF(ISBLANK('In Process Calc.'!O4),"",'In Process Calc.'!O4)</f>
        <v>-1.4384999999999992E-2</v>
      </c>
      <c r="BY4" s="243">
        <f>IF(ISBLANK('In Process Calc.'!P4),"",'In Process Calc.'!P4)</f>
        <v>0.19453500000000032</v>
      </c>
      <c r="BZ4" s="243">
        <f>IF(ISBLANK('In Process Calc.'!Q4),"",'In Process Calc.'!Q4)</f>
        <v>0.78236999999999901</v>
      </c>
      <c r="CA4" s="243">
        <f>IF(ISBLANK('In Process Calc.'!R4),"",'In Process Calc.'!R4)</f>
        <v>-6.3900000000000096E-2</v>
      </c>
      <c r="CB4" s="243">
        <f>IF(ISBLANK('In Process Calc.'!S4),"",'In Process Calc.'!S4)</f>
        <v>-0.11179499999999962</v>
      </c>
      <c r="CC4" s="243">
        <f>IF(ISBLANK('In Process Calc.'!T4),"",'In Process Calc.'!T4)</f>
        <v>1.5792750255105248</v>
      </c>
      <c r="CD4" s="243">
        <f>IF(ISBLANK('In Process Calc.'!U4),"",'In Process Calc.'!U4)</f>
        <v>0</v>
      </c>
      <c r="CE4" s="243">
        <f>IF(ISBLANK('In Process Calc.'!V4),"",'In Process Calc.'!V4)</f>
        <v>-6.2354999999999564E-2</v>
      </c>
      <c r="CF4" s="243">
        <f>IF(ISBLANK('In Process Calc.'!W4),"",'In Process Calc.'!W4)</f>
        <v>-0.11394000000000011</v>
      </c>
      <c r="CG4" s="243">
        <f>IF(ISBLANK('In Process Calc.'!X4),"",'In Process Calc.'!X4)</f>
        <v>-0.66964499999999993</v>
      </c>
      <c r="CH4" s="243">
        <f>IF(ISBLANK('In Process Calc.'!Y4),"",'In Process Calc.'!Y4)</f>
        <v>3.8924999999999273E-2</v>
      </c>
      <c r="CI4" s="243">
        <f>IF(ISBLANK('In Process Calc.'!Z4),"",'In Process Calc.'!Z4)</f>
        <v>1.268872113676732</v>
      </c>
      <c r="CJ4" s="243">
        <f>IF(ISBLANK('In Process Calc.'!AA4),"",'In Process Calc.'!AA4)</f>
        <v>4.3844999999999343E-2</v>
      </c>
      <c r="CK4" s="243">
        <f>IF(ISBLANK('In Process Calc.'!AB4),"",'In Process Calc.'!AB4)</f>
        <v>-0.11401499999999942</v>
      </c>
      <c r="CL4" s="243">
        <f>IF(ISBLANK('In Process Calc.'!AC4),"",'In Process Calc.'!AC4)</f>
        <v>2.974499999999989E-2</v>
      </c>
      <c r="CM4" s="243">
        <f>IF(ISBLANK('In Process Calc.'!AD4),"",'In Process Calc.'!AD4)</f>
        <v>-0.29759999999999992</v>
      </c>
      <c r="CN4" s="243">
        <f>IF(ISBLANK('In Process Calc.'!AE4),"",'In Process Calc.'!AE4)</f>
        <v>-1.9964999999999691E-2</v>
      </c>
      <c r="CO4" s="243">
        <f>IF(ISBLANK('In Process Calc.'!AF4),"",'In Process Calc.'!AF4)</f>
        <v>-8.7749999999996355E-3</v>
      </c>
      <c r="CP4" s="243">
        <f>IF(ISBLANK('In Process Calc.'!AG4),"",'In Process Calc.'!AG4)</f>
        <v>0.25261499999999976</v>
      </c>
      <c r="CQ4" s="243">
        <f>IF(ISBLANK('In Process Calc.'!AH4),"",'In Process Calc.'!AH4)</f>
        <v>-7.1955000000000838E-2</v>
      </c>
      <c r="CR4" s="243">
        <f>IF(ISBLANK('In Process Calc.'!AI4),"",'In Process Calc.'!AI4)</f>
        <v>-5.9250000000001819E-3</v>
      </c>
      <c r="CS4" s="243">
        <f>IF(ISBLANK('In Process Calc.'!AJ4),"",'In Process Calc.'!AJ4)</f>
        <v>-3.5100000000002182E-3</v>
      </c>
      <c r="CT4" s="243">
        <f>IF(ISBLANK('In Process Calc.'!AK4),"",'In Process Calc.'!AK4)</f>
        <v>-1.8195000000000617E-2</v>
      </c>
      <c r="CU4" s="243">
        <f>IF(ISBLANK('In Process Calc.'!AL4),"",'In Process Calc.'!AL4)</f>
        <v>0</v>
      </c>
      <c r="CV4" s="243">
        <f>IF(ISBLANK('In Process Calc.'!AM4),"",'In Process Calc.'!AM4)</f>
        <v>0.15622499999999842</v>
      </c>
      <c r="CW4" s="243">
        <f>IF(ISBLANK('In Process Calc.'!AN4),"",'In Process Calc.'!AN4)</f>
        <v>-0.15576000000000148</v>
      </c>
      <c r="CX4" s="243">
        <f>IF(ISBLANK('In Process Calc.'!AO4),"",'In Process Calc.'!AO4)</f>
        <v>-1.1240700000000092</v>
      </c>
      <c r="CY4" s="243">
        <f>IF(ISBLANK('In Process Calc.'!AP4),"",'In Process Calc.'!AP4)</f>
        <v>0</v>
      </c>
      <c r="CZ4" s="243">
        <f>IF(ISBLANK('In Process Calc.'!AQ4),"",'In Process Calc.'!AQ4)</f>
        <v>0</v>
      </c>
      <c r="DA4" s="243">
        <f>IF(ISBLANK('In Process Calc.'!AR4),"",'In Process Calc.'!AR4)</f>
        <v>2.3752674833511265E-2</v>
      </c>
      <c r="DB4" s="243">
        <f>IF(ISBLANK('In Process Calc.'!AS4),"",'In Process Calc.'!AS4)</f>
        <v>2.3962614215634895E-2</v>
      </c>
      <c r="DC4" s="243">
        <f>IF(ISBLANK('In Process Calc.'!AT4),"",'In Process Calc.'!AT4)</f>
        <v>2.0993938212363045E-4</v>
      </c>
      <c r="DD4" s="243">
        <f>IF(ISBLANK('In Process Calc.'!AU4),"",'In Process Calc.'!AU4)</f>
        <v>0</v>
      </c>
      <c r="DE4" s="243">
        <f>IF(ISBLANK('In Process Calc.'!AV4),"",'In Process Calc.'!AV4)</f>
        <v>-1.0439421056610038E-3</v>
      </c>
      <c r="DF4" s="243">
        <f>IF(ISBLANK('In Process Calc.'!AW4),"",'In Process Calc.'!AW4)</f>
        <v>1.4117711332969331E-2</v>
      </c>
      <c r="DG4" s="243">
        <f>IF(ISBLANK('In Process Calc.'!AX4),"",'In Process Calc.'!AX4)</f>
        <v>5.6777823093917205E-2</v>
      </c>
      <c r="DH4" s="243">
        <f>IF(ISBLANK('In Process Calc.'!AY4),"",'In Process Calc.'!AY4)</f>
        <v>-4.6373236393283477E-3</v>
      </c>
      <c r="DI4" s="243">
        <f>IF(ISBLANK('In Process Calc.'!AZ4),"",'In Process Calc.'!AZ4)</f>
        <v>-8.113139221576058E-3</v>
      </c>
      <c r="DJ4" s="243">
        <f>IF(ISBLANK('In Process Calc.'!BA4),"",'In Process Calc.'!BA4)</f>
        <v>0.1449857625715468</v>
      </c>
      <c r="DK4" s="243">
        <f>IF(ISBLANK('In Process Calc.'!BB4),"",'In Process Calc.'!BB4)</f>
        <v>0</v>
      </c>
      <c r="DL4" s="243">
        <f>IF(ISBLANK('In Process Calc.'!BC4),"",'In Process Calc.'!BC4)</f>
        <v>-4.5252005560299947E-3</v>
      </c>
      <c r="DM4" s="243">
        <f>IF(ISBLANK('In Process Calc.'!BD4),"",'In Process Calc.'!BD4)</f>
        <v>-8.2688052498446265E-3</v>
      </c>
      <c r="DN4" s="243">
        <f>IF(ISBLANK('In Process Calc.'!BE4),"",'In Process Calc.'!BE4)</f>
        <v>-4.859719230763735E-2</v>
      </c>
      <c r="DO4" s="243">
        <f>IF(ISBLANK('In Process Calc.'!BF4),"",'In Process Calc.'!BF4)</f>
        <v>2.8248485549429154E-3</v>
      </c>
      <c r="DP4" s="243">
        <f>IF(ISBLANK('In Process Calc.'!BG4),"",'In Process Calc.'!BG4)</f>
        <v>0.12206797753233189</v>
      </c>
      <c r="DQ4" s="243">
        <f>IF(ISBLANK('In Process Calc.'!BH4),"",'In Process Calc.'!BH4)</f>
        <v>3.1819007036987179E-3</v>
      </c>
      <c r="DR4" s="243">
        <f>IF(ISBLANK('In Process Calc.'!BI4),"",'In Process Calc.'!BI4)</f>
        <v>-8.2742481179658538E-3</v>
      </c>
      <c r="DS4" s="243">
        <f>IF(ISBLANK('In Process Calc.'!BJ4),"",'In Process Calc.'!BJ4)</f>
        <v>2.1586414968986071E-3</v>
      </c>
      <c r="DT4" s="243">
        <f>IF(ISBLANK('In Process Calc.'!BK4),"",'In Process Calc.'!BK4)</f>
        <v>-2.1597300705228698E-2</v>
      </c>
      <c r="DU4" s="243">
        <f>IF(ISBLANK('In Process Calc.'!BL4),"",'In Process Calc.'!BL4)</f>
        <v>-1.4488914938840202E-3</v>
      </c>
      <c r="DV4" s="243">
        <f>IF(ISBLANK('In Process Calc.'!BM4),"",'In Process Calc.'!BM4)</f>
        <v>-6.3681557018942887E-4</v>
      </c>
      <c r="DW4" s="243">
        <f>IF(ISBLANK('In Process Calc.'!BN4),"",'In Process Calc.'!BN4)</f>
        <v>1.8332668406086505E-2</v>
      </c>
      <c r="DX4" s="243">
        <f>IF(ISBLANK('In Process Calc.'!BO4),"",'In Process Calc.'!BO4)</f>
        <v>-5.2218876755535937E-3</v>
      </c>
      <c r="DY4" s="243">
        <f>IF(ISBLANK('In Process Calc.'!BP4),"",'In Process Calc.'!BP4)</f>
        <v>-4.2998658158092745E-4</v>
      </c>
      <c r="DZ4" s="243">
        <f>IF(ISBLANK('In Process Calc.'!BQ4),"",'In Process Calc.'!BQ4)</f>
        <v>-2.5472622807579793E-4</v>
      </c>
      <c r="EA4" s="243">
        <f>IF(ISBLANK('In Process Calc.'!BR4),"",'In Process Calc.'!BR4)</f>
        <v>-1.3204398062219411E-3</v>
      </c>
      <c r="EB4" s="243">
        <f>IF(ISBLANK('In Process Calc.'!BS4),"",'In Process Calc.'!BS4)</f>
        <v>0</v>
      </c>
      <c r="EC4" s="243">
        <f>IF(ISBLANK('In Process Calc.'!BT4),"",'In Process Calc.'!BT4)</f>
        <v>1.9880620099777653E-2</v>
      </c>
      <c r="ED4" s="243">
        <f>IF(ISBLANK('In Process Calc.'!BU4),"",'In Process Calc.'!BU4)</f>
        <v>-6.7273849979004137E-4</v>
      </c>
      <c r="EE4" s="243">
        <f>IF(ISBLANK('In Process Calc.'!BV4),"",'In Process Calc.'!BV4)</f>
        <v>-8.4829276817357371E-2</v>
      </c>
      <c r="EF4" s="243">
        <f>IF(ISBLANK('In Process Calc.'!BW4),"",'In Process Calc.'!BW4)</f>
        <v>0.41364926862808715</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0.43249998817443841</v>
      </c>
      <c r="EL4" s="243">
        <f>IF(ISBLANK('Post Process Calc.'!C4),"",'Post Process Calc.'!C4)</f>
        <v>2.5849252378696761E-2</v>
      </c>
      <c r="EM4" s="243">
        <f>IF(ISBLANK('Post Process Calc.'!D4),"",'Post Process Calc.'!D4)</f>
        <v>0</v>
      </c>
      <c r="EN4" s="243">
        <f>IF(ISBLANK('Post Process Calc.'!E4),"",'Post Process Calc.'!E4)</f>
        <v>-18.929041884271026</v>
      </c>
      <c r="EO4" s="243">
        <f>IF(ISBLANK('Post Process Calc.'!F4),"",'Post Process Calc.'!F4)</f>
        <v>9.8495624353183611E-2</v>
      </c>
      <c r="EP4" s="243">
        <f>IF(ISBLANK('Post Process Calc.'!G4),"",'Post Process Calc.'!G4)</f>
        <v>-1.4785226862303721E-3</v>
      </c>
      <c r="EQ4" s="243">
        <f>IF(ISBLANK('Post Process Calc.'!H4),"",'Post Process Calc.'!H4)</f>
        <v>3.3605251098454407E-2</v>
      </c>
      <c r="ER4" s="243">
        <f>IF(ISBLANK('Post Process Calc.'!I4),"",'Post Process Calc.'!I4)</f>
        <v>7.0182415339087187E-2</v>
      </c>
      <c r="ES4" s="243">
        <f>IF(ISBLANK('Post Process Calc.'!J4),"",'Post Process Calc.'!J4)</f>
        <v>2.109829597435187E-3</v>
      </c>
      <c r="ET4" s="243">
        <f>IF(ISBLANK('Post Process Calc.'!K4),"",'Post Process Calc.'!K4)</f>
        <v>4.0979128707748252E-2</v>
      </c>
      <c r="EU4" s="243">
        <f>IF(ISBLANK('Post Process Calc.'!L4),"",'Post Process Calc.'!L4)</f>
        <v>-2.1788301503209831E-2</v>
      </c>
      <c r="EV4" s="243">
        <f>IF(ISBLANK('Post Process Calc.'!M4),"",'Post Process Calc.'!M4)</f>
        <v>-0.38333781517343507</v>
      </c>
      <c r="EW4" s="243">
        <f>IF(ISBLANK('Post Process Calc.'!N4),"",'Post Process Calc.'!N4)</f>
        <v>-8.9430046535007093E-2</v>
      </c>
      <c r="EX4" s="243">
        <f>IF(ISBLANK('Post Process Calc.'!O4),"",'Post Process Calc.'!O4)</f>
        <v>-1.8304527758454803E-2</v>
      </c>
      <c r="EY4" s="243">
        <f>IF(ISBLANK('Post Process Calc.'!P4),"",'Post Process Calc.'!P4)</f>
        <v>-2.8373910678298832E-2</v>
      </c>
      <c r="EZ4" s="243">
        <f>IF(ISBLANK('Post Process Calc.'!Q4),"",'Post Process Calc.'!Q4)</f>
        <v>1.6113994448061195E-2</v>
      </c>
      <c r="FA4" s="243">
        <f>IF(ISBLANK('Post Process Calc.'!R4),"",'Post Process Calc.'!R4)</f>
        <v>-3.7002599268038464E-2</v>
      </c>
      <c r="FB4" s="243">
        <f>IF(ISBLANK('Post Process Calc.'!S4),"",'Post Process Calc.'!S4)</f>
        <v>-3.092051520107186E-2</v>
      </c>
      <c r="FC4" s="243">
        <f>IF(ISBLANK('Post Process Calc.'!T4),"",'Post Process Calc.'!T4)</f>
        <v>4.7293295876413479E-3</v>
      </c>
      <c r="FD4" s="243">
        <f>IF(ISBLANK('Post Process Calc.'!U4),"",'Post Process Calc.'!U4)</f>
        <v>-0.1392914128459713</v>
      </c>
      <c r="FE4" s="243">
        <f>IF(ISBLANK('Post Process Calc.'!V4),"",'Post Process Calc.'!V4)</f>
        <v>-1.635447897528302E-2</v>
      </c>
      <c r="FF4" s="243">
        <f>IF(ISBLANK('Post Process Calc.'!W4),"",'Post Process Calc.'!W4)</f>
        <v>2.4043009875281549E-2</v>
      </c>
      <c r="FG4" s="243">
        <f>IF(ISBLANK('Post Process Calc.'!X4),"",'Post Process Calc.'!X4)</f>
        <v>6.3077544630334131E-2</v>
      </c>
      <c r="FH4" s="243">
        <f>IF(ISBLANK('Post Process Calc.'!Y4),"",'Post Process Calc.'!Y4)</f>
        <v>2.3477057927152626E-3</v>
      </c>
      <c r="FI4" s="243">
        <f>IF(ISBLANK('Post Process Calc.'!Z4),"",'Post Process Calc.'!Z4)</f>
        <v>-1.588874958190014E-3</v>
      </c>
      <c r="FJ4" s="243">
        <f>IF(ISBLANK('Post Process Calc.'!AA4),"",'Post Process Calc.'!AA4)</f>
        <v>-1.1513107126300331E-3</v>
      </c>
      <c r="FK4" s="243">
        <f>IF(ISBLANK('Post Process Calc.'!AB4),"",'Post Process Calc.'!AB4)</f>
        <v>-7.402291767897283E-2</v>
      </c>
      <c r="FL4" s="243">
        <f>IF(ISBLANK('Post Process Calc.'!AC4),"",'Post Process Calc.'!AC4)</f>
        <v>0</v>
      </c>
      <c r="FM4" s="243">
        <f>IF(ISBLANK('Post Process Calc.'!AD4),"",'Post Process Calc.'!AD4)</f>
        <v>-0.51347296105980933</v>
      </c>
      <c r="FN4" s="243">
        <f>IF(ISBLANK('Post Process Calc.'!AE4),"",'Post Process Calc.'!AE4)</f>
        <v>-0.55426874955259675</v>
      </c>
      <c r="FO4" s="243">
        <f>IF(ISBLANK('Post Process Calc.'!AF4),"",'Post Process Calc.'!AF4)</f>
        <v>-3.3920248272683651</v>
      </c>
      <c r="FP4" s="243">
        <f>IF(ISBLANK('Post Process Calc.'!AG4),"",'Post Process Calc.'!AG4)</f>
        <v>0.393224428049257</v>
      </c>
      <c r="FQ4" s="243">
        <f>IF(ISBLANK('Post Process Calc.'!AH4),"",'Post Process Calc.'!AH4)</f>
        <v>0</v>
      </c>
      <c r="FR4" s="243">
        <f>IF(ISBLANK('Post Process Calc.'!AI4),"",'Post Process Calc.'!AI4)</f>
        <v>-0.53169264916777359</v>
      </c>
      <c r="FS4" s="243">
        <f>IF(ISBLANK('Post Process Calc.'!AJ4),"",'Post Process Calc.'!AJ4)</f>
        <v>6.3929449858884606</v>
      </c>
    </row>
    <row r="5" spans="1:175">
      <c r="A5" s="238" t="str">
        <f>IF('Measured Data'!B9&lt;&gt;0,'Measured Data'!$B$1,"")</f>
        <v>XB50</v>
      </c>
      <c r="B5" s="238">
        <f>IF(ISBLANK('Measured Data'!A9),"",'Measured Data'!A9)</f>
        <v>2</v>
      </c>
      <c r="C5" s="245">
        <f>IF(ISBLANK('Measured Data'!B9),"",'Measured Data'!B9)</f>
        <v>2.0229166666686069</v>
      </c>
      <c r="D5" s="246">
        <f>IF(ISBLANK('Measured Data'!C9),"",'Measured Data'!C9)</f>
        <v>48.550000000046566</v>
      </c>
      <c r="E5" s="238">
        <f>IF(ISBLANK('Measured Data'!D9),"",'Measured Data'!D9)</f>
        <v>20</v>
      </c>
      <c r="F5" s="238" t="str">
        <f>IF(ISBLANK('Measured Data'!E10),"",'Measured Data'!E10)</f>
        <v/>
      </c>
      <c r="G5" s="238" t="str">
        <f>IF(ISBLANK('Measured Data'!G9),"",'Measured Data'!G9)</f>
        <v/>
      </c>
      <c r="H5" s="243">
        <f>IF(ISBLANK('Measured Data'!H9),"",'Measured Data'!H9)</f>
        <v>0.84</v>
      </c>
      <c r="I5" s="243">
        <f>IF(ISBLANK('Measured Data'!I9),"",'Measured Data'!I9)</f>
        <v>1.1063829787234081E-2</v>
      </c>
      <c r="J5" s="243">
        <f>IF(ISBLANK('Measured Data'!J9),"",'Measured Data'!J9)</f>
        <v>0.85106382978723405</v>
      </c>
      <c r="K5" s="243">
        <f>IF(ISBLANK('Measured Data'!K9),"",'Measured Data'!K9)</f>
        <v>98.7</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335</v>
      </c>
      <c r="S5" s="238" t="str">
        <f>IF(ISBLANK('Measured Data'!S9),"",'Measured Data'!S9)</f>
        <v/>
      </c>
      <c r="T5" s="243">
        <f>IF(ISBLANK('Measured Data'!U9),"",'Measured Data'!U9)</f>
        <v>6.8000000000000005E-2</v>
      </c>
      <c r="U5" s="243">
        <f>IF(ISBLANK('Measured Data'!V9),"",'Measured Data'!V9)</f>
        <v>1.657</v>
      </c>
      <c r="V5" s="243">
        <f>IF(ISBLANK('Measured Data'!W9),"",'Measured Data'!W9)</f>
        <v>5.1859999999999999</v>
      </c>
      <c r="W5" s="243">
        <f>IF(ISBLANK('Measured Data'!X9),"",'Measured Data'!X9)</f>
        <v>1.8180000000000001</v>
      </c>
      <c r="X5" s="243">
        <f>IF(ISBLANK('Measured Data'!Y9),"",'Measured Data'!Y9)</f>
        <v>1.083</v>
      </c>
      <c r="Y5" s="243">
        <f>IF(ISBLANK('Measured Data'!Z9),"",'Measured Data'!Z9)</f>
        <v>32.083305579608783</v>
      </c>
      <c r="Z5" s="243">
        <f>IF(ISBLANK('Measured Data'!AA9),"",'Measured Data'!AA9)</f>
        <v>0.33200000000000002</v>
      </c>
      <c r="AA5" s="243">
        <f>IF(ISBLANK('Measured Data'!AB9),"",'Measured Data'!AB9)</f>
        <v>2.355</v>
      </c>
      <c r="AB5" s="243">
        <f>IF(ISBLANK('Measured Data'!AC9),"",'Measured Data'!AC9)</f>
        <v>0.38600000000000001</v>
      </c>
      <c r="AC5" s="243">
        <f>IF(ISBLANK('Measured Data'!AD9),"",'Measured Data'!AD9)</f>
        <v>1.4370000000000001</v>
      </c>
      <c r="AD5" s="243">
        <f>IF(ISBLANK('Measured Data'!AE9),"",'Measured Data'!AE9)</f>
        <v>2.6389999999999998</v>
      </c>
      <c r="AE5" s="243">
        <f>IF(ISBLANK('Measured Data'!AF9),"",'Measured Data'!AF9)</f>
        <v>2.5532859680284195</v>
      </c>
      <c r="AF5" s="243">
        <f>IF(ISBLANK('Measured Data'!AG9),"",'Measured Data'!AG9)</f>
        <v>4.0759999999999996</v>
      </c>
      <c r="AG5" s="243">
        <f>IF(ISBLANK('Measured Data'!AH9),"",'Measured Data'!AH9)</f>
        <v>3.2919999999999998</v>
      </c>
      <c r="AH5" s="243">
        <f>IF(ISBLANK('Measured Data'!AI9),"",'Measured Data'!AI9)</f>
        <v>0.73199999999999998</v>
      </c>
      <c r="AI5" s="243">
        <f>IF(ISBLANK('Measured Data'!AJ9),"",'Measured Data'!AJ9)</f>
        <v>1.26</v>
      </c>
      <c r="AJ5" s="243">
        <f>IF(ISBLANK('Measured Data'!AK9),"",'Measured Data'!AK9)</f>
        <v>1.228</v>
      </c>
      <c r="AK5" s="243">
        <f>IF(ISBLANK('Measured Data'!AL9),"",'Measured Data'!AL9)</f>
        <v>4.8490000000000002</v>
      </c>
      <c r="AL5" s="243">
        <f>IF(ISBLANK('Measured Data'!AM9),"",'Measured Data'!AM9)</f>
        <v>4.431</v>
      </c>
      <c r="AM5" s="243">
        <f>IF(ISBLANK('Measured Data'!AN9),"",'Measured Data'!AN9)</f>
        <v>3.0129999999999999</v>
      </c>
      <c r="AN5" s="243">
        <f>IF(ISBLANK('Measured Data'!AO9),"",'Measured Data'!AO9)</f>
        <v>1.014</v>
      </c>
      <c r="AO5" s="243">
        <f>IF(ISBLANK('Measured Data'!AP9),"",'Measured Data'!AP9)</f>
        <v>1.454</v>
      </c>
      <c r="AP5" s="243">
        <f>IF(ISBLANK('Measured Data'!AQ9),"",'Measured Data'!AQ9)</f>
        <v>2.9649999999999999</v>
      </c>
      <c r="AQ5" s="243">
        <f>IF(ISBLANK('Measured Data'!AR9),"",'Measured Data'!AR9)</f>
        <v>0</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t="str">
        <f>IF(ISBLANK('Measured Data'!BP9),"",'Measured Data'!BP9)</f>
        <v/>
      </c>
      <c r="BN5" s="238">
        <f>IF(ISBLANK('In Process Calc.'!B5),"",ROUND('In Process Calc.'!B5,2))</f>
        <v>2.02</v>
      </c>
      <c r="BO5" s="238">
        <f>IF(ISBLANK('In Process Calc.'!C5),"",ROUND('In Process Calc.'!C5,2))</f>
        <v>48.55</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1097.0999999999999</v>
      </c>
      <c r="BV5" s="243">
        <f>IF(ISBLANK('In Process Calc.'!M5),"",'In Process Calc.'!M5)</f>
        <v>0</v>
      </c>
      <c r="BW5" s="243">
        <f>IF(ISBLANK('In Process Calc.'!N5),"",'In Process Calc.'!N5)</f>
        <v>0</v>
      </c>
      <c r="BX5" s="243">
        <f>IF(ISBLANK('In Process Calc.'!O5),"",'In Process Calc.'!O5)</f>
        <v>-3.7650000000000149E-3</v>
      </c>
      <c r="BY5" s="243">
        <f>IF(ISBLANK('In Process Calc.'!P5),"",'In Process Calc.'!P5)</f>
        <v>1.1333100000000005</v>
      </c>
      <c r="BZ5" s="243">
        <f>IF(ISBLANK('In Process Calc.'!Q5),"",'In Process Calc.'!Q5)</f>
        <v>3.12</v>
      </c>
      <c r="CA5" s="243">
        <f>IF(ISBLANK('In Process Calc.'!R5),"",'In Process Calc.'!R5)</f>
        <v>0.18225</v>
      </c>
      <c r="CB5" s="243">
        <f>IF(ISBLANK('In Process Calc.'!S5),"",'In Process Calc.'!S5)</f>
        <v>0.10989000000000032</v>
      </c>
      <c r="CC5" s="243">
        <f>IF(ISBLANK('In Process Calc.'!T5),"",'In Process Calc.'!T5)</f>
        <v>2.7049895639962189</v>
      </c>
      <c r="CD5" s="243">
        <f>IF(ISBLANK('In Process Calc.'!U5),"",'In Process Calc.'!U5)</f>
        <v>-0.63246000000000002</v>
      </c>
      <c r="CE5" s="243">
        <f>IF(ISBLANK('In Process Calc.'!V5),"",'In Process Calc.'!V5)</f>
        <v>0.34929000000000088</v>
      </c>
      <c r="CF5" s="243">
        <f>IF(ISBLANK('In Process Calc.'!W5),"",'In Process Calc.'!W5)</f>
        <v>-0.32511000000000007</v>
      </c>
      <c r="CG5" s="243">
        <f>IF(ISBLANK('In Process Calc.'!X5),"",'In Process Calc.'!X5)</f>
        <v>-0.20457000000000014</v>
      </c>
      <c r="CH5" s="243">
        <f>IF(ISBLANK('In Process Calc.'!Y5),"",'In Process Calc.'!Y5)</f>
        <v>0.73707000000000067</v>
      </c>
      <c r="CI5" s="243">
        <f>IF(ISBLANK('In Process Calc.'!Z5),"",'In Process Calc.'!Z5)</f>
        <v>3.5751554174067506</v>
      </c>
      <c r="CJ5" s="243">
        <f>IF(ISBLANK('In Process Calc.'!AA5),"",'In Process Calc.'!AA5)</f>
        <v>1.1110650000000004</v>
      </c>
      <c r="CK5" s="243">
        <f>IF(ISBLANK('In Process Calc.'!AB5),"",'In Process Calc.'!AB5)</f>
        <v>0.56896500000000105</v>
      </c>
      <c r="CL5" s="243">
        <f>IF(ISBLANK('In Process Calc.'!AC5),"",'In Process Calc.'!AC5)</f>
        <v>0.21352499999999985</v>
      </c>
      <c r="CM5" s="243">
        <f>IF(ISBLANK('In Process Calc.'!AD5),"",'In Process Calc.'!AD5)</f>
        <v>-1.1619000000000002</v>
      </c>
      <c r="CN5" s="243">
        <f>IF(ISBLANK('In Process Calc.'!AE5),"",'In Process Calc.'!AE5)</f>
        <v>0.28645499999999996</v>
      </c>
      <c r="CO5" s="243">
        <f>IF(ISBLANK('In Process Calc.'!AF5),"",'In Process Calc.'!AF5)</f>
        <v>1.0239599999999993</v>
      </c>
      <c r="CP5" s="243">
        <f>IF(ISBLANK('In Process Calc.'!AG5),"",'In Process Calc.'!AG5)</f>
        <v>1.6073999999999997</v>
      </c>
      <c r="CQ5" s="243">
        <f>IF(ISBLANK('In Process Calc.'!AH5),"",'In Process Calc.'!AH5)</f>
        <v>0.58188000000000006</v>
      </c>
      <c r="CR5" s="243">
        <f>IF(ISBLANK('In Process Calc.'!AI5),"",'In Process Calc.'!AI5)</f>
        <v>0.27616499999999994</v>
      </c>
      <c r="CS5" s="243">
        <f>IF(ISBLANK('In Process Calc.'!AJ5),"",'In Process Calc.'!AJ5)</f>
        <v>0.24486000000000013</v>
      </c>
      <c r="CT5" s="243">
        <f>IF(ISBLANK('In Process Calc.'!AK5),"",'In Process Calc.'!AK5)</f>
        <v>0.6733199999999997</v>
      </c>
      <c r="CU5" s="243">
        <f>IF(ISBLANK('In Process Calc.'!AL5),"",'In Process Calc.'!AL5)</f>
        <v>0</v>
      </c>
      <c r="CV5" s="243">
        <f>IF(ISBLANK('In Process Calc.'!AM5),"",'In Process Calc.'!AM5)</f>
        <v>18.648750000000007</v>
      </c>
      <c r="CW5" s="243">
        <f>IF(ISBLANK('In Process Calc.'!AN5),"",'In Process Calc.'!AN5)</f>
        <v>17.483085000000006</v>
      </c>
      <c r="CX5" s="243">
        <f>IF(ISBLANK('In Process Calc.'!AO5),"",'In Process Calc.'!AO5)</f>
        <v>56.412000000000006</v>
      </c>
      <c r="CY5" s="243">
        <f>IF(ISBLANK('In Process Calc.'!AP5),"",'In Process Calc.'!AP5)</f>
        <v>0</v>
      </c>
      <c r="CZ5" s="243">
        <f>IF(ISBLANK('In Process Calc.'!AQ5),"",'In Process Calc.'!AQ5)</f>
        <v>0</v>
      </c>
      <c r="DA5" s="243">
        <f>IF(ISBLANK('In Process Calc.'!AR5),"",'In Process Calc.'!AR5)</f>
        <v>2.3230704299404988E-2</v>
      </c>
      <c r="DB5" s="243">
        <f>IF(ISBLANK('In Process Calc.'!AS5),"",'In Process Calc.'!AS5)</f>
        <v>2.3718472247711016E-2</v>
      </c>
      <c r="DC5" s="243">
        <f>IF(ISBLANK('In Process Calc.'!AT5),"",'In Process Calc.'!AT5)</f>
        <v>4.8776794830602903E-4</v>
      </c>
      <c r="DD5" s="243">
        <f>IF(ISBLANK('In Process Calc.'!AU5),"",'In Process Calc.'!AU5)</f>
        <v>0</v>
      </c>
      <c r="DE5" s="243">
        <f>IF(ISBLANK('In Process Calc.'!AV5),"",'In Process Calc.'!AV5)</f>
        <v>3.2048593450639416E-4</v>
      </c>
      <c r="DF5" s="243">
        <f>IF(ISBLANK('In Process Calc.'!AW5),"",'In Process Calc.'!AW5)</f>
        <v>2.8329960750116845E-2</v>
      </c>
      <c r="DG5" s="243">
        <f>IF(ISBLANK('In Process Calc.'!AX5),"",'In Process Calc.'!AX5)</f>
        <v>7.0544024018849738E-2</v>
      </c>
      <c r="DH5" s="243">
        <f>IF(ISBLANK('In Process Calc.'!AY5),"",'In Process Calc.'!AY5)</f>
        <v>7.4282121260592403E-3</v>
      </c>
      <c r="DI5" s="243">
        <f>IF(ISBLANK('In Process Calc.'!AZ5),"",'In Process Calc.'!AZ5)</f>
        <v>6.6899175509463407E-3</v>
      </c>
      <c r="DJ5" s="243">
        <f>IF(ISBLANK('In Process Calc.'!BA5),"",'In Process Calc.'!BA5)</f>
        <v>5.2687416642327865E-2</v>
      </c>
      <c r="DK5" s="243">
        <f>IF(ISBLANK('In Process Calc.'!BB5),"",'In Process Calc.'!BB5)</f>
        <v>-1.9086114325604003E-2</v>
      </c>
      <c r="DL5" s="243">
        <f>IF(ISBLANK('In Process Calc.'!BC5),"",'In Process Calc.'!BC5)</f>
        <v>1.2422451272117238E-2</v>
      </c>
      <c r="DM5" s="243">
        <f>IF(ISBLANK('In Process Calc.'!BD5),"",'In Process Calc.'!BD5)</f>
        <v>-6.3726002626850655E-3</v>
      </c>
      <c r="DN5" s="243">
        <f>IF(ISBLANK('In Process Calc.'!BE5),"",'In Process Calc.'!BE5)</f>
        <v>1.4034839547133856E-2</v>
      </c>
      <c r="DO5" s="243">
        <f>IF(ISBLANK('In Process Calc.'!BF5),"",'In Process Calc.'!BF5)</f>
        <v>2.1068328883801082E-2</v>
      </c>
      <c r="DP5" s="243">
        <f>IF(ISBLANK('In Process Calc.'!BG5),"",'In Process Calc.'!BG5)</f>
        <v>5.7180500911901681E-2</v>
      </c>
      <c r="DQ5" s="243">
        <f>IF(ISBLANK('In Process Calc.'!BH5),"",'In Process Calc.'!BH5)</f>
        <v>3.2206120435396904E-2</v>
      </c>
      <c r="DR5" s="243">
        <f>IF(ISBLANK('In Process Calc.'!BI5),"",'In Process Calc.'!BI5)</f>
        <v>2.0610685833255909E-2</v>
      </c>
      <c r="DS5" s="243">
        <f>IF(ISBLANK('In Process Calc.'!BJ5),"",'In Process Calc.'!BJ5)</f>
        <v>5.5460362564581211E-3</v>
      </c>
      <c r="DT5" s="243">
        <f>IF(ISBLANK('In Process Calc.'!BK5),"",'In Process Calc.'!BK5)</f>
        <v>-2.6082485234828364E-2</v>
      </c>
      <c r="DU5" s="243">
        <f>IF(ISBLANK('In Process Calc.'!BL5),"",'In Process Calc.'!BL5)</f>
        <v>9.2470150707579472E-3</v>
      </c>
      <c r="DV5" s="243">
        <f>IF(ISBLANK('In Process Calc.'!BM5),"",'In Process Calc.'!BM5)</f>
        <v>3.1165446475749654E-2</v>
      </c>
      <c r="DW5" s="243">
        <f>IF(ISBLANK('In Process Calc.'!BN5),"",'In Process Calc.'!BN5)</f>
        <v>4.0884137173281182E-2</v>
      </c>
      <c r="DX5" s="243">
        <f>IF(ISBLANK('In Process Calc.'!BO5),"",'In Process Calc.'!BO5)</f>
        <v>1.9731160168360549E-2</v>
      </c>
      <c r="DY5" s="243">
        <f>IF(ISBLANK('In Process Calc.'!BP5),"",'In Process Calc.'!BP5)</f>
        <v>8.5127944693887941E-3</v>
      </c>
      <c r="DZ5" s="243">
        <f>IF(ISBLANK('In Process Calc.'!BQ5),"",'In Process Calc.'!BQ5)</f>
        <v>7.4952063609560653E-3</v>
      </c>
      <c r="EA5" s="243">
        <f>IF(ISBLANK('In Process Calc.'!BR5),"",'In Process Calc.'!BR5)</f>
        <v>2.0868251506609207E-2</v>
      </c>
      <c r="EB5" s="243">
        <f>IF(ISBLANK('In Process Calc.'!BS5),"",'In Process Calc.'!BS5)</f>
        <v>0</v>
      </c>
      <c r="EC5" s="243">
        <f>IF(ISBLANK('In Process Calc.'!BT5),"",'In Process Calc.'!BT5)</f>
        <v>0.54285700135140413</v>
      </c>
      <c r="ED5" s="243">
        <f>IF(ISBLANK('In Process Calc.'!BU5),"",'In Process Calc.'!BU5)</f>
        <v>0.51645403018206937</v>
      </c>
      <c r="EE5" s="243">
        <f>IF(ISBLANK('In Process Calc.'!BV5),"",'In Process Calc.'!BV5)</f>
        <v>1.6786328987446084</v>
      </c>
      <c r="EF5" s="243">
        <f>IF(ISBLANK('In Process Calc.'!BW5),"",'In Process Calc.'!BW5)</f>
        <v>1.7868086708979984</v>
      </c>
      <c r="EG5" s="243">
        <f>IF(ISBLANK('In Process Calc.'!BX5),"",'In Process Calc.'!BX5)</f>
        <v>1.0852781281738566</v>
      </c>
      <c r="EH5" s="243">
        <f>IF(ISBLANK('In Process Calc.'!BY5),"",'In Process Calc.'!BY5)</f>
        <v>0</v>
      </c>
      <c r="EI5" s="243">
        <f>IF(ISBLANK('In Process Calc.'!BZ5),"",'In Process Calc.'!BZ5)</f>
        <v>-0.36225185332527116</v>
      </c>
      <c r="EJ5" s="243">
        <f>IF(ISBLANK('In Process Calc.'!CA5),"",'In Process Calc.'!CA5)</f>
        <v>1.366568636751732</v>
      </c>
      <c r="EK5" s="243">
        <f>IF(ISBLANK('Post Process Calc.'!A5),"",'Post Process Calc.'!A5)</f>
        <v>0.84</v>
      </c>
      <c r="EL5" s="243">
        <f>IF(ISBLANK('Post Process Calc.'!C5),"",'Post Process Calc.'!C5)</f>
        <v>2.5150830105033578E-2</v>
      </c>
      <c r="EM5" s="243">
        <f>IF(ISBLANK('Post Process Calc.'!D5),"",'Post Process Calc.'!D5)</f>
        <v>0</v>
      </c>
      <c r="EN5" s="243">
        <f>IF(ISBLANK('Post Process Calc.'!E5),"",'Post Process Calc.'!E5)</f>
        <v>-1.5458036888960165</v>
      </c>
      <c r="EO5" s="243">
        <f>IF(ISBLANK('Post Process Calc.'!F5),"",'Post Process Calc.'!F5)</f>
        <v>-7.8687591101249867E-3</v>
      </c>
      <c r="EP5" s="243">
        <f>IF(ISBLANK('Post Process Calc.'!G5),"",'Post Process Calc.'!G5)</f>
        <v>-4.9375296149146023E-3</v>
      </c>
      <c r="EQ5" s="243">
        <f>IF(ISBLANK('Post Process Calc.'!H5),"",'Post Process Calc.'!H5)</f>
        <v>1.4326743173083321E-3</v>
      </c>
      <c r="ER5" s="243">
        <f>IF(ISBLANK('Post Process Calc.'!I5),"",'Post Process Calc.'!I5)</f>
        <v>-1.4355056811020956E-3</v>
      </c>
      <c r="ES5" s="243">
        <f>IF(ISBLANK('Post Process Calc.'!J5),"",'Post Process Calc.'!J5)</f>
        <v>5.9541915396956347E-3</v>
      </c>
      <c r="ET5" s="243">
        <f>IF(ISBLANK('Post Process Calc.'!K5),"",'Post Process Calc.'!K5)</f>
        <v>0.10944412662374273</v>
      </c>
      <c r="EU5" s="243">
        <f>IF(ISBLANK('Post Process Calc.'!L5),"",'Post Process Calc.'!L5)</f>
        <v>-7.4697979419109453E-3</v>
      </c>
      <c r="EV5" s="243">
        <f>IF(ISBLANK('Post Process Calc.'!M5),"",'Post Process Calc.'!M5)</f>
        <v>-0.191712929183664</v>
      </c>
      <c r="EW5" s="243">
        <f>IF(ISBLANK('Post Process Calc.'!N5),"",'Post Process Calc.'!N5)</f>
        <v>-2.82486380780286E-2</v>
      </c>
      <c r="EX5" s="243">
        <f>IF(ISBLANK('Post Process Calc.'!O5),"",'Post Process Calc.'!O5)</f>
        <v>-3.9208392085177558E-3</v>
      </c>
      <c r="EY5" s="243">
        <f>IF(ISBLANK('Post Process Calc.'!P5),"",'Post Process Calc.'!P5)</f>
        <v>-1.3881564768262109E-2</v>
      </c>
      <c r="EZ5" s="243">
        <f>IF(ISBLANK('Post Process Calc.'!Q5),"",'Post Process Calc.'!Q5)</f>
        <v>8.3067473273430462E-2</v>
      </c>
      <c r="FA5" s="243">
        <f>IF(ISBLANK('Post Process Calc.'!R5),"",'Post Process Calc.'!R5)</f>
        <v>-1.1808240335662988E-2</v>
      </c>
      <c r="FB5" s="243">
        <f>IF(ISBLANK('Post Process Calc.'!S5),"",'Post Process Calc.'!S5)</f>
        <v>-1.9268282505815224E-2</v>
      </c>
      <c r="FC5" s="243">
        <f>IF(ISBLANK('Post Process Calc.'!T5),"",'Post Process Calc.'!T5)</f>
        <v>6.1957086790605338E-3</v>
      </c>
      <c r="FD5" s="243">
        <f>IF(ISBLANK('Post Process Calc.'!U5),"",'Post Process Calc.'!U5)</f>
        <v>-7.893539044450644E-2</v>
      </c>
      <c r="FE5" s="243">
        <f>IF(ISBLANK('Post Process Calc.'!V5),"",'Post Process Calc.'!V5)</f>
        <v>-8.8997696663846559E-3</v>
      </c>
      <c r="FF5" s="243">
        <f>IF(ISBLANK('Post Process Calc.'!W5),"",'Post Process Calc.'!W5)</f>
        <v>2.3184956364357759E-2</v>
      </c>
      <c r="FG5" s="243">
        <f>IF(ISBLANK('Post Process Calc.'!X5),"",'Post Process Calc.'!X5)</f>
        <v>4.5786259755064229E-2</v>
      </c>
      <c r="FH5" s="243">
        <f>IF(ISBLANK('Post Process Calc.'!Y5),"",'Post Process Calc.'!Y5)</f>
        <v>1.5888569666529878E-2</v>
      </c>
      <c r="FI5" s="243">
        <f>IF(ISBLANK('Post Process Calc.'!Z5),"",'Post Process Calc.'!Z5)</f>
        <v>-3.7293362806272603E-3</v>
      </c>
      <c r="FJ5" s="243">
        <f>IF(ISBLANK('Post Process Calc.'!AA5),"",'Post Process Calc.'!AA5)</f>
        <v>7.797729110753682E-3</v>
      </c>
      <c r="FK5" s="243">
        <f>IF(ISBLANK('Post Process Calc.'!AB5),"",'Post Process Calc.'!AB5)</f>
        <v>-4.7883493399010192E-2</v>
      </c>
      <c r="FL5" s="243">
        <f>IF(ISBLANK('Post Process Calc.'!AC5),"",'Post Process Calc.'!AC5)</f>
        <v>0</v>
      </c>
      <c r="FM5" s="243">
        <f>IF(ISBLANK('Post Process Calc.'!AD5),"",'Post Process Calc.'!AD5)</f>
        <v>-0.26106882954478955</v>
      </c>
      <c r="FN5" s="243">
        <f>IF(ISBLANK('Post Process Calc.'!AE5),"",'Post Process Calc.'!AE5)</f>
        <v>-0.347872979099421</v>
      </c>
      <c r="FO5" s="243">
        <f>IF(ISBLANK('Post Process Calc.'!AF5),"",'Post Process Calc.'!AF5)</f>
        <v>-1.3632047312722133</v>
      </c>
      <c r="FP5" s="243">
        <f>IF(ISBLANK('Post Process Calc.'!AG5),"",'Post Process Calc.'!AG5)</f>
        <v>0.75899434566285684</v>
      </c>
      <c r="FQ5" s="243">
        <f>IF(ISBLANK('Post Process Calc.'!AH5),"",'Post Process Calc.'!AH5)</f>
        <v>0</v>
      </c>
      <c r="FR5" s="243">
        <f>IF(ISBLANK('Post Process Calc.'!AI5),"",'Post Process Calc.'!AI5)</f>
        <v>-6.8252159091106976E-2</v>
      </c>
      <c r="FS5" s="243">
        <f>IF(ISBLANK('Post Process Calc.'!AJ5),"",'Post Process Calc.'!AJ5)</f>
        <v>10.567272509691602</v>
      </c>
    </row>
    <row r="6" spans="1:175">
      <c r="A6" s="238" t="str">
        <f>IF('Measured Data'!B10&lt;&gt;0,'Measured Data'!$B$1,"")</f>
        <v>XB50</v>
      </c>
      <c r="B6" s="238">
        <f>IF(ISBLANK('Measured Data'!A10),"",'Measured Data'!A10)</f>
        <v>3</v>
      </c>
      <c r="C6" s="245">
        <f>IF(ISBLANK('Measured Data'!B10),"",'Measured Data'!B10)</f>
        <v>2.9604166666686069</v>
      </c>
      <c r="D6" s="246">
        <f>IF(ISBLANK('Measured Data'!C10),"",'Measured Data'!C10)</f>
        <v>71.050000000046566</v>
      </c>
      <c r="E6" s="238">
        <f>IF(ISBLANK('Measured Data'!D10),"",'Measured Data'!D10)</f>
        <v>20</v>
      </c>
      <c r="F6" s="238" t="e">
        <f>IF(ISBLANK('Measured Data'!#REF!),"",'Measured Data'!#REF!)</f>
        <v>#REF!</v>
      </c>
      <c r="G6" s="238" t="str">
        <f>IF(ISBLANK('Measured Data'!G10),"",'Measured Data'!G10)</f>
        <v/>
      </c>
      <c r="H6" s="243">
        <f>IF(ISBLANK('Measured Data'!H10),"",'Measured Data'!H10)</f>
        <v>1.4873000217437744</v>
      </c>
      <c r="I6" s="243">
        <f>IF(ISBLANK('Measured Data'!I10),"",'Measured Data'!I10)</f>
        <v>1.7401904409480418E-2</v>
      </c>
      <c r="J6" s="243">
        <f>IF(ISBLANK('Measured Data'!J10),"",'Measured Data'!J10)</f>
        <v>1.5047019261532548</v>
      </c>
      <c r="K6" s="243">
        <f>IF(ISBLANK('Measured Data'!K10),"",'Measured Data'!K10)</f>
        <v>98.843498229980469</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323</v>
      </c>
      <c r="S6" s="238" t="str">
        <f>IF(ISBLANK('Measured Data'!S10),"",'Measured Data'!S10)</f>
        <v/>
      </c>
      <c r="T6" s="243">
        <f>IF(ISBLANK('Measured Data'!U10),"",'Measured Data'!U10)</f>
        <v>0.10199999999999999</v>
      </c>
      <c r="U6" s="243">
        <f>IF(ISBLANK('Measured Data'!V10),"",'Measured Data'!V10)</f>
        <v>1.6890000000000001</v>
      </c>
      <c r="V6" s="243">
        <f>IF(ISBLANK('Measured Data'!W10),"",'Measured Data'!W10)</f>
        <v>4.5129999999999999</v>
      </c>
      <c r="W6" s="243">
        <f>IF(ISBLANK('Measured Data'!X10),"",'Measured Data'!X10)</f>
        <v>1.6950000000000001</v>
      </c>
      <c r="X6" s="243">
        <f>IF(ISBLANK('Measured Data'!Y10),"",'Measured Data'!Y10)</f>
        <v>0.96799999999999997</v>
      </c>
      <c r="Y6" s="243">
        <f>IF(ISBLANK('Measured Data'!Z10),"",'Measured Data'!Z10)</f>
        <v>29.807500166522345</v>
      </c>
      <c r="Z6" s="243">
        <f>IF(ISBLANK('Measured Data'!AA10),"",'Measured Data'!AA10)</f>
        <v>0.35599999999999998</v>
      </c>
      <c r="AA6" s="243">
        <f>IF(ISBLANK('Measured Data'!AB10),"",'Measured Data'!AB10)</f>
        <v>2.2269999999999999</v>
      </c>
      <c r="AB6" s="243">
        <f>IF(ISBLANK('Measured Data'!AC10),"",'Measured Data'!AC10)</f>
        <v>0.53200000000000003</v>
      </c>
      <c r="AC6" s="243">
        <f>IF(ISBLANK('Measured Data'!AD10),"",'Measured Data'!AD10)</f>
        <v>0.97699999999999998</v>
      </c>
      <c r="AD6" s="243">
        <f>IF(ISBLANK('Measured Data'!AE10),"",'Measured Data'!AE10)</f>
        <v>2.4089999999999998</v>
      </c>
      <c r="AE6" s="243">
        <f>IF(ISBLANK('Measured Data'!AF10),"",'Measured Data'!AF10)</f>
        <v>3.4413854351687392</v>
      </c>
      <c r="AF6" s="243">
        <f>IF(ISBLANK('Measured Data'!AG10),"",'Measured Data'!AG10)</f>
        <v>3.72</v>
      </c>
      <c r="AG6" s="243">
        <f>IF(ISBLANK('Measured Data'!AH10),"",'Measured Data'!AH10)</f>
        <v>3.0379999999999998</v>
      </c>
      <c r="AH6" s="243">
        <f>IF(ISBLANK('Measured Data'!AI10),"",'Measured Data'!AI10)</f>
        <v>0.64900000000000002</v>
      </c>
      <c r="AI6" s="243">
        <f>IF(ISBLANK('Measured Data'!AJ10),"",'Measured Data'!AJ10)</f>
        <v>1.8</v>
      </c>
      <c r="AJ6" s="243">
        <f>IF(ISBLANK('Measured Data'!AK10),"",'Measured Data'!AK10)</f>
        <v>1.123</v>
      </c>
      <c r="AK6" s="243">
        <f>IF(ISBLANK('Measured Data'!AL10),"",'Measured Data'!AL10)</f>
        <v>4.5590000000000002</v>
      </c>
      <c r="AL6" s="243">
        <f>IF(ISBLANK('Measured Data'!AM10),"",'Measured Data'!AM10)</f>
        <v>3.9089999999999998</v>
      </c>
      <c r="AM6" s="243">
        <f>IF(ISBLANK('Measured Data'!AN10),"",'Measured Data'!AN10)</f>
        <v>2.7930000000000001</v>
      </c>
      <c r="AN6" s="243">
        <f>IF(ISBLANK('Measured Data'!AO10),"",'Measured Data'!AO10)</f>
        <v>0.90500000000000003</v>
      </c>
      <c r="AO6" s="243">
        <f>IF(ISBLANK('Measured Data'!AP10),"",'Measured Data'!AP10)</f>
        <v>1.35</v>
      </c>
      <c r="AP6" s="243">
        <f>IF(ISBLANK('Measured Data'!AQ10),"",'Measured Data'!AQ10)</f>
        <v>2.7189999999999999</v>
      </c>
      <c r="AQ6" s="243">
        <f>IF(ISBLANK('Measured Data'!AR10),"",'Measured Data'!AR10)</f>
        <v>0</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t="str">
        <f>IF(ISBLANK('Measured Data'!BP10),"",'Measured Data'!BP10)</f>
        <v/>
      </c>
      <c r="BN6" s="238">
        <f>IF(ISBLANK('In Process Calc.'!B6),"",ROUND('In Process Calc.'!B6,2))</f>
        <v>2.96</v>
      </c>
      <c r="BO6" s="238">
        <f>IF(ISBLANK('In Process Calc.'!C6),"",ROUND('In Process Calc.'!C6,2))</f>
        <v>71.05</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2287.0748407913206</v>
      </c>
      <c r="BV6" s="243">
        <f>IF(ISBLANK('In Process Calc.'!M6),"",'In Process Calc.'!M6)</f>
        <v>0</v>
      </c>
      <c r="BW6" s="243">
        <f>IF(ISBLANK('In Process Calc.'!N6),"",'In Process Calc.'!N6)</f>
        <v>0</v>
      </c>
      <c r="BX6" s="243">
        <f>IF(ISBLANK('In Process Calc.'!O6),"",'In Process Calc.'!O6)</f>
        <v>-6.5576999999999969E-2</v>
      </c>
      <c r="BY6" s="243">
        <f>IF(ISBLANK('In Process Calc.'!P6),"",'In Process Calc.'!P6)</f>
        <v>1.1213310000000003</v>
      </c>
      <c r="BZ6" s="243">
        <f>IF(ISBLANK('In Process Calc.'!Q6),"",'In Process Calc.'!Q6)</f>
        <v>4.5329420000000011</v>
      </c>
      <c r="CA6" s="243">
        <f>IF(ISBLANK('In Process Calc.'!R6),"",'In Process Calc.'!R6)</f>
        <v>0.4657199999999998</v>
      </c>
      <c r="CB6" s="243">
        <f>IF(ISBLANK('In Process Calc.'!S6),"",'In Process Calc.'!S6)</f>
        <v>0.35703700000000027</v>
      </c>
      <c r="CC6" s="243">
        <f>IF(ISBLANK('In Process Calc.'!T6),"",'In Process Calc.'!T6)</f>
        <v>5.3259832690662527</v>
      </c>
      <c r="CD6" s="243">
        <f>IF(ISBLANK('In Process Calc.'!U6),"",'In Process Calc.'!U6)</f>
        <v>-0.66785600000000001</v>
      </c>
      <c r="CE6" s="243">
        <f>IF(ISBLANK('In Process Calc.'!V6),"",'In Process Calc.'!V6)</f>
        <v>0.65771300000000066</v>
      </c>
      <c r="CF6" s="243">
        <f>IF(ISBLANK('In Process Calc.'!W6),"",'In Process Calc.'!W6)</f>
        <v>-0.587812</v>
      </c>
      <c r="CG6" s="243">
        <f>IF(ISBLANK('In Process Calc.'!X6),"",'In Process Calc.'!X6)</f>
        <v>0.7000630000000001</v>
      </c>
      <c r="CH6" s="243">
        <f>IF(ISBLANK('In Process Calc.'!Y6),"",'In Process Calc.'!Y6)</f>
        <v>1.2450810000000003</v>
      </c>
      <c r="CI6" s="243">
        <f>IF(ISBLANK('In Process Calc.'!Z6),"",'In Process Calc.'!Z6)</f>
        <v>5.1671847246891662</v>
      </c>
      <c r="CJ6" s="243">
        <f>IF(ISBLANK('In Process Calc.'!AA6),"",'In Process Calc.'!AA6)</f>
        <v>1.8971249999999991</v>
      </c>
      <c r="CK6" s="243">
        <f>IF(ISBLANK('In Process Calc.'!AB6),"",'In Process Calc.'!AB6)</f>
        <v>1.1409370000000008</v>
      </c>
      <c r="CL6" s="243">
        <f>IF(ISBLANK('In Process Calc.'!AC6),"",'In Process Calc.'!AC6)</f>
        <v>0.39046099999999978</v>
      </c>
      <c r="CM6" s="243">
        <f>IF(ISBLANK('In Process Calc.'!AD6),"",'In Process Calc.'!AD6)</f>
        <v>-2.1384000000000003</v>
      </c>
      <c r="CN6" s="243">
        <f>IF(ISBLANK('In Process Calc.'!AE6),"",'In Process Calc.'!AE6)</f>
        <v>0.51904700000000004</v>
      </c>
      <c r="CO6" s="243">
        <f>IF(ISBLANK('In Process Calc.'!AF6),"",'In Process Calc.'!AF6)</f>
        <v>1.7086209999999995</v>
      </c>
      <c r="CP6" s="243">
        <f>IF(ISBLANK('In Process Calc.'!AG6),"",'In Process Calc.'!AG6)</f>
        <v>2.7151710000000007</v>
      </c>
      <c r="CQ6" s="243">
        <f>IF(ISBLANK('In Process Calc.'!AH6),"",'In Process Calc.'!AH6)</f>
        <v>1.0819769999999989</v>
      </c>
      <c r="CR6" s="243">
        <f>IF(ISBLANK('In Process Calc.'!AI6),"",'In Process Calc.'!AI6)</f>
        <v>0.51005500000000004</v>
      </c>
      <c r="CS6" s="243">
        <f>IF(ISBLANK('In Process Calc.'!AJ6),"",'In Process Calc.'!AJ6)</f>
        <v>0.48212999999999967</v>
      </c>
      <c r="CT6" s="243">
        <f>IF(ISBLANK('In Process Calc.'!AK6),"",'In Process Calc.'!AK6)</f>
        <v>1.2208009999999994</v>
      </c>
      <c r="CU6" s="243">
        <f>IF(ISBLANK('In Process Calc.'!AL6),"",'In Process Calc.'!AL6)</f>
        <v>0</v>
      </c>
      <c r="CV6" s="243">
        <f>IF(ISBLANK('In Process Calc.'!AM6),"",'In Process Calc.'!AM6)</f>
        <v>32.200600999999999</v>
      </c>
      <c r="CW6" s="243">
        <f>IF(ISBLANK('In Process Calc.'!AN6),"",'In Process Calc.'!AN6)</f>
        <v>29.996623999999997</v>
      </c>
      <c r="CX6" s="243">
        <f>IF(ISBLANK('In Process Calc.'!AO6),"",'In Process Calc.'!AO6)</f>
        <v>101.428518</v>
      </c>
      <c r="CY6" s="243">
        <f>IF(ISBLANK('In Process Calc.'!AP6),"",'In Process Calc.'!AP6)</f>
        <v>0</v>
      </c>
      <c r="CZ6" s="243">
        <f>IF(ISBLANK('In Process Calc.'!AQ6),"",'In Process Calc.'!AQ6)</f>
        <v>0</v>
      </c>
      <c r="DA6" s="243">
        <f>IF(ISBLANK('In Process Calc.'!AR6),"",'In Process Calc.'!AR6)</f>
        <v>2.4092599206086918E-2</v>
      </c>
      <c r="DB6" s="243">
        <f>IF(ISBLANK('In Process Calc.'!AS6),"",'In Process Calc.'!AS6)</f>
        <v>2.4326836394827106E-2</v>
      </c>
      <c r="DC6" s="243">
        <f>IF(ISBLANK('In Process Calc.'!AT6),"",'In Process Calc.'!AT6)</f>
        <v>2.3423718874018772E-4</v>
      </c>
      <c r="DD6" s="243">
        <f>IF(ISBLANK('In Process Calc.'!AU6),"",'In Process Calc.'!AU6)</f>
        <v>0</v>
      </c>
      <c r="DE6" s="243">
        <f>IF(ISBLANK('In Process Calc.'!AV6),"",'In Process Calc.'!AV6)</f>
        <v>-1.2514648974732382E-3</v>
      </c>
      <c r="DF6" s="243">
        <f>IF(ISBLANK('In Process Calc.'!AW6),"",'In Process Calc.'!AW6)</f>
        <v>-2.4253054434142504E-4</v>
      </c>
      <c r="DG6" s="243">
        <f>IF(ISBLANK('In Process Calc.'!AX6),"",'In Process Calc.'!AX6)</f>
        <v>2.860686137264018E-2</v>
      </c>
      <c r="DH6" s="243">
        <f>IF(ISBLANK('In Process Calc.'!AY6),"",'In Process Calc.'!AY6)</f>
        <v>5.7392214211923077E-3</v>
      </c>
      <c r="DI6" s="243">
        <f>IF(ISBLANK('In Process Calc.'!AZ6),"",'In Process Calc.'!AZ6)</f>
        <v>5.0038147126095032E-3</v>
      </c>
      <c r="DJ6" s="243">
        <f>IF(ISBLANK('In Process Calc.'!BA6),"",'In Process Calc.'!BA6)</f>
        <v>0.10113035026121092</v>
      </c>
      <c r="DK6" s="243">
        <f>IF(ISBLANK('In Process Calc.'!BB6),"",'In Process Calc.'!BB6)</f>
        <v>-7.1663837945646095E-4</v>
      </c>
      <c r="DL6" s="243">
        <f>IF(ISBLANK('In Process Calc.'!BC6),"",'In Process Calc.'!BC6)</f>
        <v>6.2444275880636224E-3</v>
      </c>
      <c r="DM6" s="243">
        <f>IF(ISBLANK('In Process Calc.'!BD6),"",'In Process Calc.'!BD6)</f>
        <v>-5.3187460605710031E-3</v>
      </c>
      <c r="DN6" s="243">
        <f>IF(ISBLANK('In Process Calc.'!BE6),"",'In Process Calc.'!BE6)</f>
        <v>1.8315479916454883E-2</v>
      </c>
      <c r="DO6" s="243">
        <f>IF(ISBLANK('In Process Calc.'!BF6),"",'In Process Calc.'!BF6)</f>
        <v>1.0285348055883605E-2</v>
      </c>
      <c r="DP6" s="243">
        <f>IF(ISBLANK('In Process Calc.'!BG6),"",'In Process Calc.'!BG6)</f>
        <v>3.4283263842969779E-2</v>
      </c>
      <c r="DQ6" s="243">
        <f>IF(ISBLANK('In Process Calc.'!BH6),"",'In Process Calc.'!BH6)</f>
        <v>1.5914814231990759E-2</v>
      </c>
      <c r="DR6" s="243">
        <f>IF(ISBLANK('In Process Calc.'!BI6),"",'In Process Calc.'!BI6)</f>
        <v>1.1580322272981999E-2</v>
      </c>
      <c r="DS6" s="243">
        <f>IF(ISBLANK('In Process Calc.'!BJ6),"",'In Process Calc.'!BJ6)</f>
        <v>3.5823010596538695E-3</v>
      </c>
      <c r="DT6" s="243">
        <f>IF(ISBLANK('In Process Calc.'!BK6),"",'In Process Calc.'!BK6)</f>
        <v>-1.9770521458335247E-2</v>
      </c>
      <c r="DU6" s="243">
        <f>IF(ISBLANK('In Process Calc.'!BL6),"",'In Process Calc.'!BL6)</f>
        <v>4.7091296743851643E-3</v>
      </c>
      <c r="DV6" s="243">
        <f>IF(ISBLANK('In Process Calc.'!BM6),"",'In Process Calc.'!BM6)</f>
        <v>1.3861858670952659E-2</v>
      </c>
      <c r="DW6" s="243">
        <f>IF(ISBLANK('In Process Calc.'!BN6),"",'In Process Calc.'!BN6)</f>
        <v>2.2428274783841792E-2</v>
      </c>
      <c r="DX6" s="243">
        <f>IF(ISBLANK('In Process Calc.'!BO6),"",'In Process Calc.'!BO6)</f>
        <v>1.0125118760623714E-2</v>
      </c>
      <c r="DY6" s="243">
        <f>IF(ISBLANK('In Process Calc.'!BP6),"",'In Process Calc.'!BP6)</f>
        <v>4.7354093844239964E-3</v>
      </c>
      <c r="DZ6" s="243">
        <f>IF(ISBLANK('In Process Calc.'!BQ6),"",'In Process Calc.'!BQ6)</f>
        <v>4.8038419113355805E-3</v>
      </c>
      <c r="EA6" s="243">
        <f>IF(ISBLANK('In Process Calc.'!BR6),"",'In Process Calc.'!BR6)</f>
        <v>1.1084469901209249E-2</v>
      </c>
      <c r="EB6" s="243">
        <f>IF(ISBLANK('In Process Calc.'!BS6),"",'In Process Calc.'!BS6)</f>
        <v>0</v>
      </c>
      <c r="EC6" s="243">
        <f>IF(ISBLANK('In Process Calc.'!BT6),"",'In Process Calc.'!BT6)</f>
        <v>0.26463574876078727</v>
      </c>
      <c r="ED6" s="243">
        <f>IF(ISBLANK('In Process Calc.'!BU6),"",'In Process Calc.'!BU6)</f>
        <v>0.24611669219992527</v>
      </c>
      <c r="EE6" s="243">
        <f>IF(ISBLANK('In Process Calc.'!BV6),"",'In Process Calc.'!BV6)</f>
        <v>0.87076171164056171</v>
      </c>
      <c r="EF6" s="243">
        <f>IF(ISBLANK('In Process Calc.'!BW6),"",'In Process Calc.'!BW6)</f>
        <v>0.89019197361745428</v>
      </c>
      <c r="EG6" s="243">
        <f>IF(ISBLANK('In Process Calc.'!BX6),"",'In Process Calc.'!BX6)</f>
        <v>0.33900074264965052</v>
      </c>
      <c r="EH6" s="243">
        <f>IF(ISBLANK('In Process Calc.'!BY6),"",'In Process Calc.'!BY6)</f>
        <v>0</v>
      </c>
      <c r="EI6" s="243">
        <f>IF(ISBLANK('In Process Calc.'!BZ6),"",'In Process Calc.'!BZ6)</f>
        <v>-7.0862839652532225E-3</v>
      </c>
      <c r="EJ6" s="243">
        <f>IF(ISBLANK('In Process Calc.'!CA6),"",'In Process Calc.'!CA6)</f>
        <v>27.587863035371239</v>
      </c>
      <c r="EK6" s="243">
        <f>IF(ISBLANK('Post Process Calc.'!A6),"",'Post Process Calc.'!A6)</f>
        <v>1.4873000217437744</v>
      </c>
      <c r="EL6" s="243">
        <f>IF(ISBLANK('Post Process Calc.'!C6),"",'Post Process Calc.'!C6)</f>
        <v>2.4117144489471783E-2</v>
      </c>
      <c r="EM6" s="243">
        <f>IF(ISBLANK('Post Process Calc.'!D6),"",'Post Process Calc.'!D6)</f>
        <v>0</v>
      </c>
      <c r="EN6" s="243">
        <f>IF(ISBLANK('Post Process Calc.'!E6),"",'Post Process Calc.'!E6)</f>
        <v>2.5499881896724683</v>
      </c>
      <c r="EO6" s="243">
        <f>IF(ISBLANK('Post Process Calc.'!F6),"",'Post Process Calc.'!F6)</f>
        <v>-2.5597997605620416E-2</v>
      </c>
      <c r="EP6" s="243">
        <f>IF(ISBLANK('Post Process Calc.'!G6),"",'Post Process Calc.'!G6)</f>
        <v>-4.148483595207972E-3</v>
      </c>
      <c r="EQ6" s="243">
        <f>IF(ISBLANK('Post Process Calc.'!H6),"",'Post Process Calc.'!H6)</f>
        <v>-7.8041664401997429E-5</v>
      </c>
      <c r="ER6" s="243">
        <f>IF(ISBLANK('Post Process Calc.'!I6),"",'Post Process Calc.'!I6)</f>
        <v>-1.140001204610081E-2</v>
      </c>
      <c r="ES6" s="243">
        <f>IF(ISBLANK('Post Process Calc.'!J6),"",'Post Process Calc.'!J6)</f>
        <v>5.1141283981038614E-3</v>
      </c>
      <c r="ET6" s="243">
        <f>IF(ISBLANK('Post Process Calc.'!K6),"",'Post Process Calc.'!K6)</f>
        <v>0.10183961855854926</v>
      </c>
      <c r="EU6" s="243">
        <f>IF(ISBLANK('Post Process Calc.'!L6),"",'Post Process Calc.'!L6)</f>
        <v>-2.7196515941778536E-3</v>
      </c>
      <c r="EV6" s="243">
        <f>IF(ISBLANK('Post Process Calc.'!M6),"",'Post Process Calc.'!M6)</f>
        <v>-0.10160692279135072</v>
      </c>
      <c r="EW6" s="243">
        <f>IF(ISBLANK('Post Process Calc.'!N6),"",'Post Process Calc.'!N6)</f>
        <v>-8.9851294244339477E-3</v>
      </c>
      <c r="EX6" s="243">
        <f>IF(ISBLANK('Post Process Calc.'!O6),"",'Post Process Calc.'!O6)</f>
        <v>2.2712067380807719E-5</v>
      </c>
      <c r="EY6" s="243">
        <f>IF(ISBLANK('Post Process Calc.'!P6),"",'Post Process Calc.'!P6)</f>
        <v>-7.114514006230495E-3</v>
      </c>
      <c r="EZ6" s="243">
        <f>IF(ISBLANK('Post Process Calc.'!Q6),"",'Post Process Calc.'!Q6)</f>
        <v>6.447816367453886E-2</v>
      </c>
      <c r="FA6" s="243">
        <f>IF(ISBLANK('Post Process Calc.'!R6),"",'Post Process Calc.'!R6)</f>
        <v>-3.0817097597934323E-3</v>
      </c>
      <c r="FB6" s="243">
        <f>IF(ISBLANK('Post Process Calc.'!S6),"",'Post Process Calc.'!S6)</f>
        <v>-1.1168630200276915E-2</v>
      </c>
      <c r="FC6" s="243">
        <f>IF(ISBLANK('Post Process Calc.'!T6),"",'Post Process Calc.'!T6)</f>
        <v>4.7999847190793735E-3</v>
      </c>
      <c r="FD6" s="243">
        <f>IF(ISBLANK('Post Process Calc.'!U6),"",'Post Process Calc.'!U6)</f>
        <v>-4.7189136835614473E-2</v>
      </c>
      <c r="FE6" s="243">
        <f>IF(ISBLANK('Post Process Calc.'!V6),"",'Post Process Calc.'!V6)</f>
        <v>-4.7592948015765541E-3</v>
      </c>
      <c r="FF6" s="243">
        <f>IF(ISBLANK('Post Process Calc.'!W6),"",'Post Process Calc.'!W6)</f>
        <v>1.6827931897275203E-2</v>
      </c>
      <c r="FG6" s="243">
        <f>IF(ISBLANK('Post Process Calc.'!X6),"",'Post Process Calc.'!X6)</f>
        <v>3.0227070960024839E-2</v>
      </c>
      <c r="FH6" s="243">
        <f>IF(ISBLANK('Post Process Calc.'!Y6),"",'Post Process Calc.'!Y6)</f>
        <v>1.4367928161335761E-2</v>
      </c>
      <c r="FI6" s="243">
        <f>IF(ISBLANK('Post Process Calc.'!Z6),"",'Post Process Calc.'!Z6)</f>
        <v>-2.9588383329946346E-3</v>
      </c>
      <c r="FJ6" s="243">
        <f>IF(ISBLANK('Post Process Calc.'!AA6),"",'Post Process Calc.'!AA6)</f>
        <v>7.4456503392083765E-3</v>
      </c>
      <c r="FK6" s="243">
        <f>IF(ISBLANK('Post Process Calc.'!AB6),"",'Post Process Calc.'!AB6)</f>
        <v>-2.9121638816756668E-2</v>
      </c>
      <c r="FL6" s="243">
        <f>IF(ISBLANK('Post Process Calc.'!AC6),"",'Post Process Calc.'!AC6)</f>
        <v>0</v>
      </c>
      <c r="FM6" s="243">
        <f>IF(ISBLANK('Post Process Calc.'!AD6),"",'Post Process Calc.'!AD6)</f>
        <v>-0.13108271690679318</v>
      </c>
      <c r="FN6" s="243">
        <f>IF(ISBLANK('Post Process Calc.'!AE6),"",'Post Process Calc.'!AE6)</f>
        <v>-0.20386985134802812</v>
      </c>
      <c r="FO6" s="243">
        <f>IF(ISBLANK('Post Process Calc.'!AF6),"",'Post Process Calc.'!AF6)</f>
        <v>-0.57215002471455501</v>
      </c>
      <c r="FP6" s="243">
        <f>IF(ISBLANK('Post Process Calc.'!AG6),"",'Post Process Calc.'!AG6)</f>
        <v>0.63313437920497817</v>
      </c>
      <c r="FQ6" s="243">
        <f>IF(ISBLANK('Post Process Calc.'!AH6),"",'Post Process Calc.'!AH6)</f>
        <v>0</v>
      </c>
      <c r="FR6" s="243">
        <f>IF(ISBLANK('Post Process Calc.'!AI6),"",'Post Process Calc.'!AI6)</f>
        <v>-2.6705241365513183E-2</v>
      </c>
      <c r="FS6" s="243">
        <f>IF(ISBLANK('Post Process Calc.'!AJ6),"",'Post Process Calc.'!AJ6)</f>
        <v>17.351169883905541</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3.98</v>
      </c>
      <c r="BO7" s="238">
        <f>IF(ISBLANK('In Process Calc.'!C7),"",ROUND('In Process Calc.'!C7,2))</f>
        <v>95.53</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4535.1853937088017</v>
      </c>
      <c r="BV7" s="243">
        <f>IF(ISBLANK('In Process Calc.'!M7),"",'In Process Calc.'!M7)</f>
        <v>0</v>
      </c>
      <c r="BW7" s="243">
        <f>IF(ISBLANK('In Process Calc.'!N7),"",'In Process Calc.'!N7)</f>
        <v>52.275489999999998</v>
      </c>
      <c r="BX7" s="243">
        <f>IF(ISBLANK('In Process Calc.'!O7),"",'In Process Calc.'!O7)</f>
        <v>-0.36366799999999999</v>
      </c>
      <c r="BY7" s="243">
        <f>IF(ISBLANK('In Process Calc.'!P7),"",'In Process Calc.'!P7)</f>
        <v>0.37249000000000088</v>
      </c>
      <c r="BZ7" s="243">
        <f>IF(ISBLANK('In Process Calc.'!Q7),"",'In Process Calc.'!Q7)</f>
        <v>2.2669429999999995</v>
      </c>
      <c r="CA7" s="243">
        <f>IF(ISBLANK('In Process Calc.'!R7),"",'In Process Calc.'!R7)</f>
        <v>0.61397100000000004</v>
      </c>
      <c r="CB7" s="243">
        <f>IF(ISBLANK('In Process Calc.'!S7),"",'In Process Calc.'!S7)</f>
        <v>0.57440600000000019</v>
      </c>
      <c r="CC7" s="243">
        <f>IF(ISBLANK('In Process Calc.'!T7),"",'In Process Calc.'!T7)</f>
        <v>8.6667970104279455</v>
      </c>
      <c r="CD7" s="243">
        <f>IF(ISBLANK('In Process Calc.'!U7),"",'In Process Calc.'!U7)</f>
        <v>-1.1817350000000002</v>
      </c>
      <c r="CE7" s="243">
        <f>IF(ISBLANK('In Process Calc.'!V7),"",'In Process Calc.'!V7)</f>
        <v>-6.9631749999999997</v>
      </c>
      <c r="CF7" s="243">
        <f>IF(ISBLANK('In Process Calc.'!W7),"",'In Process Calc.'!W7)</f>
        <v>-1.2200160000000002</v>
      </c>
      <c r="CG7" s="243">
        <f>IF(ISBLANK('In Process Calc.'!X7),"",'In Process Calc.'!X7)</f>
        <v>-0.15809099999999987</v>
      </c>
      <c r="CH7" s="243">
        <f>IF(ISBLANK('In Process Calc.'!Y7),"",'In Process Calc.'!Y7)</f>
        <v>0.29488599999999976</v>
      </c>
      <c r="CI7" s="243">
        <f>IF(ISBLANK('In Process Calc.'!Z7),"",'In Process Calc.'!Z7)</f>
        <v>8.2144760213143897</v>
      </c>
      <c r="CJ7" s="243">
        <f>IF(ISBLANK('In Process Calc.'!AA7),"",'In Process Calc.'!AA7)</f>
        <v>0.94984599999999864</v>
      </c>
      <c r="CK7" s="243">
        <f>IF(ISBLANK('In Process Calc.'!AB7),"",'In Process Calc.'!AB7)</f>
        <v>3.827000000000047E-2</v>
      </c>
      <c r="CL7" s="243">
        <f>IF(ISBLANK('In Process Calc.'!AC7),"",'In Process Calc.'!AC7)</f>
        <v>0.55279800000000001</v>
      </c>
      <c r="CM7" s="243">
        <f>IF(ISBLANK('In Process Calc.'!AD7),"",'In Process Calc.'!AD7)</f>
        <v>-4.0282300000000006</v>
      </c>
      <c r="CN7" s="243">
        <f>IF(ISBLANK('In Process Calc.'!AE7),"",'In Process Calc.'!AE7)</f>
        <v>2.2255999999999887E-2</v>
      </c>
      <c r="CO7" s="243">
        <f>IF(ISBLANK('In Process Calc.'!AF7),"",'In Process Calc.'!AF7)</f>
        <v>2.2534220000000009</v>
      </c>
      <c r="CP7" s="243">
        <f>IF(ISBLANK('In Process Calc.'!AG7),"",'In Process Calc.'!AG7)</f>
        <v>3.7638580000000008</v>
      </c>
      <c r="CQ7" s="243">
        <f>IF(ISBLANK('In Process Calc.'!AH7),"",'In Process Calc.'!AH7)</f>
        <v>1.538875</v>
      </c>
      <c r="CR7" s="243">
        <f>IF(ISBLANK('In Process Calc.'!AI7),"",'In Process Calc.'!AI7)</f>
        <v>0.16631799999999997</v>
      </c>
      <c r="CS7" s="243">
        <f>IF(ISBLANK('In Process Calc.'!AJ7),"",'In Process Calc.'!AJ7)</f>
        <v>0.79269599999999985</v>
      </c>
      <c r="CT7" s="243">
        <f>IF(ISBLANK('In Process Calc.'!AK7),"",'In Process Calc.'!AK7)</f>
        <v>-1.0479150000000002</v>
      </c>
      <c r="CU7" s="243">
        <f>IF(ISBLANK('In Process Calc.'!AL7),"",'In Process Calc.'!AL7)</f>
        <v>0</v>
      </c>
      <c r="CV7" s="243">
        <f>IF(ISBLANK('In Process Calc.'!AM7),"",'In Process Calc.'!AM7)</f>
        <v>9.9601550000000039</v>
      </c>
      <c r="CW7" s="243">
        <f>IF(ISBLANK('In Process Calc.'!AN7),"",'In Process Calc.'!AN7)</f>
        <v>5.5682570000000036</v>
      </c>
      <c r="CX7" s="243">
        <f>IF(ISBLANK('In Process Calc.'!AO7),"",'In Process Calc.'!AO7)</f>
        <v>17.283585000000002</v>
      </c>
      <c r="CY7" s="243">
        <f>IF(ISBLANK('In Process Calc.'!AP7),"",'In Process Calc.'!AP7)</f>
        <v>0</v>
      </c>
      <c r="CZ7" s="243">
        <f>IF(ISBLANK('In Process Calc.'!AQ7),"",'In Process Calc.'!AQ7)</f>
        <v>0</v>
      </c>
      <c r="DA7" s="243">
        <f>IF(ISBLANK('In Process Calc.'!AR7),"",'In Process Calc.'!AR7)</f>
        <v>2.3458528408698717E-2</v>
      </c>
      <c r="DB7" s="243">
        <f>IF(ISBLANK('In Process Calc.'!AS7),"",'In Process Calc.'!AS7)</f>
        <v>2.3614773155183351E-2</v>
      </c>
      <c r="DC7" s="243">
        <f>IF(ISBLANK('In Process Calc.'!AT7),"",'In Process Calc.'!AT7)</f>
        <v>1.5624474648463305E-4</v>
      </c>
      <c r="DD7" s="243">
        <f>IF(ISBLANK('In Process Calc.'!AU7),"",'In Process Calc.'!AU7)</f>
        <v>0.54548299043933102</v>
      </c>
      <c r="DE7" s="243">
        <f>IF(ISBLANK('In Process Calc.'!AV7),"",'In Process Calc.'!AV7)</f>
        <v>-3.1105125959230732E-3</v>
      </c>
      <c r="DF7" s="243">
        <f>IF(ISBLANK('In Process Calc.'!AW7),"",'In Process Calc.'!AW7)</f>
        <v>-7.8139875502568953E-3</v>
      </c>
      <c r="DG7" s="243">
        <f>IF(ISBLANK('In Process Calc.'!AX7),"",'In Process Calc.'!AX7)</f>
        <v>-2.3645190333988923E-2</v>
      </c>
      <c r="DH7" s="243">
        <f>IF(ISBLANK('In Process Calc.'!AY7),"",'In Process Calc.'!AY7)</f>
        <v>1.5469658690070891E-3</v>
      </c>
      <c r="DI7" s="243">
        <f>IF(ISBLANK('In Process Calc.'!AZ7),"",'In Process Calc.'!AZ7)</f>
        <v>2.2681966663307589E-3</v>
      </c>
      <c r="DJ7" s="243">
        <f>IF(ISBLANK('In Process Calc.'!BA7),"",'In Process Calc.'!BA7)</f>
        <v>7.9511007546199414E-2</v>
      </c>
      <c r="DK7" s="243">
        <f>IF(ISBLANK('In Process Calc.'!BB7),"",'In Process Calc.'!BB7)</f>
        <v>-5.36221188254712E-3</v>
      </c>
      <c r="DL7" s="243">
        <f>IF(ISBLANK('In Process Calc.'!BC7),"",'In Process Calc.'!BC7)</f>
        <v>-7.9522253661194059E-2</v>
      </c>
      <c r="DM7" s="243">
        <f>IF(ISBLANK('In Process Calc.'!BD7),"",'In Process Calc.'!BD7)</f>
        <v>-6.5969066667324779E-3</v>
      </c>
      <c r="DN7" s="243">
        <f>IF(ISBLANK('In Process Calc.'!BE7),"",'In Process Calc.'!BE7)</f>
        <v>-8.9546441396814013E-3</v>
      </c>
      <c r="DO7" s="243">
        <f>IF(ISBLANK('In Process Calc.'!BF7),"",'In Process Calc.'!BF7)</f>
        <v>-9.9150712905895395E-3</v>
      </c>
      <c r="DP7" s="243">
        <f>IF(ISBLANK('In Process Calc.'!BG7),"",'In Process Calc.'!BG7)</f>
        <v>3.9649972735798795E-2</v>
      </c>
      <c r="DQ7" s="243">
        <f>IF(ISBLANK('In Process Calc.'!BH7),"",'In Process Calc.'!BH7)</f>
        <v>-9.8846434858932807E-3</v>
      </c>
      <c r="DR7" s="243">
        <f>IF(ISBLANK('In Process Calc.'!BI7),"",'In Process Calc.'!BI7)</f>
        <v>-1.1506082346024229E-2</v>
      </c>
      <c r="DS7" s="243">
        <f>IF(ISBLANK('In Process Calc.'!BJ7),"",'In Process Calc.'!BJ7)</f>
        <v>1.693950113503476E-3</v>
      </c>
      <c r="DT7" s="243">
        <f>IF(ISBLANK('In Process Calc.'!BK7),"",'In Process Calc.'!BK7)</f>
        <v>-1.9719951354295509E-2</v>
      </c>
      <c r="DU7" s="243">
        <f>IF(ISBLANK('In Process Calc.'!BL7),"",'In Process Calc.'!BL7)</f>
        <v>-5.1839024426809932E-3</v>
      </c>
      <c r="DV7" s="243">
        <f>IF(ISBLANK('In Process Calc.'!BM7),"",'In Process Calc.'!BM7)</f>
        <v>5.6848760035408327E-3</v>
      </c>
      <c r="DW7" s="243">
        <f>IF(ISBLANK('In Process Calc.'!BN7),"",'In Process Calc.'!BN7)</f>
        <v>1.0942813176784204E-2</v>
      </c>
      <c r="DX7" s="243">
        <f>IF(ISBLANK('In Process Calc.'!BO7),"",'In Process Calc.'!BO7)</f>
        <v>4.7676279527126405E-3</v>
      </c>
      <c r="DY7" s="243">
        <f>IF(ISBLANK('In Process Calc.'!BP7),"",'In Process Calc.'!BP7)</f>
        <v>-3.5868183480373766E-3</v>
      </c>
      <c r="DZ7" s="243">
        <f>IF(ISBLANK('In Process Calc.'!BQ7),"",'In Process Calc.'!BQ7)</f>
        <v>3.2406864174545549E-3</v>
      </c>
      <c r="EA7" s="243">
        <f>IF(ISBLANK('In Process Calc.'!BR7),"",'In Process Calc.'!BR7)</f>
        <v>-2.3673541618405819E-2</v>
      </c>
      <c r="EB7" s="243">
        <f>IF(ISBLANK('In Process Calc.'!BS7),"",'In Process Calc.'!BS7)</f>
        <v>0</v>
      </c>
      <c r="EC7" s="243">
        <f>IF(ISBLANK('In Process Calc.'!BT7),"",'In Process Calc.'!BT7)</f>
        <v>-0.23075543430101986</v>
      </c>
      <c r="ED7" s="243">
        <f>IF(ISBLANK('In Process Calc.'!BU7),"",'In Process Calc.'!BU7)</f>
        <v>-0.24736487305939228</v>
      </c>
      <c r="EE7" s="243">
        <f>IF(ISBLANK('In Process Calc.'!BV7),"",'In Process Calc.'!BV7)</f>
        <v>-0.87158881336134653</v>
      </c>
      <c r="EF7" s="243">
        <f>IF(ISBLANK('In Process Calc.'!BW7),"",'In Process Calc.'!BW7)</f>
        <v>0.13775630315752874</v>
      </c>
      <c r="EG7" s="243">
        <f>IF(ISBLANK('In Process Calc.'!BX7),"",'In Process Calc.'!BX7)</f>
        <v>0.49867274933927114</v>
      </c>
      <c r="EH7" s="243">
        <f>IF(ISBLANK('In Process Calc.'!BY7),"",'In Process Calc.'!BY7)</f>
        <v>0</v>
      </c>
      <c r="EI7" s="243">
        <f>IF(ISBLANK('In Process Calc.'!BZ7),"",'In Process Calc.'!BZ7)</f>
        <v>-6.7439868365791203E-2</v>
      </c>
      <c r="EJ7" s="243">
        <f>IF(ISBLANK('In Process Calc.'!CA7),"",'In Process Calc.'!CA7)</f>
        <v>3.677577795551092</v>
      </c>
      <c r="EK7" s="243">
        <f>IF(ISBLANK('Post Process Calc.'!A7),"",'Post Process Calc.'!A7)</f>
        <v>2.7073000503540041</v>
      </c>
      <c r="EL7" s="243">
        <f>IF(ISBLANK('Post Process Calc.'!C7),"",'Post Process Calc.'!C7)</f>
        <v>2.2255313920214542E-2</v>
      </c>
      <c r="EM7" s="243">
        <f>IF(ISBLANK('Post Process Calc.'!D7),"",'Post Process Calc.'!D7)</f>
        <v>0</v>
      </c>
      <c r="EN7" s="243">
        <f>IF(ISBLANK('Post Process Calc.'!E7),"",'Post Process Calc.'!E7)</f>
        <v>3.2220981157019648</v>
      </c>
      <c r="EO7" s="243">
        <f>IF(ISBLANK('Post Process Calc.'!F7),"",'Post Process Calc.'!F7)</f>
        <v>-2.3238437545949595E-2</v>
      </c>
      <c r="EP7" s="243">
        <f>IF(ISBLANK('Post Process Calc.'!G7),"",'Post Process Calc.'!G7)</f>
        <v>-2.7172100479731522E-3</v>
      </c>
      <c r="EQ7" s="243">
        <f>IF(ISBLANK('Post Process Calc.'!H7),"",'Post Process Calc.'!H7)</f>
        <v>2.192933562696698E-3</v>
      </c>
      <c r="ER7" s="243">
        <f>IF(ISBLANK('Post Process Calc.'!I7),"",'Post Process Calc.'!I7)</f>
        <v>-9.3529770842386336E-3</v>
      </c>
      <c r="ES7" s="243">
        <f>IF(ISBLANK('Post Process Calc.'!J7),"",'Post Process Calc.'!J7)</f>
        <v>3.5644734912703446E-3</v>
      </c>
      <c r="ET7" s="243">
        <f>IF(ISBLANK('Post Process Calc.'!K7),"",'Post Process Calc.'!K7)</f>
        <v>7.9229038056036358E-2</v>
      </c>
      <c r="EU7" s="243">
        <f>IF(ISBLANK('Post Process Calc.'!L7),"",'Post Process Calc.'!L7)</f>
        <v>-3.8903542654517547E-3</v>
      </c>
      <c r="EV7" s="243">
        <f>IF(ISBLANK('Post Process Calc.'!M7),"",'Post Process Calc.'!M7)</f>
        <v>-4.9557787001092035E-2</v>
      </c>
      <c r="EW7" s="243">
        <f>IF(ISBLANK('Post Process Calc.'!N7),"",'Post Process Calc.'!N7)</f>
        <v>-1.5178732435344772E-3</v>
      </c>
      <c r="EX7" s="243">
        <f>IF(ISBLANK('Post Process Calc.'!O7),"",'Post Process Calc.'!O7)</f>
        <v>1.1647555349649226E-3</v>
      </c>
      <c r="EY7" s="243">
        <f>IF(ISBLANK('Post Process Calc.'!P7),"",'Post Process Calc.'!P7)</f>
        <v>-3.2566650942361256E-3</v>
      </c>
      <c r="EZ7" s="243">
        <f>IF(ISBLANK('Post Process Calc.'!Q7),"",'Post Process Calc.'!Q7)</f>
        <v>3.6459594382270859E-2</v>
      </c>
      <c r="FA7" s="243">
        <f>IF(ISBLANK('Post Process Calc.'!R7),"",'Post Process Calc.'!R7)</f>
        <v>5.7085096647091342E-4</v>
      </c>
      <c r="FB7" s="243">
        <f>IF(ISBLANK('Post Process Calc.'!S7),"",'Post Process Calc.'!S7)</f>
        <v>-5.58778280513114E-3</v>
      </c>
      <c r="FC7" s="243">
        <f>IF(ISBLANK('Post Process Calc.'!T7),"",'Post Process Calc.'!T7)</f>
        <v>3.1595062435130724E-3</v>
      </c>
      <c r="FD7" s="243">
        <f>IF(ISBLANK('Post Process Calc.'!U7),"",'Post Process Calc.'!U7)</f>
        <v>-2.7056685467892149E-2</v>
      </c>
      <c r="FE7" s="243">
        <f>IF(ISBLANK('Post Process Calc.'!V7),"",'Post Process Calc.'!V7)</f>
        <v>-2.1781199409864741E-3</v>
      </c>
      <c r="FF7" s="243">
        <f>IF(ISBLANK('Post Process Calc.'!W7),"",'Post Process Calc.'!W7)</f>
        <v>1.0741489487212904E-2</v>
      </c>
      <c r="FG7" s="243">
        <f>IF(ISBLANK('Post Process Calc.'!X7),"",'Post Process Calc.'!X7)</f>
        <v>1.8181340591535422E-2</v>
      </c>
      <c r="FH7" s="243">
        <f>IF(ISBLANK('Post Process Calc.'!Y7),"",'Post Process Calc.'!Y7)</f>
        <v>1.0301255514077028E-2</v>
      </c>
      <c r="FI7" s="243">
        <f>IF(ISBLANK('Post Process Calc.'!Z7),"",'Post Process Calc.'!Z7)</f>
        <v>-1.8505956396410344E-3</v>
      </c>
      <c r="FJ7" s="243">
        <f>IF(ISBLANK('Post Process Calc.'!AA7),"",'Post Process Calc.'!AA7)</f>
        <v>5.4183675273043004E-3</v>
      </c>
      <c r="FK7" s="243">
        <f>IF(ISBLANK('Post Process Calc.'!AB7),"",'Post Process Calc.'!AB7)</f>
        <v>-1.5843476788115672E-2</v>
      </c>
      <c r="FL7" s="243">
        <f>IF(ISBLANK('Post Process Calc.'!AC7),"",'Post Process Calc.'!AC7)</f>
        <v>0</v>
      </c>
      <c r="FM7" s="243">
        <f>IF(ISBLANK('Post Process Calc.'!AD7),"",'Post Process Calc.'!AD7)</f>
        <v>-5.3864997268978726E-2</v>
      </c>
      <c r="FN7" s="243">
        <f>IF(ISBLANK('Post Process Calc.'!AE7),"",'Post Process Calc.'!AE7)</f>
        <v>-0.10416012028282047</v>
      </c>
      <c r="FO7" s="243">
        <f>IF(ISBLANK('Post Process Calc.'!AF7),"",'Post Process Calc.'!AF7)</f>
        <v>-0.18530023244466651</v>
      </c>
      <c r="FP7" s="243">
        <f>IF(ISBLANK('Post Process Calc.'!AG7),"",'Post Process Calc.'!AG7)</f>
        <v>0.46017969265869496</v>
      </c>
      <c r="FQ7" s="243">
        <f>IF(ISBLANK('Post Process Calc.'!AH7),"",'Post Process Calc.'!AH7)</f>
        <v>0</v>
      </c>
      <c r="FR7" s="243">
        <f>IF(ISBLANK('Post Process Calc.'!AI7),"",'Post Process Calc.'!AI7)</f>
        <v>-4.9102631571775766E-2</v>
      </c>
      <c r="FS7" s="243">
        <f>IF(ISBLANK('Post Process Calc.'!AJ7),"",'Post Process Calc.'!AJ7)</f>
        <v>6.954812755272374</v>
      </c>
    </row>
    <row r="8" spans="1:175">
      <c r="A8" s="238" t="str">
        <f>IF('Measured Data'!B11&lt;&gt;0,'Measured Data'!$B$1,"")</f>
        <v>XB50</v>
      </c>
      <c r="B8" s="238">
        <f>IF(ISBLANK('Measured Data'!A11),"",'Measured Data'!A11)</f>
        <v>4</v>
      </c>
      <c r="C8" s="245">
        <f>IF(ISBLANK('Measured Data'!B11),"",'Measured Data'!B11)</f>
        <v>3.9805555555576575</v>
      </c>
      <c r="D8" s="246">
        <f>IF(ISBLANK('Measured Data'!C11),"",'Measured Data'!C11)</f>
        <v>95.53333333338378</v>
      </c>
      <c r="E8" s="238">
        <f>IF(ISBLANK('Measured Data'!D11),"",'Measured Data'!D11)</f>
        <v>20</v>
      </c>
      <c r="F8" s="238" t="str">
        <f>IF(ISBLANK('Measured Data'!E12),"",'Measured Data'!E12)</f>
        <v/>
      </c>
      <c r="G8" s="238" t="str">
        <f>IF(ISBLANK('Measured Data'!G11),"",'Measured Data'!G11)</f>
        <v/>
      </c>
      <c r="H8" s="243">
        <f>IF(ISBLANK('Measured Data'!H11),"",'Measured Data'!H11)</f>
        <v>2.7073000503540041</v>
      </c>
      <c r="I8" s="243">
        <f>IF(ISBLANK('Measured Data'!I11),"",'Measured Data'!I11)</f>
        <v>2.5588091386322009E-2</v>
      </c>
      <c r="J8" s="243">
        <f>IF(ISBLANK('Measured Data'!J11),"",'Measured Data'!J11)</f>
        <v>2.7328881417403261</v>
      </c>
      <c r="K8" s="243">
        <f>IF(ISBLANK('Measured Data'!K11),"",'Measured Data'!K11)</f>
        <v>99.063697814941406</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355</v>
      </c>
      <c r="S8" s="238">
        <f>IF(ISBLANK('Measured Data'!S11),"",'Measured Data'!S11)</f>
        <v>28.09</v>
      </c>
      <c r="T8" s="243">
        <f>IF(ISBLANK('Measured Data'!U11),"",'Measured Data'!U11)</f>
        <v>0.26300000000000001</v>
      </c>
      <c r="U8" s="243">
        <f>IF(ISBLANK('Measured Data'!V11),"",'Measured Data'!V11)</f>
        <v>2.105</v>
      </c>
      <c r="V8" s="243">
        <f>IF(ISBLANK('Measured Data'!W11),"",'Measured Data'!W11)</f>
        <v>5.7670000000000003</v>
      </c>
      <c r="W8" s="243">
        <f>IF(ISBLANK('Measured Data'!X11),"",'Measured Data'!X11)</f>
        <v>1.629</v>
      </c>
      <c r="X8" s="243">
        <f>IF(ISBLANK('Measured Data'!Y11),"",'Measured Data'!Y11)</f>
        <v>0.85899999999999999</v>
      </c>
      <c r="Y8" s="243">
        <f>IF(ISBLANK('Measured Data'!Z11),"",'Measured Data'!Z11)</f>
        <v>33.193454561602174</v>
      </c>
      <c r="Z8" s="243">
        <f>IF(ISBLANK('Measured Data'!AA11),"",'Measured Data'!AA11)</f>
        <v>0.63500000000000001</v>
      </c>
      <c r="AA8" s="243">
        <f>IF(ISBLANK('Measured Data'!AB11),"",'Measured Data'!AB11)</f>
        <v>6.34</v>
      </c>
      <c r="AB8" s="243">
        <f>IF(ISBLANK('Measured Data'!AC11),"",'Measured Data'!AC11)</f>
        <v>0.876</v>
      </c>
      <c r="AC8" s="243">
        <f>IF(ISBLANK('Measured Data'!AD11),"",'Measured Data'!AD11)</f>
        <v>1.446</v>
      </c>
      <c r="AD8" s="243">
        <f>IF(ISBLANK('Measured Data'!AE11),"",'Measured Data'!AE11)</f>
        <v>2.9390000000000001</v>
      </c>
      <c r="AE8" s="243">
        <f>IF(ISBLANK('Measured Data'!AF11),"",'Measured Data'!AF11)</f>
        <v>5.1065719360568389</v>
      </c>
      <c r="AF8" s="243">
        <f>IF(ISBLANK('Measured Data'!AG11),"",'Measured Data'!AG11)</f>
        <v>4.2590000000000003</v>
      </c>
      <c r="AG8" s="243">
        <f>IF(ISBLANK('Measured Data'!AH11),"",'Measured Data'!AH11)</f>
        <v>3.6549999999999998</v>
      </c>
      <c r="AH8" s="243">
        <f>IF(ISBLANK('Measured Data'!AI11),"",'Measured Data'!AI11)</f>
        <v>0.56699999999999995</v>
      </c>
      <c r="AI8" s="243">
        <f>IF(ISBLANK('Measured Data'!AJ11),"",'Measured Data'!AJ11)</f>
        <v>2.83</v>
      </c>
      <c r="AJ8" s="243">
        <f>IF(ISBLANK('Measured Data'!AK11),"",'Measured Data'!AK11)</f>
        <v>1.399</v>
      </c>
      <c r="AK8" s="243">
        <f>IF(ISBLANK('Measured Data'!AL11),"",'Measured Data'!AL11)</f>
        <v>4.3029999999999999</v>
      </c>
      <c r="AL8" s="243">
        <f>IF(ISBLANK('Measured Data'!AM11),"",'Measured Data'!AM11)</f>
        <v>3.3769999999999998</v>
      </c>
      <c r="AM8" s="243">
        <f>IF(ISBLANK('Measured Data'!AN11),"",'Measured Data'!AN11)</f>
        <v>2.57</v>
      </c>
      <c r="AN8" s="243">
        <f>IF(ISBLANK('Measured Data'!AO11),"",'Measured Data'!AO11)</f>
        <v>1.097</v>
      </c>
      <c r="AO8" s="243">
        <f>IF(ISBLANK('Measured Data'!AP11),"",'Measured Data'!AP11)</f>
        <v>1.194</v>
      </c>
      <c r="AP8" s="243">
        <f>IF(ISBLANK('Measured Data'!AQ11),"",'Measured Data'!AQ11)</f>
        <v>3.96</v>
      </c>
      <c r="AQ8" s="243">
        <f>IF(ISBLANK('Measured Data'!AR11),"",'Measured Data'!AR11)</f>
        <v>0</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t="str">
        <f>IF(ISBLANK('Measured Data'!BP11),"",'Measured Data'!BP11)</f>
        <v/>
      </c>
      <c r="BN8" s="238">
        <f>IF(ISBLANK('In Process Calc.'!B8),"",ROUND('In Process Calc.'!B8,2))</f>
        <v>4.83</v>
      </c>
      <c r="BO8" s="238">
        <f>IF(ISBLANK('In Process Calc.'!C8),"",ROUND('In Process Calc.'!C8,2))</f>
        <v>115.97</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7031.0164246023396</v>
      </c>
      <c r="BV8" s="243">
        <f>IF(ISBLANK('In Process Calc.'!M8),"",'In Process Calc.'!M8)</f>
        <v>0</v>
      </c>
      <c r="BW8" s="243">
        <f>IF(ISBLANK('In Process Calc.'!N8),"",'In Process Calc.'!N8)</f>
        <v>163.20548592592593</v>
      </c>
      <c r="BX8" s="243">
        <f>IF(ISBLANK('In Process Calc.'!O8),"",'In Process Calc.'!O8)</f>
        <v>-1.0688681851851853</v>
      </c>
      <c r="BY8" s="243">
        <f>IF(ISBLANK('In Process Calc.'!P8),"",'In Process Calc.'!P8)</f>
        <v>-0.8294693703703695</v>
      </c>
      <c r="BZ8" s="243">
        <f>IF(ISBLANK('In Process Calc.'!Q8),"",'In Process Calc.'!Q8)</f>
        <v>-0.81022092592592676</v>
      </c>
      <c r="CA8" s="243">
        <f>IF(ISBLANK('In Process Calc.'!R8),"",'In Process Calc.'!R8)</f>
        <v>9.7187592592592464E-2</v>
      </c>
      <c r="CB8" s="243">
        <f>IF(ISBLANK('In Process Calc.'!S8),"",'In Process Calc.'!S8)</f>
        <v>0.55143603703703703</v>
      </c>
      <c r="CC8" s="243">
        <f>IF(ISBLANK('In Process Calc.'!T8),"",'In Process Calc.'!T8)</f>
        <v>13.450461816251424</v>
      </c>
      <c r="CD8" s="243">
        <f>IF(ISBLANK('In Process Calc.'!U8),"",'In Process Calc.'!U8)</f>
        <v>-2.0054276666666668</v>
      </c>
      <c r="CE8" s="243">
        <f>IF(ISBLANK('In Process Calc.'!V8),"",'In Process Calc.'!V8)</f>
        <v>-14.454739222222221</v>
      </c>
      <c r="CF8" s="243">
        <f>IF(ISBLANK('In Process Calc.'!W8),"",'In Process Calc.'!W8)</f>
        <v>-1.9715764444444448</v>
      </c>
      <c r="CG8" s="243">
        <f>IF(ISBLANK('In Process Calc.'!X8),"",'In Process Calc.'!X8)</f>
        <v>-0.88436370370370376</v>
      </c>
      <c r="CH8" s="243">
        <f>IF(ISBLANK('In Process Calc.'!Y8),"",'In Process Calc.'!Y8)</f>
        <v>-1.1376017407407406</v>
      </c>
      <c r="CI8" s="243">
        <f>IF(ISBLANK('In Process Calc.'!Z8),"",'In Process Calc.'!Z8)</f>
        <v>11.806875370041446</v>
      </c>
      <c r="CJ8" s="243">
        <f>IF(ISBLANK('In Process Calc.'!AA8),"",'In Process Calc.'!AA8)</f>
        <v>-0.72249507407407521</v>
      </c>
      <c r="CK8" s="243">
        <f>IF(ISBLANK('In Process Calc.'!AB8),"",'In Process Calc.'!AB8)</f>
        <v>-1.6664583703703701</v>
      </c>
      <c r="CL8" s="243">
        <f>IF(ISBLANK('In Process Calc.'!AC8),"",'In Process Calc.'!AC8)</f>
        <v>0.53318062962962953</v>
      </c>
      <c r="CM8" s="243">
        <f>IF(ISBLANK('In Process Calc.'!AD8),"",'In Process Calc.'!AD8)</f>
        <v>-6.3077003703703713</v>
      </c>
      <c r="CN8" s="243">
        <f>IF(ISBLANK('In Process Calc.'!AE8),"",'In Process Calc.'!AE8)</f>
        <v>-0.69224218518518499</v>
      </c>
      <c r="CO8" s="243">
        <f>IF(ISBLANK('In Process Calc.'!AF8),"",'In Process Calc.'!AF8)</f>
        <v>1.8051786296296308</v>
      </c>
      <c r="CP8" s="243">
        <f>IF(ISBLANK('In Process Calc.'!AG8),"",'In Process Calc.'!AG8)</f>
        <v>4.0377894444444449</v>
      </c>
      <c r="CQ8" s="243">
        <f>IF(ISBLANK('In Process Calc.'!AH8),"",'In Process Calc.'!AH8)</f>
        <v>1.4363408148148147</v>
      </c>
      <c r="CR8" s="243">
        <f>IF(ISBLANK('In Process Calc.'!AI8),"",'In Process Calc.'!AI8)</f>
        <v>-0.36120959259259278</v>
      </c>
      <c r="CS8" s="243">
        <f>IF(ISBLANK('In Process Calc.'!AJ8),"",'In Process Calc.'!AJ8)</f>
        <v>0.70221537037037018</v>
      </c>
      <c r="CT8" s="243">
        <f>IF(ISBLANK('In Process Calc.'!AK8),"",'In Process Calc.'!AK8)</f>
        <v>-3.9301911111111103</v>
      </c>
      <c r="CU8" s="243">
        <f>IF(ISBLANK('In Process Calc.'!AL8),"",'In Process Calc.'!AL8)</f>
        <v>0</v>
      </c>
      <c r="CV8" s="243">
        <f>IF(ISBLANK('In Process Calc.'!AM8),"",'In Process Calc.'!AM8)</f>
        <v>-23.612850740740743</v>
      </c>
      <c r="CW8" s="243">
        <f>IF(ISBLANK('In Process Calc.'!AN8),"",'In Process Calc.'!AN8)</f>
        <v>-30.989419296296301</v>
      </c>
      <c r="CX8" s="243">
        <f>IF(ISBLANK('In Process Calc.'!AO8),"",'In Process Calc.'!AO8)</f>
        <v>-108.00720396296293</v>
      </c>
      <c r="CY8" s="243">
        <f>IF(ISBLANK('In Process Calc.'!AP8),"",'In Process Calc.'!AP8)</f>
        <v>0</v>
      </c>
      <c r="CZ8" s="243">
        <f>IF(ISBLANK('In Process Calc.'!AQ8),"",'In Process Calc.'!AQ8)</f>
        <v>0</v>
      </c>
      <c r="DA8" s="243">
        <f>IF(ISBLANK('In Process Calc.'!AR8),"",'In Process Calc.'!AR8)</f>
        <v>1.9430666739117541E-2</v>
      </c>
      <c r="DB8" s="243">
        <f>IF(ISBLANK('In Process Calc.'!AS8),"",'In Process Calc.'!AS8)</f>
        <v>1.9574716018965304E-2</v>
      </c>
      <c r="DC8" s="243">
        <f>IF(ISBLANK('In Process Calc.'!AT8),"",'In Process Calc.'!AT8)</f>
        <v>1.4404927984776363E-4</v>
      </c>
      <c r="DD8" s="243">
        <f>IF(ISBLANK('In Process Calc.'!AU8),"",'In Process Calc.'!AU8)</f>
        <v>0.86361767103947673</v>
      </c>
      <c r="DE8" s="243">
        <f>IF(ISBLANK('In Process Calc.'!AV8),"",'In Process Calc.'!AV8)</f>
        <v>-5.4901592347746577E-3</v>
      </c>
      <c r="DF8" s="243">
        <f>IF(ISBLANK('In Process Calc.'!AW8),"",'In Process Calc.'!AW8)</f>
        <v>-9.3575533241386493E-3</v>
      </c>
      <c r="DG8" s="243">
        <f>IF(ISBLANK('In Process Calc.'!AX8),"",'In Process Calc.'!AX8)</f>
        <v>-2.3956488242273043E-2</v>
      </c>
      <c r="DH8" s="243">
        <f>IF(ISBLANK('In Process Calc.'!AY8),"",'In Process Calc.'!AY8)</f>
        <v>-4.0232876510249913E-3</v>
      </c>
      <c r="DI8" s="243">
        <f>IF(ISBLANK('In Process Calc.'!AZ8),"",'In Process Calc.'!AZ8)</f>
        <v>-1.7882688764528327E-4</v>
      </c>
      <c r="DJ8" s="243">
        <f>IF(ISBLANK('In Process Calc.'!BA8),"",'In Process Calc.'!BA8)</f>
        <v>5.4698722786507108E-2</v>
      </c>
      <c r="DK8" s="243">
        <f>IF(ISBLANK('In Process Calc.'!BB8),"",'In Process Calc.'!BB8)</f>
        <v>-6.4126527410491739E-3</v>
      </c>
      <c r="DL8" s="243">
        <f>IF(ISBLANK('In Process Calc.'!BC8),"",'In Process Calc.'!BC8)</f>
        <v>-5.8323694975689865E-2</v>
      </c>
      <c r="DM8" s="243">
        <f>IF(ISBLANK('In Process Calc.'!BD8),"",'In Process Calc.'!BD8)</f>
        <v>-5.8510854098463945E-3</v>
      </c>
      <c r="DN8" s="243">
        <f>IF(ISBLANK('In Process Calc.'!BE8),"",'In Process Calc.'!BE8)</f>
        <v>-5.6542140444228207E-3</v>
      </c>
      <c r="DO8" s="243">
        <f>IF(ISBLANK('In Process Calc.'!BF8),"",'In Process Calc.'!BF8)</f>
        <v>-1.1152274153847569E-2</v>
      </c>
      <c r="DP8" s="243">
        <f>IF(ISBLANK('In Process Calc.'!BG8),"",'In Process Calc.'!BG8)</f>
        <v>2.1589471284054945E-2</v>
      </c>
      <c r="DQ8" s="243">
        <f>IF(ISBLANK('In Process Calc.'!BH8),"",'In Process Calc.'!BH8)</f>
        <v>-1.3019592144760582E-2</v>
      </c>
      <c r="DR8" s="243">
        <f>IF(ISBLANK('In Process Calc.'!BI8),"",'In Process Calc.'!BI8)</f>
        <v>-1.3271735319969481E-2</v>
      </c>
      <c r="DS8" s="243">
        <f>IF(ISBLANK('In Process Calc.'!BJ8),"",'In Process Calc.'!BJ8)</f>
        <v>-1.5272611857383673E-4</v>
      </c>
      <c r="DT8" s="243">
        <f>IF(ISBLANK('In Process Calc.'!BK8),"",'In Process Calc.'!BK8)</f>
        <v>-1.7746245062311997E-2</v>
      </c>
      <c r="DU8" s="243">
        <f>IF(ISBLANK('In Process Calc.'!BL8),"",'In Process Calc.'!BL8)</f>
        <v>-5.5625464825907189E-3</v>
      </c>
      <c r="DV8" s="243">
        <f>IF(ISBLANK('In Process Calc.'!BM8),"",'In Process Calc.'!BM8)</f>
        <v>-3.4896863769529017E-3</v>
      </c>
      <c r="DW8" s="243">
        <f>IF(ISBLANK('In Process Calc.'!BN8),"",'In Process Calc.'!BN8)</f>
        <v>2.1326245809434878E-3</v>
      </c>
      <c r="DX8" s="243">
        <f>IF(ISBLANK('In Process Calc.'!BO8),"",'In Process Calc.'!BO8)</f>
        <v>-7.9825419150551563E-4</v>
      </c>
      <c r="DY8" s="243">
        <f>IF(ISBLANK('In Process Calc.'!BP8),"",'In Process Calc.'!BP8)</f>
        <v>-4.1069338110144181E-3</v>
      </c>
      <c r="DZ8" s="243">
        <f>IF(ISBLANK('In Process Calc.'!BQ8),"",'In Process Calc.'!BQ8)</f>
        <v>-7.0441425678141253E-4</v>
      </c>
      <c r="EA8" s="243">
        <f>IF(ISBLANK('In Process Calc.'!BR8),"",'In Process Calc.'!BR8)</f>
        <v>-2.2439238022082527E-2</v>
      </c>
      <c r="EB8" s="243">
        <f>IF(ISBLANK('In Process Calc.'!BS8),"",'In Process Calc.'!BS8)</f>
        <v>0</v>
      </c>
      <c r="EC8" s="243">
        <f>IF(ISBLANK('In Process Calc.'!BT8),"",'In Process Calc.'!BT8)</f>
        <v>-0.25708845811024161</v>
      </c>
      <c r="ED8" s="243">
        <f>IF(ISBLANK('In Process Calc.'!BU8),"",'In Process Calc.'!BU8)</f>
        <v>-0.26934454393777896</v>
      </c>
      <c r="EE8" s="243">
        <f>IF(ISBLANK('In Process Calc.'!BV8),"",'In Process Calc.'!BV8)</f>
        <v>-0.97961244343925513</v>
      </c>
      <c r="EF8" s="243">
        <f>IF(ISBLANK('In Process Calc.'!BW8),"",'In Process Calc.'!BW8)</f>
        <v>6.3978737428304552E-3</v>
      </c>
      <c r="EG8" s="243">
        <f>IF(ISBLANK('In Process Calc.'!BX8),"",'In Process Calc.'!BX8)</f>
        <v>0.39469790489112777</v>
      </c>
      <c r="EH8" s="243">
        <f>IF(ISBLANK('In Process Calc.'!BY8),"",'In Process Calc.'!BY8)</f>
        <v>0</v>
      </c>
      <c r="EI8" s="243">
        <f>IF(ISBLANK('In Process Calc.'!BZ8),"",'In Process Calc.'!BZ8)</f>
        <v>-0.11723587708031502</v>
      </c>
      <c r="EJ8" s="243">
        <f>IF(ISBLANK('In Process Calc.'!CA8),"",'In Process Calc.'!CA8)</f>
        <v>2.7673797067964316</v>
      </c>
      <c r="EK8" s="243">
        <f>IF(ISBLANK('Post Process Calc.'!A8),"",'Post Process Calc.'!A8)</f>
        <v>4.0235999656677244</v>
      </c>
      <c r="EL8" s="243">
        <f>IF(ISBLANK('Post Process Calc.'!C8),"",'Post Process Calc.'!C8)</f>
        <v>1.9936258295762066E-2</v>
      </c>
      <c r="EM8" s="243">
        <f>IF(ISBLANK('Post Process Calc.'!D8),"",'Post Process Calc.'!D8)</f>
        <v>0</v>
      </c>
      <c r="EN8" s="243">
        <f>IF(ISBLANK('Post Process Calc.'!E8),"",'Post Process Calc.'!E8)</f>
        <v>3.0699024822876786</v>
      </c>
      <c r="EO8" s="243">
        <f>IF(ISBLANK('Post Process Calc.'!F8),"",'Post Process Calc.'!F8)</f>
        <v>-1.8925970705394066E-2</v>
      </c>
      <c r="EP8" s="243">
        <f>IF(ISBLANK('Post Process Calc.'!G8),"",'Post Process Calc.'!G8)</f>
        <v>-1.8519912771189824E-3</v>
      </c>
      <c r="EQ8" s="243">
        <f>IF(ISBLANK('Post Process Calc.'!H8),"",'Post Process Calc.'!H8)</f>
        <v>3.7030804665030264E-3</v>
      </c>
      <c r="ER8" s="243">
        <f>IF(ISBLANK('Post Process Calc.'!I8),"",'Post Process Calc.'!I8)</f>
        <v>-6.6136363825725379E-3</v>
      </c>
      <c r="ES8" s="243">
        <f>IF(ISBLANK('Post Process Calc.'!J8),"",'Post Process Calc.'!J8)</f>
        <v>2.6655662870020791E-3</v>
      </c>
      <c r="ET8" s="243">
        <f>IF(ISBLANK('Post Process Calc.'!K8),"",'Post Process Calc.'!K8)</f>
        <v>6.6036572777094044E-2</v>
      </c>
      <c r="EU8" s="243">
        <f>IF(ISBLANK('Post Process Calc.'!L8),"",'Post Process Calc.'!L8)</f>
        <v>-5.6348922878439274E-3</v>
      </c>
      <c r="EV8" s="243">
        <f>IF(ISBLANK('Post Process Calc.'!M8),"",'Post Process Calc.'!M8)</f>
        <v>-2.8607657498844776E-2</v>
      </c>
      <c r="EW8" s="243">
        <f>IF(ISBLANK('Post Process Calc.'!N8),"",'Post Process Calc.'!N8)</f>
        <v>4.9672622057870348E-4</v>
      </c>
      <c r="EX8" s="243">
        <f>IF(ISBLANK('Post Process Calc.'!O8),"",'Post Process Calc.'!O8)</f>
        <v>1.3314261979544132E-3</v>
      </c>
      <c r="EY8" s="243">
        <f>IF(ISBLANK('Post Process Calc.'!P8),"",'Post Process Calc.'!P8)</f>
        <v>-1.7081573493948744E-3</v>
      </c>
      <c r="EZ8" s="243">
        <f>IF(ISBLANK('Post Process Calc.'!Q8),"",'Post Process Calc.'!Q8)</f>
        <v>2.0561896874776223E-2</v>
      </c>
      <c r="FA8" s="243">
        <f>IF(ISBLANK('Post Process Calc.'!R8),"",'Post Process Calc.'!R8)</f>
        <v>1.719430873729996E-3</v>
      </c>
      <c r="FB8" s="243">
        <f>IF(ISBLANK('Post Process Calc.'!S8),"",'Post Process Calc.'!S8)</f>
        <v>-3.0660991397779237E-3</v>
      </c>
      <c r="FC8" s="243">
        <f>IF(ISBLANK('Post Process Calc.'!T8),"",'Post Process Calc.'!T8)</f>
        <v>2.2824193900395063E-3</v>
      </c>
      <c r="FD8" s="243">
        <f>IF(ISBLANK('Post Process Calc.'!U8),"",'Post Process Calc.'!U8)</f>
        <v>-1.8612301461638354E-2</v>
      </c>
      <c r="FE8" s="243">
        <f>IF(ISBLANK('Post Process Calc.'!V8),"",'Post Process Calc.'!V8)</f>
        <v>-1.0718608714373676E-3</v>
      </c>
      <c r="FF8" s="243">
        <f>IF(ISBLANK('Post Process Calc.'!W8),"",'Post Process Calc.'!W8)</f>
        <v>7.6733709313832263E-3</v>
      </c>
      <c r="FG8" s="243">
        <f>IF(ISBLANK('Post Process Calc.'!X8),"",'Post Process Calc.'!X8)</f>
        <v>1.2562307379522264E-2</v>
      </c>
      <c r="FH8" s="243">
        <f>IF(ISBLANK('Post Process Calc.'!Y8),"",'Post Process Calc.'!Y8)</f>
        <v>7.8450201351255976E-3</v>
      </c>
      <c r="FI8" s="243">
        <f>IF(ISBLANK('Post Process Calc.'!Z8),"",'Post Process Calc.'!Z8)</f>
        <v>-1.2188296018646385E-3</v>
      </c>
      <c r="FJ8" s="243">
        <f>IF(ISBLANK('Post Process Calc.'!AA8),"",'Post Process Calc.'!AA8)</f>
        <v>4.1282927205065602E-3</v>
      </c>
      <c r="FK8" s="243">
        <f>IF(ISBLANK('Post Process Calc.'!AB8),"",'Post Process Calc.'!AB8)</f>
        <v>-9.823283195317889E-3</v>
      </c>
      <c r="FL8" s="243">
        <f>IF(ISBLANK('Post Process Calc.'!AC8),"",'Post Process Calc.'!AC8)</f>
        <v>0</v>
      </c>
      <c r="FM8" s="243">
        <f>IF(ISBLANK('Post Process Calc.'!AD8),"",'Post Process Calc.'!AD8)</f>
        <v>-2.1561798470042411E-2</v>
      </c>
      <c r="FN8" s="243">
        <f>IF(ISBLANK('Post Process Calc.'!AE8),"",'Post Process Calc.'!AE8)</f>
        <v>-5.9100070637074842E-2</v>
      </c>
      <c r="FO8" s="243">
        <f>IF(ISBLANK('Post Process Calc.'!AF8),"",'Post Process Calc.'!AF8)</f>
        <v>-4.6431613620177704E-2</v>
      </c>
      <c r="FP8" s="243">
        <f>IF(ISBLANK('Post Process Calc.'!AG8),"",'Post Process Calc.'!AG8)</f>
        <v>0.31137135090554674</v>
      </c>
      <c r="FQ8" s="243">
        <f>IF(ISBLANK('Post Process Calc.'!AH8),"",'Post Process Calc.'!AH8)</f>
        <v>0</v>
      </c>
      <c r="FR8" s="243">
        <f>IF(ISBLANK('Post Process Calc.'!AI8),"",'Post Process Calc.'!AI8)</f>
        <v>-8.5329871779755498E-2</v>
      </c>
      <c r="FS8" s="243">
        <f>IF(ISBLANK('Post Process Calc.'!AJ8),"",'Post Process Calc.'!AJ8)</f>
        <v>3.3030447630366258</v>
      </c>
    </row>
    <row r="9" spans="1:175">
      <c r="A9" s="238" t="str">
        <f>IF('Measured Data'!B12&lt;&gt;0,'Measured Data'!$B$1,"")</f>
        <v>XB50</v>
      </c>
      <c r="B9" s="238">
        <f>IF(ISBLANK('Measured Data'!A12),"",'Measured Data'!A12)</f>
        <v>5</v>
      </c>
      <c r="C9" s="245">
        <f>IF(ISBLANK('Measured Data'!B12),"",'Measured Data'!B12)</f>
        <v>4.8319444444496185</v>
      </c>
      <c r="D9" s="246">
        <f>IF(ISBLANK('Measured Data'!C12),"",'Measured Data'!C12)</f>
        <v>115.96666666679084</v>
      </c>
      <c r="E9" s="238">
        <f>IF(ISBLANK('Measured Data'!D12),"",'Measured Data'!D12)</f>
        <v>35</v>
      </c>
      <c r="F9" s="238" t="str">
        <f>IF(ISBLANK('Measured Data'!E13),"",'Measured Data'!E13)</f>
        <v/>
      </c>
      <c r="G9" s="238" t="str">
        <f>IF(ISBLANK('Measured Data'!G12),"",'Measured Data'!G12)</f>
        <v/>
      </c>
      <c r="H9" s="243">
        <f>IF(ISBLANK('Measured Data'!H12),"",'Measured Data'!H12)</f>
        <v>4.0235999656677244</v>
      </c>
      <c r="I9" s="243">
        <f>IF(ISBLANK('Measured Data'!I12),"",'Measured Data'!I12)</f>
        <v>3.531265124853622E-2</v>
      </c>
      <c r="J9" s="243">
        <f>IF(ISBLANK('Measured Data'!J12),"",'Measured Data'!J12)</f>
        <v>4.0589126169162606</v>
      </c>
      <c r="K9" s="243">
        <f>IF(ISBLANK('Measured Data'!K12),"",'Measured Data'!K12)</f>
        <v>99.129997253417969</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374</v>
      </c>
      <c r="S9" s="238">
        <f>IF(ISBLANK('Measured Data'!S12),"",'Measured Data'!S12)</f>
        <v>87.16</v>
      </c>
      <c r="T9" s="243">
        <f>IF(ISBLANK('Measured Data'!U12),"",'Measured Data'!U12)</f>
        <v>0.63800000000000001</v>
      </c>
      <c r="U9" s="243">
        <f>IF(ISBLANK('Measured Data'!V12),"",'Measured Data'!V12)</f>
        <v>2.734</v>
      </c>
      <c r="V9" s="243">
        <f>IF(ISBLANK('Measured Data'!W12),"",'Measured Data'!W12)</f>
        <v>7.375</v>
      </c>
      <c r="W9" s="243">
        <f>IF(ISBLANK('Measured Data'!X12),"",'Measured Data'!X12)</f>
        <v>1.895</v>
      </c>
      <c r="X9" s="243">
        <f>IF(ISBLANK('Measured Data'!Y12),"",'Measured Data'!Y12)</f>
        <v>0.86599999999999999</v>
      </c>
      <c r="Y9" s="243">
        <f>IF(ISBLANK('Measured Data'!Z12),"",'Measured Data'!Z12)</f>
        <v>34.470125890894558</v>
      </c>
      <c r="Z9" s="243">
        <f>IF(ISBLANK('Measured Data'!AA12),"",'Measured Data'!AA12)</f>
        <v>1.071</v>
      </c>
      <c r="AA9" s="243">
        <f>IF(ISBLANK('Measured Data'!AB12),"",'Measured Data'!AB12)</f>
        <v>10.302</v>
      </c>
      <c r="AB9" s="243">
        <f>IF(ISBLANK('Measured Data'!AC12),"",'Measured Data'!AC12)</f>
        <v>1.272</v>
      </c>
      <c r="AC9" s="243">
        <f>IF(ISBLANK('Measured Data'!AD12),"",'Measured Data'!AD12)</f>
        <v>1.825</v>
      </c>
      <c r="AD9" s="243">
        <f>IF(ISBLANK('Measured Data'!AE12),"",'Measured Data'!AE12)</f>
        <v>3.6859999999999999</v>
      </c>
      <c r="AE9" s="243">
        <f>IF(ISBLANK('Measured Data'!AF12),"",'Measured Data'!AF12)</f>
        <v>6.9937833037300177</v>
      </c>
      <c r="AF9" s="243">
        <f>IF(ISBLANK('Measured Data'!AG12),"",'Measured Data'!AG12)</f>
        <v>5.1260000000000003</v>
      </c>
      <c r="AG9" s="243">
        <f>IF(ISBLANK('Measured Data'!AH12),"",'Measured Data'!AH12)</f>
        <v>4.5430000000000001</v>
      </c>
      <c r="AH9" s="243">
        <f>IF(ISBLANK('Measured Data'!AI12),"",'Measured Data'!AI12)</f>
        <v>0.57399999999999995</v>
      </c>
      <c r="AI9" s="243">
        <f>IF(ISBLANK('Measured Data'!AJ12),"",'Measured Data'!AJ12)</f>
        <v>4.03</v>
      </c>
      <c r="AJ9" s="243">
        <f>IF(ISBLANK('Measured Data'!AK12),"",'Measured Data'!AK12)</f>
        <v>1.772</v>
      </c>
      <c r="AK9" s="243">
        <f>IF(ISBLANK('Measured Data'!AL12),"",'Measured Data'!AL12)</f>
        <v>4.516</v>
      </c>
      <c r="AL9" s="243">
        <f>IF(ISBLANK('Measured Data'!AM12),"",'Measured Data'!AM12)</f>
        <v>3.21</v>
      </c>
      <c r="AM9" s="243">
        <f>IF(ISBLANK('Measured Data'!AN12),"",'Measured Data'!AN12)</f>
        <v>2.609</v>
      </c>
      <c r="AN9" s="243">
        <f>IF(ISBLANK('Measured Data'!AO12),"",'Measured Data'!AO12)</f>
        <v>1.3720000000000001</v>
      </c>
      <c r="AO9" s="243">
        <f>IF(ISBLANK('Measured Data'!AP12),"",'Measured Data'!AP12)</f>
        <v>1.2350000000000001</v>
      </c>
      <c r="AP9" s="243">
        <f>IF(ISBLANK('Measured Data'!AQ12),"",'Measured Data'!AQ12)</f>
        <v>5.4749999999999996</v>
      </c>
      <c r="AQ9" s="243">
        <f>IF(ISBLANK('Measured Data'!AR12),"",'Measured Data'!AR12)</f>
        <v>0</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t="str">
        <f>IF(ISBLANK('Measured Data'!BP12),"",'Measured Data'!BP12)</f>
        <v/>
      </c>
      <c r="BN9" s="238">
        <f>IF(ISBLANK('In Process Calc.'!B9),"",ROUND('In Process Calc.'!B9,2))</f>
        <v>5.88</v>
      </c>
      <c r="BO9" s="238">
        <f>IF(ISBLANK('In Process Calc.'!C9),"",ROUND('In Process Calc.'!C9,2))</f>
        <v>141.16999999999999</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11845.628654940967</v>
      </c>
      <c r="BV9" s="243">
        <f>IF(ISBLANK('In Process Calc.'!M9),"",'In Process Calc.'!M9)</f>
        <v>0</v>
      </c>
      <c r="BW9" s="243">
        <f>IF(ISBLANK('In Process Calc.'!N9),"",'In Process Calc.'!N9)</f>
        <v>402.43144666666666</v>
      </c>
      <c r="BX9" s="243">
        <f>IF(ISBLANK('In Process Calc.'!O9),"",'In Process Calc.'!O9)</f>
        <v>-2.5133976666666671</v>
      </c>
      <c r="BY9" s="243">
        <f>IF(ISBLANK('In Process Calc.'!P9),"",'In Process Calc.'!P9)</f>
        <v>-1.0411961111111112</v>
      </c>
      <c r="BZ9" s="243">
        <f>IF(ISBLANK('In Process Calc.'!Q9),"",'In Process Calc.'!Q9)</f>
        <v>0.89982533333333259</v>
      </c>
      <c r="CA9" s="243">
        <f>IF(ISBLANK('In Process Calc.'!R9),"",'In Process Calc.'!R9)</f>
        <v>-0.44225777777777775</v>
      </c>
      <c r="CB9" s="243">
        <f>IF(ISBLANK('In Process Calc.'!S9),"",'In Process Calc.'!S9)</f>
        <v>0.87884966666666675</v>
      </c>
      <c r="CC9" s="243">
        <f>IF(ISBLANK('In Process Calc.'!T9),"",'In Process Calc.'!T9)</f>
        <v>21.06940013986409</v>
      </c>
      <c r="CD9" s="243">
        <f>IF(ISBLANK('In Process Calc.'!U9),"",'In Process Calc.'!U9)</f>
        <v>-3.0366497777777783</v>
      </c>
      <c r="CE9" s="243">
        <f>IF(ISBLANK('In Process Calc.'!V9),"",'In Process Calc.'!V9)</f>
        <v>-19.546170777777775</v>
      </c>
      <c r="CF9" s="243">
        <f>IF(ISBLANK('In Process Calc.'!W9),"",'In Process Calc.'!W9)</f>
        <v>-2.2440228888888889</v>
      </c>
      <c r="CG9" s="243">
        <f>IF(ISBLANK('In Process Calc.'!X9),"",'In Process Calc.'!X9)</f>
        <v>-0.82586077777777789</v>
      </c>
      <c r="CH9" s="243">
        <f>IF(ISBLANK('In Process Calc.'!Y9),"",'In Process Calc.'!Y9)</f>
        <v>-1.4599227777777777</v>
      </c>
      <c r="CI9" s="243">
        <f>IF(ISBLANK('In Process Calc.'!Z9),"",'In Process Calc.'!Z9)</f>
        <v>17.323070850601937</v>
      </c>
      <c r="CJ9" s="243">
        <f>IF(ISBLANK('In Process Calc.'!AA9),"",'In Process Calc.'!AA9)</f>
        <v>-0.70881633333333427</v>
      </c>
      <c r="CK9" s="243">
        <f>IF(ISBLANK('In Process Calc.'!AB9),"",'In Process Calc.'!AB9)</f>
        <v>-2.0172981111111112</v>
      </c>
      <c r="CL9" s="243">
        <f>IF(ISBLANK('In Process Calc.'!AC9),"",'In Process Calc.'!AC9)</f>
        <v>0.83186855555555561</v>
      </c>
      <c r="CM9" s="243">
        <f>IF(ISBLANK('In Process Calc.'!AD9),"",'In Process Calc.'!AD9)</f>
        <v>-9.6309977777777789</v>
      </c>
      <c r="CN9" s="243">
        <f>IF(ISBLANK('In Process Calc.'!AE9),"",'In Process Calc.'!AE9)</f>
        <v>-0.87614788888888873</v>
      </c>
      <c r="CO9" s="243">
        <f>IF(ISBLANK('In Process Calc.'!AF9),"",'In Process Calc.'!AF9)</f>
        <v>2.9692012222222224</v>
      </c>
      <c r="CP9" s="243">
        <f>IF(ISBLANK('In Process Calc.'!AG9),"",'In Process Calc.'!AG9)</f>
        <v>5.4313156666666664</v>
      </c>
      <c r="CQ9" s="243">
        <f>IF(ISBLANK('In Process Calc.'!AH9),"",'In Process Calc.'!AH9)</f>
        <v>2.3977358888888878</v>
      </c>
      <c r="CR9" s="243">
        <f>IF(ISBLANK('In Process Calc.'!AI9),"",'In Process Calc.'!AI9)</f>
        <v>-0.49350233333333332</v>
      </c>
      <c r="CS9" s="243">
        <f>IF(ISBLANK('In Process Calc.'!AJ9),"",'In Process Calc.'!AJ9)</f>
        <v>1.243978888888889</v>
      </c>
      <c r="CT9" s="243">
        <f>IF(ISBLANK('In Process Calc.'!AK9),"",'In Process Calc.'!AK9)</f>
        <v>-5.3031476666666686</v>
      </c>
      <c r="CU9" s="243">
        <f>IF(ISBLANK('In Process Calc.'!AL9),"",'In Process Calc.'!AL9)</f>
        <v>0</v>
      </c>
      <c r="CV9" s="243">
        <f>IF(ISBLANK('In Process Calc.'!AM9),"",'In Process Calc.'!AM9)</f>
        <v>-24.768702999999991</v>
      </c>
      <c r="CW9" s="243">
        <f>IF(ISBLANK('In Process Calc.'!AN9),"",'In Process Calc.'!AN9)</f>
        <v>-36.913098444444437</v>
      </c>
      <c r="CX9" s="243">
        <f>IF(ISBLANK('In Process Calc.'!AO9),"",'In Process Calc.'!AO9)</f>
        <v>-122.82069755555558</v>
      </c>
      <c r="CY9" s="243">
        <f>IF(ISBLANK('In Process Calc.'!AP9),"",'In Process Calc.'!AP9)</f>
        <v>0</v>
      </c>
      <c r="CZ9" s="243">
        <f>IF(ISBLANK('In Process Calc.'!AQ9),"",'In Process Calc.'!AQ9)</f>
        <v>0</v>
      </c>
      <c r="DA9" s="243">
        <f>IF(ISBLANK('In Process Calc.'!AR9),"",'In Process Calc.'!AR9)</f>
        <v>1.9218179302097769E-2</v>
      </c>
      <c r="DB9" s="243">
        <f>IF(ISBLANK('In Process Calc.'!AS9),"",'In Process Calc.'!AS9)</f>
        <v>1.9362127916059874E-2</v>
      </c>
      <c r="DC9" s="243">
        <f>IF(ISBLANK('In Process Calc.'!AT9),"",'In Process Calc.'!AT9)</f>
        <v>1.4394861396210354E-4</v>
      </c>
      <c r="DD9" s="243">
        <f>IF(ISBLANK('In Process Calc.'!AU9),"",'In Process Calc.'!AU9)</f>
        <v>0.9549029469625222</v>
      </c>
      <c r="DE9" s="243">
        <f>IF(ISBLANK('In Process Calc.'!AV9),"",'In Process Calc.'!AV9)</f>
        <v>-5.7660358205680251E-3</v>
      </c>
      <c r="DF9" s="243">
        <f>IF(ISBLANK('In Process Calc.'!AW9),"",'In Process Calc.'!AW9)</f>
        <v>-8.451360715955637E-4</v>
      </c>
      <c r="DG9" s="243">
        <f>IF(ISBLANK('In Process Calc.'!AX9),"",'In Process Calc.'!AX9)</f>
        <v>6.8258821381788799E-3</v>
      </c>
      <c r="DH9" s="243">
        <f>IF(ISBLANK('In Process Calc.'!AY9),"",'In Process Calc.'!AY9)</f>
        <v>-2.1532695377079534E-3</v>
      </c>
      <c r="DI9" s="243">
        <f>IF(ISBLANK('In Process Calc.'!AZ9),"",'In Process Calc.'!AZ9)</f>
        <v>1.3069160171452266E-3</v>
      </c>
      <c r="DJ9" s="243">
        <f>IF(ISBLANK('In Process Calc.'!BA9),"",'In Process Calc.'!BA9)</f>
        <v>5.1606859714009856E-2</v>
      </c>
      <c r="DK9" s="243">
        <f>IF(ISBLANK('In Process Calc.'!BB9),"",'In Process Calc.'!BB9)</f>
        <v>-4.1162632593211455E-3</v>
      </c>
      <c r="DL9" s="243">
        <f>IF(ISBLANK('In Process Calc.'!BC9),"",'In Process Calc.'!BC9)</f>
        <v>-2.0323141274482915E-2</v>
      </c>
      <c r="DM9" s="243">
        <f>IF(ISBLANK('In Process Calc.'!BD9),"",'In Process Calc.'!BD9)</f>
        <v>-1.0875070242539733E-3</v>
      </c>
      <c r="DN9" s="243">
        <f>IF(ISBLANK('In Process Calc.'!BE9),"",'In Process Calc.'!BE9)</f>
        <v>2.335223827699018E-4</v>
      </c>
      <c r="DO9" s="243">
        <f>IF(ISBLANK('In Process Calc.'!BF9),"",'In Process Calc.'!BF9)</f>
        <v>-1.2865882414335578E-3</v>
      </c>
      <c r="DP9" s="243">
        <f>IF(ISBLANK('In Process Calc.'!BG9),"",'In Process Calc.'!BG9)</f>
        <v>1.9559734864274498E-2</v>
      </c>
      <c r="DQ9" s="243">
        <f>IF(ISBLANK('In Process Calc.'!BH9),"",'In Process Calc.'!BH9)</f>
        <v>5.4600553399911026E-5</v>
      </c>
      <c r="DR9" s="243">
        <f>IF(ISBLANK('In Process Calc.'!BI9),"",'In Process Calc.'!BI9)</f>
        <v>-1.4004245246107465E-3</v>
      </c>
      <c r="DS9" s="243">
        <f>IF(ISBLANK('In Process Calc.'!BJ9),"",'In Process Calc.'!BJ9)</f>
        <v>1.1922534653247485E-3</v>
      </c>
      <c r="DT9" s="243">
        <f>IF(ISBLANK('In Process Calc.'!BK9),"",'In Process Calc.'!BK9)</f>
        <v>-1.326539343029505E-2</v>
      </c>
      <c r="DU9" s="243">
        <f>IF(ISBLANK('In Process Calc.'!BL9),"",'In Process Calc.'!BL9)</f>
        <v>-7.3408461977168685E-4</v>
      </c>
      <c r="DV9" s="243">
        <f>IF(ISBLANK('In Process Calc.'!BM9),"",'In Process Calc.'!BM9)</f>
        <v>4.6463544364327225E-3</v>
      </c>
      <c r="DW9" s="243">
        <f>IF(ISBLANK('In Process Calc.'!BN9),"",'In Process Calc.'!BN9)</f>
        <v>5.5624493769372571E-3</v>
      </c>
      <c r="DX9" s="243">
        <f>IF(ISBLANK('In Process Calc.'!BO9),"",'In Process Calc.'!BO9)</f>
        <v>3.8375391474485595E-3</v>
      </c>
      <c r="DY9" s="243">
        <f>IF(ISBLANK('In Process Calc.'!BP9),"",'In Process Calc.'!BP9)</f>
        <v>-5.2806446091353647E-4</v>
      </c>
      <c r="DZ9" s="243">
        <f>IF(ISBLANK('In Process Calc.'!BQ9),"",'In Process Calc.'!BQ9)</f>
        <v>2.1625227412119066E-3</v>
      </c>
      <c r="EA9" s="243">
        <f>IF(ISBLANK('In Process Calc.'!BR9),"",'In Process Calc.'!BR9)</f>
        <v>-5.4803427558280183E-3</v>
      </c>
      <c r="EB9" s="243">
        <f>IF(ISBLANK('In Process Calc.'!BS9),"",'In Process Calc.'!BS9)</f>
        <v>0</v>
      </c>
      <c r="EC9" s="243">
        <f>IF(ISBLANK('In Process Calc.'!BT9),"",'In Process Calc.'!BT9)</f>
        <v>-5.3925929963428588E-3</v>
      </c>
      <c r="ED9" s="243">
        <f>IF(ISBLANK('In Process Calc.'!BU9),"",'In Process Calc.'!BU9)</f>
        <v>-1.2891950606069881E-2</v>
      </c>
      <c r="EE9" s="243">
        <f>IF(ISBLANK('In Process Calc.'!BV9),"",'In Process Calc.'!BV9)</f>
        <v>-9.0029837383736475E-2</v>
      </c>
      <c r="EF9" s="243">
        <f>IF(ISBLANK('In Process Calc.'!BW9),"",'In Process Calc.'!BW9)</f>
        <v>0.11756701117290627</v>
      </c>
      <c r="EG9" s="243">
        <f>IF(ISBLANK('In Process Calc.'!BX9),"",'In Process Calc.'!BX9)</f>
        <v>0.37901424292562724</v>
      </c>
      <c r="EH9" s="243">
        <f>IF(ISBLANK('In Process Calc.'!BY9),"",'In Process Calc.'!BY9)</f>
        <v>0</v>
      </c>
      <c r="EI9" s="243">
        <f>IF(ISBLANK('In Process Calc.'!BZ9),"",'In Process Calc.'!BZ9)</f>
        <v>-7.9761940217488031E-2</v>
      </c>
      <c r="EJ9" s="243">
        <f>IF(ISBLANK('In Process Calc.'!CA9),"",'In Process Calc.'!CA9)</f>
        <v>3.2226785787463896</v>
      </c>
      <c r="EK9" s="243">
        <f>IF(ISBLANK('Post Process Calc.'!A9),"",'Post Process Calc.'!A9)</f>
        <v>6.555300099945069</v>
      </c>
      <c r="EL9" s="243">
        <f>IF(ISBLANK('Post Process Calc.'!C9),"",'Post Process Calc.'!C9)</f>
        <v>1.6116851393872915E-2</v>
      </c>
      <c r="EM9" s="243">
        <f>IF(ISBLANK('Post Process Calc.'!D9),"",'Post Process Calc.'!D9)</f>
        <v>0</v>
      </c>
      <c r="EN9" s="243">
        <f>IF(ISBLANK('Post Process Calc.'!E9),"",'Post Process Calc.'!E9)</f>
        <v>2.4740903502015756</v>
      </c>
      <c r="EO9" s="243">
        <f>IF(ISBLANK('Post Process Calc.'!F9),"",'Post Process Calc.'!F9)</f>
        <v>-1.2674397591816541E-2</v>
      </c>
      <c r="EP9" s="243">
        <f>IF(ISBLANK('Post Process Calc.'!G9),"",'Post Process Calc.'!G9)</f>
        <v>-1.0037762621890576E-3</v>
      </c>
      <c r="EQ9" s="243">
        <f>IF(ISBLANK('Post Process Calc.'!H9),"",'Post Process Calc.'!H9)</f>
        <v>4.3053082141014101E-3</v>
      </c>
      <c r="ER9" s="243">
        <f>IF(ISBLANK('Post Process Calc.'!I9),"",'Post Process Calc.'!I9)</f>
        <v>-3.4734303654749901E-3</v>
      </c>
      <c r="ES9" s="243">
        <f>IF(ISBLANK('Post Process Calc.'!J9),"",'Post Process Calc.'!J9)</f>
        <v>1.7178174996655298E-3</v>
      </c>
      <c r="ET9" s="243">
        <f>IF(ISBLANK('Post Process Calc.'!K9),"",'Post Process Calc.'!K9)</f>
        <v>4.9899925349047344E-2</v>
      </c>
      <c r="EU9" s="243">
        <f>IF(ISBLANK('Post Process Calc.'!L9),"",'Post Process Calc.'!L9)</f>
        <v>-6.1506280205075731E-3</v>
      </c>
      <c r="EV9" s="243">
        <f>IF(ISBLANK('Post Process Calc.'!M9),"",'Post Process Calc.'!M9)</f>
        <v>-1.3033708447694102E-2</v>
      </c>
      <c r="EW9" s="243">
        <f>IF(ISBLANK('Post Process Calc.'!N9),"",'Post Process Calc.'!N9)</f>
        <v>1.1452350615696839E-3</v>
      </c>
      <c r="EX9" s="243">
        <f>IF(ISBLANK('Post Process Calc.'!O9),"",'Post Process Calc.'!O9)</f>
        <v>1.1554227359164143E-3</v>
      </c>
      <c r="EY9" s="243">
        <f>IF(ISBLANK('Post Process Calc.'!P9),"",'Post Process Calc.'!P9)</f>
        <v>-5.9271271556553132E-4</v>
      </c>
      <c r="EZ9" s="243">
        <f>IF(ISBLANK('Post Process Calc.'!Q9),"",'Post Process Calc.'!Q9)</f>
        <v>7.2171226478049862E-3</v>
      </c>
      <c r="FA9" s="243">
        <f>IF(ISBLANK('Post Process Calc.'!R9),"",'Post Process Calc.'!R9)</f>
        <v>2.115462882837398E-3</v>
      </c>
      <c r="FB9" s="243">
        <f>IF(ISBLANK('Post Process Calc.'!S9),"",'Post Process Calc.'!S9)</f>
        <v>-1.0600018958451178E-3</v>
      </c>
      <c r="FC9" s="243">
        <f>IF(ISBLANK('Post Process Calc.'!T9),"",'Post Process Calc.'!T9)</f>
        <v>1.4141295036574303E-3</v>
      </c>
      <c r="FD9" s="243">
        <f>IF(ISBLANK('Post Process Calc.'!U9),"",'Post Process Calc.'!U9)</f>
        <v>-1.1556201284119019E-2</v>
      </c>
      <c r="FE9" s="243">
        <f>IF(ISBLANK('Post Process Calc.'!V9),"",'Post Process Calc.'!V9)</f>
        <v>-2.4560310512414322E-4</v>
      </c>
      <c r="FF9" s="243">
        <f>IF(ISBLANK('Post Process Calc.'!W9),"",'Post Process Calc.'!W9)</f>
        <v>4.743919170879447E-3</v>
      </c>
      <c r="FG9" s="243">
        <f>IF(ISBLANK('Post Process Calc.'!X9),"",'Post Process Calc.'!X9)</f>
        <v>7.5321246441353755E-3</v>
      </c>
      <c r="FH9" s="243">
        <f>IF(ISBLANK('Post Process Calc.'!Y9),"",'Post Process Calc.'!Y9)</f>
        <v>5.1697314416401822E-3</v>
      </c>
      <c r="FI9" s="243">
        <f>IF(ISBLANK('Post Process Calc.'!Z9),"",'Post Process Calc.'!Z9)</f>
        <v>-6.106768316237783E-4</v>
      </c>
      <c r="FJ9" s="243">
        <f>IF(ISBLANK('Post Process Calc.'!AA9),"",'Post Process Calc.'!AA9)</f>
        <v>2.6967480827537788E-3</v>
      </c>
      <c r="FK9" s="243">
        <f>IF(ISBLANK('Post Process Calc.'!AB9),"",'Post Process Calc.'!AB9)</f>
        <v>-4.8189789901655379E-3</v>
      </c>
      <c r="FL9" s="243">
        <f>IF(ISBLANK('Post Process Calc.'!AC9),"",'Post Process Calc.'!AC9)</f>
        <v>0</v>
      </c>
      <c r="FM9" s="243">
        <f>IF(ISBLANK('Post Process Calc.'!AD9),"",'Post Process Calc.'!AD9)</f>
        <v>1.332797476072671E-3</v>
      </c>
      <c r="FN9" s="243">
        <f>IF(ISBLANK('Post Process Calc.'!AE9),"",'Post Process Calc.'!AE9)</f>
        <v>-2.2897801399862902E-2</v>
      </c>
      <c r="FO9" s="243">
        <f>IF(ISBLANK('Post Process Calc.'!AF9),"",'Post Process Calc.'!AF9)</f>
        <v>3.5191474674158098E-2</v>
      </c>
      <c r="FP9" s="243">
        <f>IF(ISBLANK('Post Process Calc.'!AG9),"",'Post Process Calc.'!AG9)</f>
        <v>0.14463193275985073</v>
      </c>
      <c r="FQ9" s="243">
        <f>IF(ISBLANK('Post Process Calc.'!AH9),"",'Post Process Calc.'!AH9)</f>
        <v>0</v>
      </c>
      <c r="FR9" s="243">
        <f>IF(ISBLANK('Post Process Calc.'!AI9),"",'Post Process Calc.'!AI9)</f>
        <v>-0.12325926296450855</v>
      </c>
      <c r="FS9" s="243">
        <f>IF(ISBLANK('Post Process Calc.'!AJ9),"",'Post Process Calc.'!AJ9)</f>
        <v>1.878865254993157</v>
      </c>
    </row>
    <row r="10" spans="1:175">
      <c r="A10" s="238" t="str">
        <f>IF('Measured Data'!B13&lt;&gt;0,'Measured Data'!$B$1,"")</f>
        <v>XB50</v>
      </c>
      <c r="B10" s="238">
        <f>IF(ISBLANK('Measured Data'!A13),"",'Measured Data'!A13)</f>
        <v>6</v>
      </c>
      <c r="C10" s="245">
        <f>IF(ISBLANK('Measured Data'!B13),"",'Measured Data'!B13)</f>
        <v>5.8819444444452529</v>
      </c>
      <c r="D10" s="246">
        <f>IF(ISBLANK('Measured Data'!C13),"",'Measured Data'!C13)</f>
        <v>141.16666666668607</v>
      </c>
      <c r="E10" s="238">
        <f>IF(ISBLANK('Measured Data'!D13),"",'Measured Data'!D13)</f>
        <v>20</v>
      </c>
      <c r="F10" s="238" t="e">
        <f>IF(ISBLANK('Measured Data'!#REF!),"",'Measured Data'!#REF!)</f>
        <v>#REF!</v>
      </c>
      <c r="G10" s="238" t="str">
        <f>IF(ISBLANK('Measured Data'!G13),"",'Measured Data'!G13)</f>
        <v/>
      </c>
      <c r="H10" s="243">
        <f>IF(ISBLANK('Measured Data'!H13),"",'Measured Data'!H13)</f>
        <v>6.555300099945069</v>
      </c>
      <c r="I10" s="243">
        <f>IF(ISBLANK('Measured Data'!I13),"",'Measured Data'!I13)</f>
        <v>5.4244639370184977E-2</v>
      </c>
      <c r="J10" s="243">
        <f>IF(ISBLANK('Measured Data'!J13),"",'Measured Data'!J13)</f>
        <v>6.609544739315254</v>
      </c>
      <c r="K10" s="243">
        <f>IF(ISBLANK('Measured Data'!K13),"",'Measured Data'!K13)</f>
        <v>99.179298400878906</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388</v>
      </c>
      <c r="S10" s="238">
        <f>IF(ISBLANK('Measured Data'!S13),"",'Measured Data'!S13)</f>
        <v>213.63</v>
      </c>
      <c r="T10" s="243">
        <f>IF(ISBLANK('Measured Data'!U13),"",'Measured Data'!U13)</f>
        <v>1.401</v>
      </c>
      <c r="U10" s="243">
        <f>IF(ISBLANK('Measured Data'!V13),"",'Measured Data'!V13)</f>
        <v>2.83</v>
      </c>
      <c r="V10" s="243">
        <f>IF(ISBLANK('Measured Data'!W13),"",'Measured Data'!W13)</f>
        <v>6.423</v>
      </c>
      <c r="W10" s="243">
        <f>IF(ISBLANK('Measured Data'!X13),"",'Measured Data'!X13)</f>
        <v>2.17</v>
      </c>
      <c r="X10" s="243">
        <f>IF(ISBLANK('Measured Data'!Y13),"",'Measured Data'!Y13)</f>
        <v>0.68700000000000006</v>
      </c>
      <c r="Y10" s="243">
        <f>IF(ISBLANK('Measured Data'!Z13),"",'Measured Data'!Z13)</f>
        <v>33.859543950798198</v>
      </c>
      <c r="Z10" s="243">
        <f>IF(ISBLANK('Measured Data'!AA13),"",'Measured Data'!AA13)</f>
        <v>1.6120000000000001</v>
      </c>
      <c r="AA10" s="243">
        <f>IF(ISBLANK('Measured Data'!AB13),"",'Measured Data'!AB13)</f>
        <v>12.943</v>
      </c>
      <c r="AB10" s="243">
        <f>IF(ISBLANK('Measured Data'!AC13),"",'Measured Data'!AC13)</f>
        <v>1.409</v>
      </c>
      <c r="AC10" s="243">
        <f>IF(ISBLANK('Measured Data'!AD13),"",'Measured Data'!AD13)</f>
        <v>1.7829999999999999</v>
      </c>
      <c r="AD10" s="243">
        <f>IF(ISBLANK('Measured Data'!AE13),"",'Measured Data'!AE13)</f>
        <v>3.835</v>
      </c>
      <c r="AE10" s="243">
        <f>IF(ISBLANK('Measured Data'!AF13),"",'Measured Data'!AF13)</f>
        <v>9.8801065719360572</v>
      </c>
      <c r="AF10" s="243">
        <f>IF(ISBLANK('Measured Data'!AG13),"",'Measured Data'!AG13)</f>
        <v>5.0880000000000001</v>
      </c>
      <c r="AG10" s="243">
        <f>IF(ISBLANK('Measured Data'!AH13),"",'Measured Data'!AH13)</f>
        <v>4.702</v>
      </c>
      <c r="AH10" s="243">
        <f>IF(ISBLANK('Measured Data'!AI13),"",'Measured Data'!AI13)</f>
        <v>0.41199999999999998</v>
      </c>
      <c r="AI10" s="243">
        <f>IF(ISBLANK('Measured Data'!AJ13),"",'Measured Data'!AJ13)</f>
        <v>5.77</v>
      </c>
      <c r="AJ10" s="243">
        <f>IF(ISBLANK('Measured Data'!AK13),"",'Measured Data'!AK13)</f>
        <v>1.859</v>
      </c>
      <c r="AK10" s="243">
        <f>IF(ISBLANK('Measured Data'!AL13),"",'Measured Data'!AL13)</f>
        <v>3.871</v>
      </c>
      <c r="AL10" s="243">
        <f>IF(ISBLANK('Measured Data'!AM13),"",'Measured Data'!AM13)</f>
        <v>2.4510000000000001</v>
      </c>
      <c r="AM10" s="243">
        <f>IF(ISBLANK('Measured Data'!AN13),"",'Measured Data'!AN13)</f>
        <v>2.0830000000000002</v>
      </c>
      <c r="AN10" s="243">
        <f>IF(ISBLANK('Measured Data'!AO13),"",'Measured Data'!AO13)</f>
        <v>1.4339999999999999</v>
      </c>
      <c r="AO10" s="243">
        <f>IF(ISBLANK('Measured Data'!AP13),"",'Measured Data'!AP13)</f>
        <v>0.94</v>
      </c>
      <c r="AP10" s="243">
        <f>IF(ISBLANK('Measured Data'!AQ13),"",'Measured Data'!AQ13)</f>
        <v>6.1710000000000003</v>
      </c>
      <c r="AQ10" s="243">
        <f>IF(ISBLANK('Measured Data'!AR13),"",'Measured Data'!AR13)</f>
        <v>0</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t="str">
        <f>IF(ISBLANK('Measured Data'!BP13),"",'Measured Data'!BP13)</f>
        <v/>
      </c>
      <c r="BN10" s="238">
        <f>IF(ISBLANK('In Process Calc.'!B10),"",ROUND('In Process Calc.'!B10,2))</f>
        <v>6.87</v>
      </c>
      <c r="BO10" s="238">
        <f>IF(ISBLANK('In Process Calc.'!C10),"",ROUND('In Process Calc.'!C10,2))</f>
        <v>164.82</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17383.913315835569</v>
      </c>
      <c r="BV10" s="243">
        <f>IF(ISBLANK('In Process Calc.'!M10),"",'In Process Calc.'!M10)</f>
        <v>0</v>
      </c>
      <c r="BW10" s="243">
        <f>IF(ISBLANK('In Process Calc.'!N10),"",'In Process Calc.'!N10)</f>
        <v>778.40260481481482</v>
      </c>
      <c r="BX10" s="243">
        <f>IF(ISBLANK('In Process Calc.'!O10),"",'In Process Calc.'!O10)</f>
        <v>-5.1370069259259257</v>
      </c>
      <c r="BY10" s="243">
        <f>IF(ISBLANK('In Process Calc.'!P10),"",'In Process Calc.'!P10)</f>
        <v>-2.0895218518518512</v>
      </c>
      <c r="BZ10" s="243">
        <f>IF(ISBLANK('In Process Calc.'!Q10),"",'In Process Calc.'!Q10)</f>
        <v>2.3941419259259256</v>
      </c>
      <c r="CA10" s="243">
        <f>IF(ISBLANK('In Process Calc.'!R10),"",'In Process Calc.'!R10)</f>
        <v>-1.6930745185185176</v>
      </c>
      <c r="CB10" s="243">
        <f>IF(ISBLANK('In Process Calc.'!S10),"",'In Process Calc.'!S10)</f>
        <v>1.0525784444444446</v>
      </c>
      <c r="CC10" s="243">
        <f>IF(ISBLANK('In Process Calc.'!T10),"",'In Process Calc.'!T10)</f>
        <v>30.113780010844337</v>
      </c>
      <c r="CD10" s="243">
        <f>IF(ISBLANK('In Process Calc.'!U10),"",'In Process Calc.'!U10)</f>
        <v>-4.8020989259259261</v>
      </c>
      <c r="CE10" s="243">
        <f>IF(ISBLANK('In Process Calc.'!V10),"",'In Process Calc.'!V10)</f>
        <v>-24.860478259259256</v>
      </c>
      <c r="CF10" s="243">
        <f>IF(ISBLANK('In Process Calc.'!W10),"",'In Process Calc.'!W10)</f>
        <v>-2.3462947407407406</v>
      </c>
      <c r="CG10" s="243">
        <f>IF(ISBLANK('In Process Calc.'!X10),"",'In Process Calc.'!X10)</f>
        <v>5.6980851851851644E-2</v>
      </c>
      <c r="CH10" s="243">
        <f>IF(ISBLANK('In Process Calc.'!Y10),"",'In Process Calc.'!Y10)</f>
        <v>-2.1961614074074065</v>
      </c>
      <c r="CI10" s="243">
        <f>IF(ISBLANK('In Process Calc.'!Z10),"",'In Process Calc.'!Z10)</f>
        <v>20.388424281297283</v>
      </c>
      <c r="CJ10" s="243">
        <f>IF(ISBLANK('In Process Calc.'!AA10),"",'In Process Calc.'!AA10)</f>
        <v>-1.1454321111111114</v>
      </c>
      <c r="CK10" s="243">
        <f>IF(ISBLANK('In Process Calc.'!AB10),"",'In Process Calc.'!AB10)</f>
        <v>-2.8056807777777779</v>
      </c>
      <c r="CL10" s="243">
        <f>IF(ISBLANK('In Process Calc.'!AC10),"",'In Process Calc.'!AC10)</f>
        <v>1.0354489259259259</v>
      </c>
      <c r="CM10" s="243">
        <f>IF(ISBLANK('In Process Calc.'!AD10),"",'In Process Calc.'!AD10)</f>
        <v>-13.018127407407407</v>
      </c>
      <c r="CN10" s="243">
        <f>IF(ISBLANK('In Process Calc.'!AE10),"",'In Process Calc.'!AE10)</f>
        <v>-1.2283965185185184</v>
      </c>
      <c r="CO10" s="243">
        <f>IF(ISBLANK('In Process Calc.'!AF10),"",'In Process Calc.'!AF10)</f>
        <v>3.5482247407407419</v>
      </c>
      <c r="CP10" s="243">
        <f>IF(ISBLANK('In Process Calc.'!AG10),"",'In Process Calc.'!AG10)</f>
        <v>6.7156125555555555</v>
      </c>
      <c r="CQ10" s="243">
        <f>IF(ISBLANK('In Process Calc.'!AH10),"",'In Process Calc.'!AH10)</f>
        <v>3.1271970370370363</v>
      </c>
      <c r="CR10" s="243">
        <f>IF(ISBLANK('In Process Calc.'!AI10),"",'In Process Calc.'!AI10)</f>
        <v>-0.7970314814814814</v>
      </c>
      <c r="CS10" s="243">
        <f>IF(ISBLANK('In Process Calc.'!AJ10),"",'In Process Calc.'!AJ10)</f>
        <v>1.6250977407407408</v>
      </c>
      <c r="CT10" s="243">
        <f>IF(ISBLANK('In Process Calc.'!AK10),"",'In Process Calc.'!AK10)</f>
        <v>-7.2903053703703709</v>
      </c>
      <c r="CU10" s="243">
        <f>IF(ISBLANK('In Process Calc.'!AL10),"",'In Process Calc.'!AL10)</f>
        <v>0</v>
      </c>
      <c r="CV10" s="243">
        <f>IF(ISBLANK('In Process Calc.'!AM10),"",'In Process Calc.'!AM10)</f>
        <v>-34.930767925925913</v>
      </c>
      <c r="CW10" s="243">
        <f>IF(ISBLANK('In Process Calc.'!AN10),"",'In Process Calc.'!AN10)</f>
        <v>-53.085902259259242</v>
      </c>
      <c r="CX10" s="243">
        <f>IF(ISBLANK('In Process Calc.'!AO10),"",'In Process Calc.'!AO10)</f>
        <v>-163.62817411111109</v>
      </c>
      <c r="CY10" s="243">
        <f>IF(ISBLANK('In Process Calc.'!AP10),"",'In Process Calc.'!AP10)</f>
        <v>0</v>
      </c>
      <c r="CZ10" s="243">
        <f>IF(ISBLANK('In Process Calc.'!AQ10),"",'In Process Calc.'!AQ10)</f>
        <v>0</v>
      </c>
      <c r="DA10" s="243">
        <f>IF(ISBLANK('In Process Calc.'!AR10),"",'In Process Calc.'!AR10)</f>
        <v>1.5490074064633326E-2</v>
      </c>
      <c r="DB10" s="243">
        <f>IF(ISBLANK('In Process Calc.'!AS10),"",'In Process Calc.'!AS10)</f>
        <v>1.5578763516628199E-2</v>
      </c>
      <c r="DC10" s="243">
        <f>IF(ISBLANK('In Process Calc.'!AT10),"",'In Process Calc.'!AT10)</f>
        <v>8.8689451994873201E-5</v>
      </c>
      <c r="DD10" s="243">
        <f>IF(ISBLANK('In Process Calc.'!AU10),"",'In Process Calc.'!AU10)</f>
        <v>1.0515568343755122</v>
      </c>
      <c r="DE10" s="243">
        <f>IF(ISBLANK('In Process Calc.'!AV10),"",'In Process Calc.'!AV10)</f>
        <v>-7.3379943847124516E-3</v>
      </c>
      <c r="DF10" s="243">
        <f>IF(ISBLANK('In Process Calc.'!AW10),"",'In Process Calc.'!AW10)</f>
        <v>-2.9320709140495172E-3</v>
      </c>
      <c r="DG10" s="243">
        <f>IF(ISBLANK('In Process Calc.'!AX10),"",'In Process Calc.'!AX10)</f>
        <v>4.1794664074798222E-3</v>
      </c>
      <c r="DH10" s="243">
        <f>IF(ISBLANK('In Process Calc.'!AY10),"",'In Process Calc.'!AY10)</f>
        <v>-3.4984196627097217E-3</v>
      </c>
      <c r="DI10" s="243">
        <f>IF(ISBLANK('In Process Calc.'!AZ10),"",'In Process Calc.'!AZ10)</f>
        <v>4.8590345200878732E-4</v>
      </c>
      <c r="DJ10" s="243">
        <f>IF(ISBLANK('In Process Calc.'!BA10),"",'In Process Calc.'!BA10)</f>
        <v>3.9303993792439866E-2</v>
      </c>
      <c r="DK10" s="243">
        <f>IF(ISBLANK('In Process Calc.'!BB10),"",'In Process Calc.'!BB10)</f>
        <v>-4.9377992892371946E-3</v>
      </c>
      <c r="DL10" s="243">
        <f>IF(ISBLANK('In Process Calc.'!BC10),"",'In Process Calc.'!BC10)</f>
        <v>-1.4863630443489359E-2</v>
      </c>
      <c r="DM10" s="243">
        <f>IF(ISBLANK('In Process Calc.'!BD10),"",'In Process Calc.'!BD10)</f>
        <v>-2.8604498629301113E-4</v>
      </c>
      <c r="DN10" s="243">
        <f>IF(ISBLANK('In Process Calc.'!BE10),"",'In Process Calc.'!BE10)</f>
        <v>2.4692270382677601E-3</v>
      </c>
      <c r="DO10" s="243">
        <f>IF(ISBLANK('In Process Calc.'!BF10),"",'In Process Calc.'!BF10)</f>
        <v>-2.0591918979413629E-3</v>
      </c>
      <c r="DP10" s="243">
        <f>IF(ISBLANK('In Process Calc.'!BG10),"",'In Process Calc.'!BG10)</f>
        <v>6.7571345057275255E-3</v>
      </c>
      <c r="DQ10" s="243">
        <f>IF(ISBLANK('In Process Calc.'!BH10),"",'In Process Calc.'!BH10)</f>
        <v>-1.2211742713984638E-3</v>
      </c>
      <c r="DR10" s="243">
        <f>IF(ISBLANK('In Process Calc.'!BI10),"",'In Process Calc.'!BI10)</f>
        <v>-2.205033985372497E-3</v>
      </c>
      <c r="DS10" s="243">
        <f>IF(ISBLANK('In Process Calc.'!BJ10),"",'In Process Calc.'!BJ10)</f>
        <v>5.6939561763752619E-4</v>
      </c>
      <c r="DT10" s="243">
        <f>IF(ISBLANK('In Process Calc.'!BK10),"",'In Process Calc.'!BK10)</f>
        <v>-9.4734908084341731E-3</v>
      </c>
      <c r="DU10" s="243">
        <f>IF(ISBLANK('In Process Calc.'!BL10),"",'In Process Calc.'!BL10)</f>
        <v>-9.8520709862666899E-4</v>
      </c>
      <c r="DV10" s="243">
        <f>IF(ISBLANK('In Process Calc.'!BM10),"",'In Process Calc.'!BM10)</f>
        <v>1.6194756564874126E-3</v>
      </c>
      <c r="DW10" s="243">
        <f>IF(ISBLANK('In Process Calc.'!BN10),"",'In Process Calc.'!BN10)</f>
        <v>3.5920605653111345E-3</v>
      </c>
      <c r="DX10" s="243">
        <f>IF(ISBLANK('In Process Calc.'!BO10),"",'In Process Calc.'!BO10)</f>
        <v>2.0402359040645785E-3</v>
      </c>
      <c r="DY10" s="243">
        <f>IF(ISBLANK('In Process Calc.'!BP10),"",'In Process Calc.'!BP10)</f>
        <v>-8.4894317888499591E-4</v>
      </c>
      <c r="DZ10" s="243">
        <f>IF(ISBLANK('In Process Calc.'!BQ10),"",'In Process Calc.'!BQ10)</f>
        <v>1.0659544613691985E-3</v>
      </c>
      <c r="EA10" s="243">
        <f>IF(ISBLANK('In Process Calc.'!BR10),"",'In Process Calc.'!BR10)</f>
        <v>-5.557897777595442E-3</v>
      </c>
      <c r="EB10" s="243">
        <f>IF(ISBLANK('In Process Calc.'!BS10),"",'In Process Calc.'!BS10)</f>
        <v>0</v>
      </c>
      <c r="EC10" s="243">
        <f>IF(ISBLANK('In Process Calc.'!BT10),"",'In Process Calc.'!BT10)</f>
        <v>-2.8059323511993195E-2</v>
      </c>
      <c r="ED10" s="243">
        <f>IF(ISBLANK('In Process Calc.'!BU10),"",'In Process Calc.'!BU10)</f>
        <v>-3.019481993571492E-2</v>
      </c>
      <c r="EE10" s="243">
        <f>IF(ISBLANK('In Process Calc.'!BV10),"",'In Process Calc.'!BV10)</f>
        <v>-0.15222013193820552</v>
      </c>
      <c r="EF10" s="243">
        <f>IF(ISBLANK('In Process Calc.'!BW10),"",'In Process Calc.'!BW10)</f>
        <v>7.3923720406717769E-2</v>
      </c>
      <c r="EG10" s="243">
        <f>IF(ISBLANK('In Process Calc.'!BX10),"",'In Process Calc.'!BX10)</f>
        <v>0.17191979373422511</v>
      </c>
      <c r="EH10" s="243">
        <f>IF(ISBLANK('In Process Calc.'!BY10),"",'In Process Calc.'!BY10)</f>
        <v>0</v>
      </c>
      <c r="EI10" s="243">
        <f>IF(ISBLANK('In Process Calc.'!BZ10),"",'In Process Calc.'!BZ10)</f>
        <v>-0.12563098079327964</v>
      </c>
      <c r="EJ10" s="243">
        <f>IF(ISBLANK('In Process Calc.'!CA10),"",'In Process Calc.'!CA10)</f>
        <v>1.9185653878405546</v>
      </c>
      <c r="EK10" s="243">
        <f>IF(ISBLANK('Post Process Calc.'!A10),"",'Post Process Calc.'!A10)</f>
        <v>9.4350002838134763</v>
      </c>
      <c r="EL10" s="243">
        <f>IF(ISBLANK('Post Process Calc.'!C10),"",'Post Process Calc.'!C10)</f>
        <v>1.1999991088599072E-2</v>
      </c>
      <c r="EM10" s="243">
        <f>IF(ISBLANK('Post Process Calc.'!D10),"",'Post Process Calc.'!D10)</f>
        <v>0</v>
      </c>
      <c r="EN10" s="243">
        <f>IF(ISBLANK('Post Process Calc.'!E10),"",'Post Process Calc.'!E10)</f>
        <v>2.0386901049162764</v>
      </c>
      <c r="EO10" s="243">
        <f>IF(ISBLANK('Post Process Calc.'!F10),"",'Post Process Calc.'!F10)</f>
        <v>-8.4957279563395785E-3</v>
      </c>
      <c r="EP10" s="243">
        <f>IF(ISBLANK('Post Process Calc.'!G10),"",'Post Process Calc.'!G10)</f>
        <v>-5.0553532442258731E-4</v>
      </c>
      <c r="EQ10" s="243">
        <f>IF(ISBLANK('Post Process Calc.'!H10),"",'Post Process Calc.'!H10)</f>
        <v>4.2806759663201865E-3</v>
      </c>
      <c r="ER10" s="243">
        <f>IF(ISBLANK('Post Process Calc.'!I10),"",'Post Process Calc.'!I10)</f>
        <v>-1.6319023076364571E-3</v>
      </c>
      <c r="ES10" s="243">
        <f>IF(ISBLANK('Post Process Calc.'!J10),"",'Post Process Calc.'!J10)</f>
        <v>1.1626497339069623E-3</v>
      </c>
      <c r="ET10" s="243">
        <f>IF(ISBLANK('Post Process Calc.'!K10),"",'Post Process Calc.'!K10)</f>
        <v>4.0591282479987778E-2</v>
      </c>
      <c r="EU10" s="243">
        <f>IF(ISBLANK('Post Process Calc.'!L10),"",'Post Process Calc.'!L10)</f>
        <v>-5.4383264897684561E-3</v>
      </c>
      <c r="EV10" s="243">
        <f>IF(ISBLANK('Post Process Calc.'!M10),"",'Post Process Calc.'!M10)</f>
        <v>-5.4491736343254141E-3</v>
      </c>
      <c r="EW10" s="243">
        <f>IF(ISBLANK('Post Process Calc.'!N10),"",'Post Process Calc.'!N10)</f>
        <v>1.1281147740047387E-3</v>
      </c>
      <c r="EX10" s="243">
        <f>IF(ISBLANK('Post Process Calc.'!O10),"",'Post Process Calc.'!O10)</f>
        <v>9.6996334708924689E-4</v>
      </c>
      <c r="EY10" s="243">
        <f>IF(ISBLANK('Post Process Calc.'!P10),"",'Post Process Calc.'!P10)</f>
        <v>-5.1790356899000314E-5</v>
      </c>
      <c r="EZ10" s="243">
        <f>IF(ISBLANK('Post Process Calc.'!Q10),"",'Post Process Calc.'!Q10)</f>
        <v>4.872342888806082E-4</v>
      </c>
      <c r="FA10" s="243">
        <f>IF(ISBLANK('Post Process Calc.'!R10),"",'Post Process Calc.'!R10)</f>
        <v>2.1954150057466285E-3</v>
      </c>
      <c r="FB10" s="243">
        <f>IF(ISBLANK('Post Process Calc.'!S10),"",'Post Process Calc.'!S10)</f>
        <v>6.6887397350814649E-6</v>
      </c>
      <c r="FC10" s="243">
        <f>IF(ISBLANK('Post Process Calc.'!T10),"",'Post Process Calc.'!T10)</f>
        <v>9.1762420588048467E-4</v>
      </c>
      <c r="FD10" s="243">
        <f>IF(ISBLANK('Post Process Calc.'!U10),"",'Post Process Calc.'!U10)</f>
        <v>-7.9923256177509613E-3</v>
      </c>
      <c r="FE10" s="243">
        <f>IF(ISBLANK('Post Process Calc.'!V10),"",'Post Process Calc.'!V10)</f>
        <v>1.7796443570081765E-4</v>
      </c>
      <c r="FF10" s="243">
        <f>IF(ISBLANK('Post Process Calc.'!W10),"",'Post Process Calc.'!W10)</f>
        <v>3.1063743437742138E-3</v>
      </c>
      <c r="FG10" s="243">
        <f>IF(ISBLANK('Post Process Calc.'!X10),"",'Post Process Calc.'!X10)</f>
        <v>4.8183903206392145E-3</v>
      </c>
      <c r="FH10" s="243">
        <f>IF(ISBLANK('Post Process Calc.'!Y10),"",'Post Process Calc.'!Y10)</f>
        <v>3.5876474581512247E-3</v>
      </c>
      <c r="FI10" s="243">
        <f>IF(ISBLANK('Post Process Calc.'!Z10),"",'Post Process Calc.'!Z10)</f>
        <v>-2.5267091887405088E-4</v>
      </c>
      <c r="FJ10" s="243">
        <f>IF(ISBLANK('Post Process Calc.'!AA10),"",'Post Process Calc.'!AA10)</f>
        <v>1.8385386189081598E-3</v>
      </c>
      <c r="FK10" s="243">
        <f>IF(ISBLANK('Post Process Calc.'!AB10),"",'Post Process Calc.'!AB10)</f>
        <v>-2.1562191130005889E-3</v>
      </c>
      <c r="FL10" s="243">
        <f>IF(ISBLANK('Post Process Calc.'!AC10),"",'Post Process Calc.'!AC10)</f>
        <v>0</v>
      </c>
      <c r="FM10" s="243">
        <f>IF(ISBLANK('Post Process Calc.'!AD10),"",'Post Process Calc.'!AD10)</f>
        <v>1.283532618335638E-2</v>
      </c>
      <c r="FN10" s="243">
        <f>IF(ISBLANK('Post Process Calc.'!AE10),"",'Post Process Calc.'!AE10)</f>
        <v>-3.6527273907341726E-3</v>
      </c>
      <c r="FO10" s="243">
        <f>IF(ISBLANK('Post Process Calc.'!AF10),"",'Post Process Calc.'!AF10)</f>
        <v>6.9092212088166363E-2</v>
      </c>
      <c r="FP10" s="243">
        <f>IF(ISBLANK('Post Process Calc.'!AG10),"",'Post Process Calc.'!AG10)</f>
        <v>1.2003421895349656E-2</v>
      </c>
      <c r="FQ10" s="243">
        <f>IF(ISBLANK('Post Process Calc.'!AH10),"",'Post Process Calc.'!AH10)</f>
        <v>0</v>
      </c>
      <c r="FR10" s="243">
        <f>IF(ISBLANK('Post Process Calc.'!AI10),"",'Post Process Calc.'!AI10)</f>
        <v>-0.13397769564067474</v>
      </c>
      <c r="FS10" s="243">
        <f>IF(ISBLANK('Post Process Calc.'!AJ10),"",'Post Process Calc.'!AJ10)</f>
        <v>1.4696296062377905</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189.2</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22575.925730425577</v>
      </c>
      <c r="BV11" s="243">
        <f>IF(ISBLANK('In Process Calc.'!M11),"",'In Process Calc.'!M11)</f>
        <v>0</v>
      </c>
      <c r="BW11" s="243">
        <f>IF(ISBLANK('In Process Calc.'!N11),"",'In Process Calc.'!N11)</f>
        <v>1416.7101851851853</v>
      </c>
      <c r="BX11" s="243">
        <f>IF(ISBLANK('In Process Calc.'!O11),"",'In Process Calc.'!O11)</f>
        <v>-9.1255826296296298</v>
      </c>
      <c r="BY11" s="243">
        <f>IF(ISBLANK('In Process Calc.'!P11),"",'In Process Calc.'!P11)</f>
        <v>-1.9321040370370364</v>
      </c>
      <c r="BZ11" s="243">
        <f>IF(ISBLANK('In Process Calc.'!Q11),"",'In Process Calc.'!Q11)</f>
        <v>10.069861481481482</v>
      </c>
      <c r="CA11" s="243">
        <f>IF(ISBLANK('In Process Calc.'!R11),"",'In Process Calc.'!R11)</f>
        <v>-3.2334283703703703</v>
      </c>
      <c r="CB11" s="243">
        <f>IF(ISBLANK('In Process Calc.'!S11),"",'In Process Calc.'!S11)</f>
        <v>1.3124135925925926</v>
      </c>
      <c r="CC11" s="243">
        <f>IF(ISBLANK('In Process Calc.'!T11),"",'In Process Calc.'!T11)</f>
        <v>41.34882051236805</v>
      </c>
      <c r="CD11" s="243">
        <f>IF(ISBLANK('In Process Calc.'!U11),"",'In Process Calc.'!U11)</f>
        <v>-7.5052022962962965</v>
      </c>
      <c r="CE11" s="243">
        <f>IF(ISBLANK('In Process Calc.'!V11),"",'In Process Calc.'!V11)</f>
        <v>-24.228604629629629</v>
      </c>
      <c r="CF11" s="243">
        <f>IF(ISBLANK('In Process Calc.'!W11),"",'In Process Calc.'!W11)</f>
        <v>-1.6432894074074071</v>
      </c>
      <c r="CG11" s="243">
        <f>IF(ISBLANK('In Process Calc.'!X11),"",'In Process Calc.'!X11)</f>
        <v>0.46403788888888903</v>
      </c>
      <c r="CH11" s="243">
        <f>IF(ISBLANK('In Process Calc.'!Y11),"",'In Process Calc.'!Y11)</f>
        <v>-1.6563149259259258</v>
      </c>
      <c r="CI11" s="243">
        <f>IF(ISBLANK('In Process Calc.'!Z11),"",'In Process Calc.'!Z11)</f>
        <v>20.889226037760675</v>
      </c>
      <c r="CJ11" s="243">
        <f>IF(ISBLANK('In Process Calc.'!AA11),"",'In Process Calc.'!AA11)</f>
        <v>0.18156662962962922</v>
      </c>
      <c r="CK11" s="243">
        <f>IF(ISBLANK('In Process Calc.'!AB11),"",'In Process Calc.'!AB11)</f>
        <v>-2.2689813703703714</v>
      </c>
      <c r="CL11" s="243">
        <f>IF(ISBLANK('In Process Calc.'!AC11),"",'In Process Calc.'!AC11)</f>
        <v>1.2833422592592592</v>
      </c>
      <c r="CM11" s="243">
        <f>IF(ISBLANK('In Process Calc.'!AD11),"",'In Process Calc.'!AD11)</f>
        <v>-15.781331851851853</v>
      </c>
      <c r="CN11" s="243">
        <f>IF(ISBLANK('In Process Calc.'!AE11),"",'In Process Calc.'!AE11)</f>
        <v>-0.88764625925925933</v>
      </c>
      <c r="CO11" s="243">
        <f>IF(ISBLANK('In Process Calc.'!AF11),"",'In Process Calc.'!AF11)</f>
        <v>4.4561549259259268</v>
      </c>
      <c r="CP11" s="243">
        <f>IF(ISBLANK('In Process Calc.'!AG11),"",'In Process Calc.'!AG11)</f>
        <v>7.5166258148148142</v>
      </c>
      <c r="CQ11" s="243">
        <f>IF(ISBLANK('In Process Calc.'!AH11),"",'In Process Calc.'!AH11)</f>
        <v>4.2374001851851846</v>
      </c>
      <c r="CR11" s="243">
        <f>IF(ISBLANK('In Process Calc.'!AI11),"",'In Process Calc.'!AI11)</f>
        <v>-0.71779159259259262</v>
      </c>
      <c r="CS11" s="243">
        <f>IF(ISBLANK('In Process Calc.'!AJ11),"",'In Process Calc.'!AJ11)</f>
        <v>2.125324148148148</v>
      </c>
      <c r="CT11" s="243">
        <f>IF(ISBLANK('In Process Calc.'!AK11),"",'In Process Calc.'!AK11)</f>
        <v>-6.9291575185185188</v>
      </c>
      <c r="CU11" s="243">
        <f>IF(ISBLANK('In Process Calc.'!AL11),"",'In Process Calc.'!AL11)</f>
        <v>0</v>
      </c>
      <c r="CV11" s="243">
        <f>IF(ISBLANK('In Process Calc.'!AM11),"",'In Process Calc.'!AM11)</f>
        <v>-16.677980777777787</v>
      </c>
      <c r="CW11" s="243">
        <f>IF(ISBLANK('In Process Calc.'!AN11),"",'In Process Calc.'!AN11)</f>
        <v>-41.58489525925927</v>
      </c>
      <c r="CX11" s="243">
        <f>IF(ISBLANK('In Process Calc.'!AO11),"",'In Process Calc.'!AO11)</f>
        <v>-93.834856444444469</v>
      </c>
      <c r="CY11" s="243">
        <f>IF(ISBLANK('In Process Calc.'!AP11),"",'In Process Calc.'!AP11)</f>
        <v>0</v>
      </c>
      <c r="CZ11" s="243">
        <f>IF(ISBLANK('In Process Calc.'!AQ11),"",'In Process Calc.'!AQ11)</f>
        <v>0</v>
      </c>
      <c r="DA11" s="243">
        <f>IF(ISBLANK('In Process Calc.'!AR11),"",'In Process Calc.'!AR11)</f>
        <v>1.0395578626986469E-2</v>
      </c>
      <c r="DB11" s="243">
        <f>IF(ISBLANK('In Process Calc.'!AS11),"",'In Process Calc.'!AS11)</f>
        <v>1.0521149162244073E-2</v>
      </c>
      <c r="DC11" s="243">
        <f>IF(ISBLANK('In Process Calc.'!AT11),"",'In Process Calc.'!AT11)</f>
        <v>1.2557053525760458E-4</v>
      </c>
      <c r="DD11" s="243">
        <f>IF(ISBLANK('In Process Calc.'!AU11),"",'In Process Calc.'!AU11)</f>
        <v>1.2780355881459609</v>
      </c>
      <c r="DE11" s="243">
        <f>IF(ISBLANK('In Process Calc.'!AV11),"",'In Process Calc.'!AV11)</f>
        <v>-7.9860271945851932E-3</v>
      </c>
      <c r="DF11" s="243">
        <f>IF(ISBLANK('In Process Calc.'!AW11),"",'In Process Calc.'!AW11)</f>
        <v>3.151859318743611E-4</v>
      </c>
      <c r="DG11" s="243">
        <f>IF(ISBLANK('In Process Calc.'!AX11),"",'In Process Calc.'!AX11)</f>
        <v>1.5368519908436386E-2</v>
      </c>
      <c r="DH11" s="243">
        <f>IF(ISBLANK('In Process Calc.'!AY11),"",'In Process Calc.'!AY11)</f>
        <v>-3.084135456862514E-3</v>
      </c>
      <c r="DI11" s="243">
        <f>IF(ISBLANK('In Process Calc.'!AZ11),"",'In Process Calc.'!AZ11)</f>
        <v>5.2024850808105158E-4</v>
      </c>
      <c r="DJ11" s="243">
        <f>IF(ISBLANK('In Process Calc.'!BA11),"",'In Process Calc.'!BA11)</f>
        <v>3.3393142088633906E-2</v>
      </c>
      <c r="DK11" s="243">
        <f>IF(ISBLANK('In Process Calc.'!BB11),"",'In Process Calc.'!BB11)</f>
        <v>-5.4122219632204557E-3</v>
      </c>
      <c r="DL11" s="243">
        <f>IF(ISBLANK('In Process Calc.'!BC11),"",'In Process Calc.'!BC11)</f>
        <v>1.2651533691783012E-3</v>
      </c>
      <c r="DM11" s="243">
        <f>IF(ISBLANK('In Process Calc.'!BD11),"",'In Process Calc.'!BD11)</f>
        <v>1.407575066138318E-3</v>
      </c>
      <c r="DN11" s="243">
        <f>IF(ISBLANK('In Process Calc.'!BE11),"",'In Process Calc.'!BE11)</f>
        <v>8.1501989908489393E-4</v>
      </c>
      <c r="DO11" s="243">
        <f>IF(ISBLANK('In Process Calc.'!BF11),"",'In Process Calc.'!BF11)</f>
        <v>1.0808942846462521E-3</v>
      </c>
      <c r="DP11" s="243">
        <f>IF(ISBLANK('In Process Calc.'!BG11),"",'In Process Calc.'!BG11)</f>
        <v>3.3011045832648299E-4</v>
      </c>
      <c r="DQ11" s="243">
        <f>IF(ISBLANK('In Process Calc.'!BH11),"",'In Process Calc.'!BH11)</f>
        <v>2.6569504549945745E-3</v>
      </c>
      <c r="DR11" s="243">
        <f>IF(ISBLANK('In Process Calc.'!BI11),"",'In Process Calc.'!BI11)</f>
        <v>1.0745931333065414E-3</v>
      </c>
      <c r="DS11" s="243">
        <f>IF(ISBLANK('In Process Calc.'!BJ11),"",'In Process Calc.'!BJ11)</f>
        <v>4.963383043019797E-4</v>
      </c>
      <c r="DT11" s="243">
        <f>IF(ISBLANK('In Process Calc.'!BK11),"",'In Process Calc.'!BK11)</f>
        <v>-5.5325578544343675E-3</v>
      </c>
      <c r="DU11" s="243">
        <f>IF(ISBLANK('In Process Calc.'!BL11),"",'In Process Calc.'!BL11)</f>
        <v>6.8225879089608683E-4</v>
      </c>
      <c r="DV11" s="243">
        <f>IF(ISBLANK('In Process Calc.'!BM11),"",'In Process Calc.'!BM11)</f>
        <v>1.8178807896113804E-3</v>
      </c>
      <c r="DW11" s="243">
        <f>IF(ISBLANK('In Process Calc.'!BN11),"",'In Process Calc.'!BN11)</f>
        <v>1.603809015265205E-3</v>
      </c>
      <c r="DX11" s="243">
        <f>IF(ISBLANK('In Process Calc.'!BO11),"",'In Process Calc.'!BO11)</f>
        <v>2.2228768340518969E-3</v>
      </c>
      <c r="DY11" s="243">
        <f>IF(ISBLANK('In Process Calc.'!BP11),"",'In Process Calc.'!BP11)</f>
        <v>1.5865611049452051E-4</v>
      </c>
      <c r="DZ11" s="243">
        <f>IF(ISBLANK('In Process Calc.'!BQ11),"",'In Process Calc.'!BQ11)</f>
        <v>1.0015659698512684E-3</v>
      </c>
      <c r="EA11" s="243">
        <f>IF(ISBLANK('In Process Calc.'!BR11),"",'In Process Calc.'!BR11)</f>
        <v>7.2309936689349263E-4</v>
      </c>
      <c r="EB11" s="243">
        <f>IF(ISBLANK('In Process Calc.'!BS11),"",'In Process Calc.'!BS11)</f>
        <v>0</v>
      </c>
      <c r="EC11" s="243">
        <f>IF(ISBLANK('In Process Calc.'!BT11),"",'In Process Calc.'!BT11)</f>
        <v>3.5867287649188062E-2</v>
      </c>
      <c r="ED11" s="243">
        <f>IF(ISBLANK('In Process Calc.'!BU11),"",'In Process Calc.'!BU11)</f>
        <v>3.8320756989338886E-2</v>
      </c>
      <c r="EE11" s="243">
        <f>IF(ISBLANK('In Process Calc.'!BV11),"",'In Process Calc.'!BV11)</f>
        <v>9.0715190631273548E-2</v>
      </c>
      <c r="EF11" s="243">
        <f>IF(ISBLANK('In Process Calc.'!BW11),"",'In Process Calc.'!BW11)</f>
        <v>0.15407092385858145</v>
      </c>
      <c r="EG11" s="243">
        <f>IF(ISBLANK('In Process Calc.'!BX11),"",'In Process Calc.'!BX11)</f>
        <v>9.8855764291448153E-3</v>
      </c>
      <c r="EH11" s="243">
        <f>IF(ISBLANK('In Process Calc.'!BY11),"",'In Process Calc.'!BY11)</f>
        <v>0</v>
      </c>
      <c r="EI11" s="243">
        <f>IF(ISBLANK('In Process Calc.'!BZ11),"",'In Process Calc.'!BZ11)</f>
        <v>-0.1620758522469985</v>
      </c>
      <c r="EJ11" s="243">
        <f>IF(ISBLANK('In Process Calc.'!CA11),"",'In Process Calc.'!CA11)</f>
        <v>1.0222341012677736</v>
      </c>
      <c r="EK11" s="243">
        <f>IF(ISBLANK('Post Process Calc.'!A11),"",'Post Process Calc.'!A11)</f>
        <v>12.014300210571289</v>
      </c>
      <c r="EL11" s="243">
        <f>IF(ISBLANK('Post Process Calc.'!C11),"",'Post Process Calc.'!C11)</f>
        <v>8.0068817312016569E-3</v>
      </c>
      <c r="EM11" s="243">
        <f>IF(ISBLANK('Post Process Calc.'!D11),"",'Post Process Calc.'!D11)</f>
        <v>0</v>
      </c>
      <c r="EN11" s="243">
        <f>IF(ISBLANK('Post Process Calc.'!E11),"",'Post Process Calc.'!E11)</f>
        <v>1.8082529506337843</v>
      </c>
      <c r="EO11" s="243">
        <f>IF(ISBLANK('Post Process Calc.'!F11),"",'Post Process Calc.'!F11)</f>
        <v>-5.624503712637602E-3</v>
      </c>
      <c r="EP11" s="243">
        <f>IF(ISBLANK('Post Process Calc.'!G11),"",'Post Process Calc.'!G11)</f>
        <v>-1.5896545812900945E-4</v>
      </c>
      <c r="EQ11" s="243">
        <f>IF(ISBLANK('Post Process Calc.'!H11),"",'Post Process Calc.'!H11)</f>
        <v>4.126163794069348E-3</v>
      </c>
      <c r="ER11" s="243">
        <f>IF(ISBLANK('Post Process Calc.'!I11),"",'Post Process Calc.'!I11)</f>
        <v>-4.816587839801346E-4</v>
      </c>
      <c r="ES11" s="243">
        <f>IF(ISBLANK('Post Process Calc.'!J11),"",'Post Process Calc.'!J11)</f>
        <v>8.2106566803009831E-4</v>
      </c>
      <c r="ET11" s="243">
        <f>IF(ISBLANK('Post Process Calc.'!K11),"",'Post Process Calc.'!K11)</f>
        <v>3.6523069295356467E-2</v>
      </c>
      <c r="EU11" s="243">
        <f>IF(ISBLANK('Post Process Calc.'!L11),"",'Post Process Calc.'!L11)</f>
        <v>-4.0351184838348046E-3</v>
      </c>
      <c r="EV11" s="243">
        <f>IF(ISBLANK('Post Process Calc.'!M11),"",'Post Process Calc.'!M11)</f>
        <v>-8.3733967400339887E-4</v>
      </c>
      <c r="EW11" s="243">
        <f>IF(ISBLANK('Post Process Calc.'!N11),"",'Post Process Calc.'!N11)</f>
        <v>9.8348781810847215E-4</v>
      </c>
      <c r="EX11" s="243">
        <f>IF(ISBLANK('Post Process Calc.'!O11),"",'Post Process Calc.'!O11)</f>
        <v>8.5463649164439499E-4</v>
      </c>
      <c r="EY11" s="243">
        <f>IF(ISBLANK('Post Process Calc.'!P11),"",'Post Process Calc.'!P11)</f>
        <v>3.0085902937307949E-4</v>
      </c>
      <c r="EZ11" s="243">
        <f>IF(ISBLANK('Post Process Calc.'!Q11),"",'Post Process Calc.'!Q11)</f>
        <v>-3.3879665944314065E-3</v>
      </c>
      <c r="FA11" s="243">
        <f>IF(ISBLANK('Post Process Calc.'!R11),"",'Post Process Calc.'!R11)</f>
        <v>2.3389817829336545E-3</v>
      </c>
      <c r="FB11" s="243">
        <f>IF(ISBLANK('Post Process Calc.'!S11),"",'Post Process Calc.'!S11)</f>
        <v>7.7193130453476005E-4</v>
      </c>
      <c r="FC11" s="243">
        <f>IF(ISBLANK('Post Process Calc.'!T11),"",'Post Process Calc.'!T11)</f>
        <v>6.095696423920713E-4</v>
      </c>
      <c r="FD11" s="243">
        <f>IF(ISBLANK('Post Process Calc.'!U11),"",'Post Process Calc.'!U11)</f>
        <v>-6.1488955749735893E-3</v>
      </c>
      <c r="FE11" s="243">
        <f>IF(ISBLANK('Post Process Calc.'!V11),"",'Post Process Calc.'!V11)</f>
        <v>4.8551658746352825E-4</v>
      </c>
      <c r="FF11" s="243">
        <f>IF(ISBLANK('Post Process Calc.'!W11),"",'Post Process Calc.'!W11)</f>
        <v>2.1172926846765227E-3</v>
      </c>
      <c r="FG11" s="243">
        <f>IF(ISBLANK('Post Process Calc.'!X11),"",'Post Process Calc.'!X11)</f>
        <v>3.2105166560790666E-3</v>
      </c>
      <c r="FH11" s="243">
        <f>IF(ISBLANK('Post Process Calc.'!Y11),"",'Post Process Calc.'!Y11)</f>
        <v>2.6266441102410845E-3</v>
      </c>
      <c r="FI11" s="243">
        <f>IF(ISBLANK('Post Process Calc.'!Z11),"",'Post Process Calc.'!Z11)</f>
        <v>5.8141819908434257E-6</v>
      </c>
      <c r="FJ11" s="243">
        <f>IF(ISBLANK('Post Process Calc.'!AA11),"",'Post Process Calc.'!AA11)</f>
        <v>1.3029036368780477E-3</v>
      </c>
      <c r="FK11" s="243">
        <f>IF(ISBLANK('Post Process Calc.'!AB11),"",'Post Process Calc.'!AB11)</f>
        <v>-4.0768798746151116E-4</v>
      </c>
      <c r="FL11" s="243">
        <f>IF(ISBLANK('Post Process Calc.'!AC11),"",'Post Process Calc.'!AC11)</f>
        <v>0</v>
      </c>
      <c r="FM11" s="243">
        <f>IF(ISBLANK('Post Process Calc.'!AD11),"",'Post Process Calc.'!AD11)</f>
        <v>2.1641558464130073E-2</v>
      </c>
      <c r="FN11" s="243">
        <f>IF(ISBLANK('Post Process Calc.'!AE11),"",'Post Process Calc.'!AE11)</f>
        <v>9.8681591765188825E-3</v>
      </c>
      <c r="FO11" s="243">
        <f>IF(ISBLANK('Post Process Calc.'!AF11),"",'Post Process Calc.'!AF11)</f>
        <v>9.2881469268394676E-2</v>
      </c>
      <c r="FP11" s="243">
        <f>IF(ISBLANK('Post Process Calc.'!AG11),"",'Post Process Calc.'!AG11)</f>
        <v>-9.2762373475061458E-2</v>
      </c>
      <c r="FQ11" s="243">
        <f>IF(ISBLANK('Post Process Calc.'!AH11),"",'Post Process Calc.'!AH11)</f>
        <v>0</v>
      </c>
      <c r="FR11" s="243">
        <f>IF(ISBLANK('Post Process Calc.'!AI11),"",'Post Process Calc.'!AI11)</f>
        <v>-0.11048136319550309</v>
      </c>
      <c r="FS11" s="243">
        <f>IF(ISBLANK('Post Process Calc.'!AJ11),"",'Post Process Calc.'!AJ11)</f>
        <v>1.523845111266706</v>
      </c>
    </row>
    <row r="12" spans="1:175">
      <c r="A12" s="238" t="str">
        <f>IF('Measured Data'!B14&lt;&gt;0,'Measured Data'!$B$1,"")</f>
        <v>XB50</v>
      </c>
      <c r="B12" s="238">
        <f>IF(ISBLANK('Measured Data'!A14),"",'Measured Data'!A14)</f>
        <v>7</v>
      </c>
      <c r="C12" s="245">
        <f>IF(ISBLANK('Measured Data'!B14),"",'Measured Data'!B14)</f>
        <v>6.867361111115315</v>
      </c>
      <c r="D12" s="246">
        <f>IF(ISBLANK('Measured Data'!C14),"",'Measured Data'!C14)</f>
        <v>164.81666666676756</v>
      </c>
      <c r="E12" s="238">
        <f>IF(ISBLANK('Measured Data'!D14),"",'Measured Data'!D14)</f>
        <v>20</v>
      </c>
      <c r="F12" s="238" t="e">
        <f>IF(ISBLANK('Measured Data'!#REF!),"",'Measured Data'!#REF!)</f>
        <v>#REF!</v>
      </c>
      <c r="G12" s="238" t="str">
        <f>IF(ISBLANK('Measured Data'!G14),"",'Measured Data'!G14)</f>
        <v/>
      </c>
      <c r="H12" s="243">
        <f>IF(ISBLANK('Measured Data'!H14),"",'Measured Data'!H14)</f>
        <v>9.4350002838134763</v>
      </c>
      <c r="I12" s="243">
        <f>IF(ISBLANK('Measured Data'!I14),"",'Measured Data'!I14)</f>
        <v>7.062644689919928E-2</v>
      </c>
      <c r="J12" s="243">
        <f>IF(ISBLANK('Measured Data'!J14),"",'Measured Data'!J14)</f>
        <v>9.5056267307126756</v>
      </c>
      <c r="K12" s="243">
        <f>IF(ISBLANK('Measured Data'!K14),"",'Measured Data'!K14)</f>
        <v>99.257003784179688</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405</v>
      </c>
      <c r="S12" s="238">
        <f>IF(ISBLANK('Measured Data'!S14),"",'Measured Data'!S14)</f>
        <v>410.59</v>
      </c>
      <c r="T12" s="243">
        <f>IF(ISBLANK('Measured Data'!U14),"",'Measured Data'!U14)</f>
        <v>2.7759999999999998</v>
      </c>
      <c r="U12" s="243">
        <f>IF(ISBLANK('Measured Data'!V14),"",'Measured Data'!V14)</f>
        <v>3.3650000000000002</v>
      </c>
      <c r="V12" s="243">
        <f>IF(ISBLANK('Measured Data'!W14),"",'Measured Data'!W14)</f>
        <v>5.5940000000000003</v>
      </c>
      <c r="W12" s="243">
        <f>IF(ISBLANK('Measured Data'!X14),"",'Measured Data'!X14)</f>
        <v>2.8159999999999998</v>
      </c>
      <c r="X12" s="243">
        <f>IF(ISBLANK('Measured Data'!Y14),"",'Measured Data'!Y14)</f>
        <v>0.59099999999999997</v>
      </c>
      <c r="Y12" s="243">
        <f>IF(ISBLANK('Measured Data'!Z14),"",'Measured Data'!Z14)</f>
        <v>31.417216190412752</v>
      </c>
      <c r="Z12" s="243">
        <f>IF(ISBLANK('Measured Data'!AA14),"",'Measured Data'!AA14)</f>
        <v>2.5329999999999999</v>
      </c>
      <c r="AA12" s="243">
        <f>IF(ISBLANK('Measured Data'!AB14),"",'Measured Data'!AB14)</f>
        <v>15.664</v>
      </c>
      <c r="AB12" s="243">
        <f>IF(ISBLANK('Measured Data'!AC14),"",'Measured Data'!AC14)</f>
        <v>1.454</v>
      </c>
      <c r="AC12" s="243">
        <f>IF(ISBLANK('Measured Data'!AD14),"",'Measured Data'!AD14)</f>
        <v>1.306</v>
      </c>
      <c r="AD12" s="243">
        <f>IF(ISBLANK('Measured Data'!AE14),"",'Measured Data'!AE14)</f>
        <v>4.1989999999999998</v>
      </c>
      <c r="AE12" s="243">
        <f>IF(ISBLANK('Measured Data'!AF14),"",'Measured Data'!AF14)</f>
        <v>11.434280639431616</v>
      </c>
      <c r="AF12" s="243">
        <f>IF(ISBLANK('Measured Data'!AG14),"",'Measured Data'!AG14)</f>
        <v>5.2859999999999996</v>
      </c>
      <c r="AG12" s="243">
        <f>IF(ISBLANK('Measured Data'!AH14),"",'Measured Data'!AH14)</f>
        <v>5.0880000000000001</v>
      </c>
      <c r="AH12" s="243">
        <f>IF(ISBLANK('Measured Data'!AI14),"",'Measured Data'!AI14)</f>
        <v>0.30199999999999999</v>
      </c>
      <c r="AI12" s="243">
        <f>IF(ISBLANK('Measured Data'!AJ14),"",'Measured Data'!AJ14)</f>
        <v>7.52</v>
      </c>
      <c r="AJ12" s="243">
        <f>IF(ISBLANK('Measured Data'!AK14),"",'Measured Data'!AK14)</f>
        <v>2.0329999999999999</v>
      </c>
      <c r="AK12" s="243">
        <f>IF(ISBLANK('Measured Data'!AL14),"",'Measured Data'!AL14)</f>
        <v>3.5409999999999999</v>
      </c>
      <c r="AL12" s="243">
        <f>IF(ISBLANK('Measured Data'!AM14),"",'Measured Data'!AM14)</f>
        <v>1.758</v>
      </c>
      <c r="AM12" s="243">
        <f>IF(ISBLANK('Measured Data'!AN14),"",'Measured Data'!AN14)</f>
        <v>1.6850000000000001</v>
      </c>
      <c r="AN12" s="243">
        <f>IF(ISBLANK('Measured Data'!AO14),"",'Measured Data'!AO14)</f>
        <v>1.585</v>
      </c>
      <c r="AO12" s="243">
        <f>IF(ISBLANK('Measured Data'!AP14),"",'Measured Data'!AP14)</f>
        <v>0.73299999999999998</v>
      </c>
      <c r="AP12" s="243">
        <f>IF(ISBLANK('Measured Data'!AQ14),"",'Measured Data'!AQ14)</f>
        <v>7.18</v>
      </c>
      <c r="AQ12" s="243">
        <f>IF(ISBLANK('Measured Data'!AR14),"",'Measured Data'!AR14)</f>
        <v>0</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t="str">
        <f>IF(ISBLANK('Measured Data'!BP14),"",'Measured Data'!BP14)</f>
        <v/>
      </c>
      <c r="BN12" s="238">
        <f>IF(ISBLANK('In Process Calc.'!B12),"",ROUND('In Process Calc.'!B12,2))</f>
        <v>8.8800000000000008</v>
      </c>
      <c r="BO12" s="238">
        <f>IF(ISBLANK('In Process Calc.'!C12),"",ROUND('In Process Calc.'!C12,2))</f>
        <v>213.15</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27230.16513016052</v>
      </c>
      <c r="BV12" s="243">
        <f>IF(ISBLANK('In Process Calc.'!M12),"",'In Process Calc.'!M12)</f>
        <v>0</v>
      </c>
      <c r="BW12" s="243">
        <f>IF(ISBLANK('In Process Calc.'!N12),"",'In Process Calc.'!N12)</f>
        <v>2255.076229166667</v>
      </c>
      <c r="BX12" s="243">
        <f>IF(ISBLANK('In Process Calc.'!O12),"",'In Process Calc.'!O12)</f>
        <v>-11.882110166666667</v>
      </c>
      <c r="BY12" s="243">
        <f>IF(ISBLANK('In Process Calc.'!P12),"",'In Process Calc.'!P12)</f>
        <v>-1.0961921944444437</v>
      </c>
      <c r="BZ12" s="243">
        <f>IF(ISBLANK('In Process Calc.'!Q12),"",'In Process Calc.'!Q12)</f>
        <v>12.884201666666666</v>
      </c>
      <c r="CA12" s="243">
        <f>IF(ISBLANK('In Process Calc.'!R12),"",'In Process Calc.'!R12)</f>
        <v>-2.3334581111111117</v>
      </c>
      <c r="CB12" s="243">
        <f>IF(ISBLANK('In Process Calc.'!S12),"",'In Process Calc.'!S12)</f>
        <v>1.6568463055555556</v>
      </c>
      <c r="CC12" s="243">
        <f>IF(ISBLANK('In Process Calc.'!T12),"",'In Process Calc.'!T12)</f>
        <v>53.032254089398172</v>
      </c>
      <c r="CD12" s="243">
        <f>IF(ISBLANK('In Process Calc.'!U12),"",'In Process Calc.'!U12)</f>
        <v>-9.7245065555555552</v>
      </c>
      <c r="CE12" s="243">
        <f>IF(ISBLANK('In Process Calc.'!V12),"",'In Process Calc.'!V12)</f>
        <v>-18.69282872222222</v>
      </c>
      <c r="CF12" s="243">
        <f>IF(ISBLANK('In Process Calc.'!W12),"",'In Process Calc.'!W12)</f>
        <v>-0.50888786111111095</v>
      </c>
      <c r="CG12" s="243">
        <f>IF(ISBLANK('In Process Calc.'!X12),"",'In Process Calc.'!X12)</f>
        <v>0.84820372222222207</v>
      </c>
      <c r="CH12" s="243">
        <f>IF(ISBLANK('In Process Calc.'!Y12),"",'In Process Calc.'!Y12)</f>
        <v>-0.28179130555555498</v>
      </c>
      <c r="CI12" s="243">
        <f>IF(ISBLANK('In Process Calc.'!Z12),"",'In Process Calc.'!Z12)</f>
        <v>13.621934823366885</v>
      </c>
      <c r="CJ12" s="243">
        <f>IF(ISBLANK('In Process Calc.'!AA12),"",'In Process Calc.'!AA12)</f>
        <v>2.4727908611111094</v>
      </c>
      <c r="CK12" s="243">
        <f>IF(ISBLANK('In Process Calc.'!AB12),"",'In Process Calc.'!AB12)</f>
        <v>-0.811971555555556</v>
      </c>
      <c r="CL12" s="243">
        <f>IF(ISBLANK('In Process Calc.'!AC12),"",'In Process Calc.'!AC12)</f>
        <v>1.6079849999999998</v>
      </c>
      <c r="CM12" s="243">
        <f>IF(ISBLANK('In Process Calc.'!AD12),"",'In Process Calc.'!AD12)</f>
        <v>-12.50024777777778</v>
      </c>
      <c r="CN12" s="243">
        <f>IF(ISBLANK('In Process Calc.'!AE12),"",'In Process Calc.'!AE12)</f>
        <v>-0.13536619444444475</v>
      </c>
      <c r="CO12" s="243">
        <f>IF(ISBLANK('In Process Calc.'!AF12),"",'In Process Calc.'!AF12)</f>
        <v>5.65041525</v>
      </c>
      <c r="CP12" s="243">
        <f>IF(ISBLANK('In Process Calc.'!AG12),"",'In Process Calc.'!AG12)</f>
        <v>9.7241768611111112</v>
      </c>
      <c r="CQ12" s="243">
        <f>IF(ISBLANK('In Process Calc.'!AH12),"",'In Process Calc.'!AH12)</f>
        <v>5.5080714444444432</v>
      </c>
      <c r="CR12" s="243">
        <f>IF(ISBLANK('In Process Calc.'!AI12),"",'In Process Calc.'!AI12)</f>
        <v>-0.34993280555555561</v>
      </c>
      <c r="CS12" s="243">
        <f>IF(ISBLANK('In Process Calc.'!AJ12),"",'In Process Calc.'!AJ12)</f>
        <v>2.79022975</v>
      </c>
      <c r="CT12" s="243">
        <f>IF(ISBLANK('In Process Calc.'!AK12),"",'In Process Calc.'!AK12)</f>
        <v>-4.8899358611111126</v>
      </c>
      <c r="CU12" s="243">
        <f>IF(ISBLANK('In Process Calc.'!AL12),"",'In Process Calc.'!AL12)</f>
        <v>0</v>
      </c>
      <c r="CV12" s="243">
        <f>IF(ISBLANK('In Process Calc.'!AM12),"",'In Process Calc.'!AM12)</f>
        <v>6.9986552222222222</v>
      </c>
      <c r="CW12" s="243">
        <f>IF(ISBLANK('In Process Calc.'!AN12),"",'In Process Calc.'!AN12)</f>
        <v>-17.383702722222225</v>
      </c>
      <c r="CX12" s="243">
        <f>IF(ISBLANK('In Process Calc.'!AO12),"",'In Process Calc.'!AO12)</f>
        <v>34.563817055555532</v>
      </c>
      <c r="CY12" s="243">
        <f>IF(ISBLANK('In Process Calc.'!AP12),"",'In Process Calc.'!AP12)</f>
        <v>0</v>
      </c>
      <c r="CZ12" s="243">
        <f>IF(ISBLANK('In Process Calc.'!AQ12),"",'In Process Calc.'!AQ12)</f>
        <v>0</v>
      </c>
      <c r="DA12" s="243">
        <f>IF(ISBLANK('In Process Calc.'!AR12),"",'In Process Calc.'!AR12)</f>
        <v>7.6489957706565624E-3</v>
      </c>
      <c r="DB12" s="243">
        <f>IF(ISBLANK('In Process Calc.'!AS12),"",'In Process Calc.'!AS12)</f>
        <v>7.7228739597883572E-3</v>
      </c>
      <c r="DC12" s="243">
        <f>IF(ISBLANK('In Process Calc.'!AT12),"",'In Process Calc.'!AT12)</f>
        <v>7.3878189131795105E-5</v>
      </c>
      <c r="DD12" s="243">
        <f>IF(ISBLANK('In Process Calc.'!AU12),"",'In Process Calc.'!AU12)</f>
        <v>1.3778101584206488</v>
      </c>
      <c r="DE12" s="243">
        <f>IF(ISBLANK('In Process Calc.'!AV12),"",'In Process Calc.'!AV12)</f>
        <v>-4.5302069063519624E-3</v>
      </c>
      <c r="DF12" s="243">
        <f>IF(ISBLANK('In Process Calc.'!AW12),"",'In Process Calc.'!AW12)</f>
        <v>1.3737768085149648E-3</v>
      </c>
      <c r="DG12" s="243">
        <f>IF(ISBLANK('In Process Calc.'!AX12),"",'In Process Calc.'!AX12)</f>
        <v>4.6252189294122316E-3</v>
      </c>
      <c r="DH12" s="243">
        <f>IF(ISBLANK('In Process Calc.'!AY12),"",'In Process Calc.'!AY12)</f>
        <v>1.4790534210987929E-3</v>
      </c>
      <c r="DI12" s="243">
        <f>IF(ISBLANK('In Process Calc.'!AZ12),"",'In Process Calc.'!AZ12)</f>
        <v>5.6605690821995682E-4</v>
      </c>
      <c r="DJ12" s="243">
        <f>IF(ISBLANK('In Process Calc.'!BA12),"",'In Process Calc.'!BA12)</f>
        <v>2.9533231743167482E-2</v>
      </c>
      <c r="DK12" s="243">
        <f>IF(ISBLANK('In Process Calc.'!BB12),"",'In Process Calc.'!BB12)</f>
        <v>-3.647308923095127E-3</v>
      </c>
      <c r="DL12" s="243">
        <f>IF(ISBLANK('In Process Calc.'!BC12),"",'In Process Calc.'!BC12)</f>
        <v>9.0977542980434558E-3</v>
      </c>
      <c r="DM12" s="243">
        <f>IF(ISBLANK('In Process Calc.'!BD12),"",'In Process Calc.'!BD12)</f>
        <v>1.8643288160769701E-3</v>
      </c>
      <c r="DN12" s="243">
        <f>IF(ISBLANK('In Process Calc.'!BE12),"",'In Process Calc.'!BE12)</f>
        <v>6.3135618562396327E-4</v>
      </c>
      <c r="DO12" s="243">
        <f>IF(ISBLANK('In Process Calc.'!BF12),"",'In Process Calc.'!BF12)</f>
        <v>2.2589567179288768E-3</v>
      </c>
      <c r="DP12" s="243">
        <f>IF(ISBLANK('In Process Calc.'!BG12),"",'In Process Calc.'!BG12)</f>
        <v>-9.5454418647481082E-3</v>
      </c>
      <c r="DQ12" s="243">
        <f>IF(ISBLANK('In Process Calc.'!BH12),"",'In Process Calc.'!BH12)</f>
        <v>3.7655055855583502E-3</v>
      </c>
      <c r="DR12" s="243">
        <f>IF(ISBLANK('In Process Calc.'!BI12),"",'In Process Calc.'!BI12)</f>
        <v>2.3945184065861133E-3</v>
      </c>
      <c r="DS12" s="243">
        <f>IF(ISBLANK('In Process Calc.'!BJ12),"",'In Process Calc.'!BJ12)</f>
        <v>5.3353313777578708E-4</v>
      </c>
      <c r="DT12" s="243">
        <f>IF(ISBLANK('In Process Calc.'!BK12),"",'In Process Calc.'!BK12)</f>
        <v>5.3922877725607436E-3</v>
      </c>
      <c r="DU12" s="243">
        <f>IF(ISBLANK('In Process Calc.'!BL12),"",'In Process Calc.'!BL12)</f>
        <v>1.2363324143673099E-3</v>
      </c>
      <c r="DV12" s="243">
        <f>IF(ISBLANK('In Process Calc.'!BM12),"",'In Process Calc.'!BM12)</f>
        <v>1.962703544735097E-3</v>
      </c>
      <c r="DW12" s="243">
        <f>IF(ISBLANK('In Process Calc.'!BN12),"",'In Process Calc.'!BN12)</f>
        <v>3.627993140531291E-3</v>
      </c>
      <c r="DX12" s="243">
        <f>IF(ISBLANK('In Process Calc.'!BO12),"",'In Process Calc.'!BO12)</f>
        <v>2.0882808667990805E-3</v>
      </c>
      <c r="DY12" s="243">
        <f>IF(ISBLANK('In Process Calc.'!BP12),"",'In Process Calc.'!BP12)</f>
        <v>6.0455641933790329E-4</v>
      </c>
      <c r="DZ12" s="243">
        <f>IF(ISBLANK('In Process Calc.'!BQ12),"",'In Process Calc.'!BQ12)</f>
        <v>1.0927371154866485E-3</v>
      </c>
      <c r="EA12" s="243">
        <f>IF(ISBLANK('In Process Calc.'!BR12),"",'In Process Calc.'!BR12)</f>
        <v>3.3513527116436717E-3</v>
      </c>
      <c r="EB12" s="243">
        <f>IF(ISBLANK('In Process Calc.'!BS12),"",'In Process Calc.'!BS12)</f>
        <v>0</v>
      </c>
      <c r="EC12" s="243">
        <f>IF(ISBLANK('In Process Calc.'!BT12),"",'In Process Calc.'!BT12)</f>
        <v>3.7740683035428671E-2</v>
      </c>
      <c r="ED12" s="243">
        <f>IF(ISBLANK('In Process Calc.'!BU12),"",'In Process Calc.'!BU12)</f>
        <v>4.7663177714341379E-2</v>
      </c>
      <c r="EE12" s="243">
        <f>IF(ISBLANK('In Process Calc.'!BV12),"",'In Process Calc.'!BV12)</f>
        <v>0.17960327817007735</v>
      </c>
      <c r="EF12" s="243">
        <f>IF(ISBLANK('In Process Calc.'!BW12),"",'In Process Calc.'!BW12)</f>
        <v>0.21143044350460893</v>
      </c>
      <c r="EG12" s="243">
        <f>IF(ISBLANK('In Process Calc.'!BX12),"",'In Process Calc.'!BX12)</f>
        <v>-0.32321020427967379</v>
      </c>
      <c r="EH12" s="243">
        <f>IF(ISBLANK('In Process Calc.'!BY12),"",'In Process Calc.'!BY12)</f>
        <v>0</v>
      </c>
      <c r="EI12" s="243">
        <f>IF(ISBLANK('In Process Calc.'!BZ12),"",'In Process Calc.'!BZ12)</f>
        <v>-0.12349846961597531</v>
      </c>
      <c r="EJ12" s="243">
        <f>IF(ISBLANK('In Process Calc.'!CA12),"",'In Process Calc.'!CA12)</f>
        <v>-1.4784291339886881</v>
      </c>
      <c r="EK12" s="243">
        <f>IF(ISBLANK('Post Process Calc.'!A12),"",'Post Process Calc.'!A12)</f>
        <v>14.453400476074219</v>
      </c>
      <c r="EL12" s="243">
        <f>IF(ISBLANK('Post Process Calc.'!C12),"",'Post Process Calc.'!C12)</f>
        <v>4.9413486374640745E-3</v>
      </c>
      <c r="EM12" s="243">
        <f>IF(ISBLANK('Post Process Calc.'!D12),"",'Post Process Calc.'!D12)</f>
        <v>0</v>
      </c>
      <c r="EN12" s="243">
        <f>IF(ISBLANK('Post Process Calc.'!E12),"",'Post Process Calc.'!E12)</f>
        <v>1.6298857636988957</v>
      </c>
      <c r="EO12" s="243">
        <f>IF(ISBLANK('Post Process Calc.'!F12),"",'Post Process Calc.'!F12)</f>
        <v>-3.1661760472056137E-3</v>
      </c>
      <c r="EP12" s="243">
        <f>IF(ISBLANK('Post Process Calc.'!G12),"",'Post Process Calc.'!G12)</f>
        <v>1.2635059406216549E-4</v>
      </c>
      <c r="EQ12" s="243">
        <f>IF(ISBLANK('Post Process Calc.'!H12),"",'Post Process Calc.'!H12)</f>
        <v>3.7189671648012765E-3</v>
      </c>
      <c r="ER12" s="243">
        <f>IF(ISBLANK('Post Process Calc.'!I12),"",'Post Process Calc.'!I12)</f>
        <v>2.6844958604214312E-4</v>
      </c>
      <c r="ES12" s="243">
        <f>IF(ISBLANK('Post Process Calc.'!J12),"",'Post Process Calc.'!J12)</f>
        <v>5.5237038544871239E-4</v>
      </c>
      <c r="ET12" s="243">
        <f>IF(ISBLANK('Post Process Calc.'!K12),"",'Post Process Calc.'!K12)</f>
        <v>3.4031186971645651E-2</v>
      </c>
      <c r="EU12" s="243">
        <f>IF(ISBLANK('Post Process Calc.'!L12),"",'Post Process Calc.'!L12)</f>
        <v>-1.9577392315362927E-3</v>
      </c>
      <c r="EV12" s="243">
        <f>IF(ISBLANK('Post Process Calc.'!M12),"",'Post Process Calc.'!M12)</f>
        <v>2.5430596236326922E-3</v>
      </c>
      <c r="EW12" s="243">
        <f>IF(ISBLANK('Post Process Calc.'!N12),"",'Post Process Calc.'!N12)</f>
        <v>7.562046974048072E-4</v>
      </c>
      <c r="EX12" s="243">
        <f>IF(ISBLANK('Post Process Calc.'!O12),"",'Post Process Calc.'!O12)</f>
        <v>7.5138667686655233E-4</v>
      </c>
      <c r="EY12" s="243">
        <f>IF(ISBLANK('Post Process Calc.'!P12),"",'Post Process Calc.'!P12)</f>
        <v>5.7004611917727671E-4</v>
      </c>
      <c r="EZ12" s="243">
        <f>IF(ISBLANK('Post Process Calc.'!Q12),"",'Post Process Calc.'!Q12)</f>
        <v>-5.4346547775025603E-3</v>
      </c>
      <c r="FA12" s="243">
        <f>IF(ISBLANK('Post Process Calc.'!R12),"",'Post Process Calc.'!R12)</f>
        <v>2.4688000210272834E-3</v>
      </c>
      <c r="FB12" s="243">
        <f>IF(ISBLANK('Post Process Calc.'!S12),"",'Post Process Calc.'!S12)</f>
        <v>1.4031652078656557E-3</v>
      </c>
      <c r="FC12" s="243">
        <f>IF(ISBLANK('Post Process Calc.'!T12),"",'Post Process Calc.'!T12)</f>
        <v>3.6795662341660427E-4</v>
      </c>
      <c r="FD12" s="243">
        <f>IF(ISBLANK('Post Process Calc.'!U12),"",'Post Process Calc.'!U12)</f>
        <v>-4.9266807216725821E-3</v>
      </c>
      <c r="FE12" s="243">
        <f>IF(ISBLANK('Post Process Calc.'!V12),"",'Post Process Calc.'!V12)</f>
        <v>7.3805814437677485E-4</v>
      </c>
      <c r="FF12" s="243">
        <f>IF(ISBLANK('Post Process Calc.'!W12),"",'Post Process Calc.'!W12)</f>
        <v>1.3583726585419704E-3</v>
      </c>
      <c r="FG12" s="243">
        <f>IF(ISBLANK('Post Process Calc.'!X12),"",'Post Process Calc.'!X12)</f>
        <v>2.0053507903606922E-3</v>
      </c>
      <c r="FH12" s="243">
        <f>IF(ISBLANK('Post Process Calc.'!Y12),"",'Post Process Calc.'!Y12)</f>
        <v>1.8736638108276464E-3</v>
      </c>
      <c r="FI12" s="243">
        <f>IF(ISBLANK('Post Process Calc.'!Z12),"",'Post Process Calc.'!Z12)</f>
        <v>2.2522701388149447E-4</v>
      </c>
      <c r="FJ12" s="243">
        <f>IF(ISBLANK('Post Process Calc.'!AA12),"",'Post Process Calc.'!AA12)</f>
        <v>8.7554999011124905E-4</v>
      </c>
      <c r="FK12" s="243">
        <f>IF(ISBLANK('Post Process Calc.'!AB12),"",'Post Process Calc.'!AB12)</f>
        <v>9.7414074901811323E-4</v>
      </c>
      <c r="FL12" s="243">
        <f>IF(ISBLANK('Post Process Calc.'!AC12),"",'Post Process Calc.'!AC12)</f>
        <v>0</v>
      </c>
      <c r="FM12" s="243">
        <f>IF(ISBLANK('Post Process Calc.'!AD12),"",'Post Process Calc.'!AD12)</f>
        <v>2.9006073768813062E-2</v>
      </c>
      <c r="FN12" s="243">
        <f>IF(ISBLANK('Post Process Calc.'!AE12),"",'Post Process Calc.'!AE12)</f>
        <v>2.0913216999934866E-2</v>
      </c>
      <c r="FO12" s="243">
        <f>IF(ISBLANK('Post Process Calc.'!AF12),"",'Post Process Calc.'!AF12)</f>
        <v>0.11077669961790722</v>
      </c>
      <c r="FP12" s="243">
        <f>IF(ISBLANK('Post Process Calc.'!AG12),"",'Post Process Calc.'!AG12)</f>
        <v>-0.15969630392353476</v>
      </c>
      <c r="FQ12" s="243">
        <f>IF(ISBLANK('Post Process Calc.'!AH12),"",'Post Process Calc.'!AH12)</f>
        <v>0</v>
      </c>
      <c r="FR12" s="243">
        <f>IF(ISBLANK('Post Process Calc.'!AI12),"",'Post Process Calc.'!AI12)</f>
        <v>-5.7527797463175642E-2</v>
      </c>
      <c r="FS12" s="243">
        <f>IF(ISBLANK('Post Process Calc.'!AJ12),"",'Post Process Calc.'!AJ12)</f>
        <v>2.5165152959653763</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15.10840020904541</v>
      </c>
      <c r="EL13" s="243">
        <f>IF(ISBLANK('Post Process Calc.'!C13),"",'Post Process Calc.'!C13)</f>
        <v>2.7896448655290607E-3</v>
      </c>
      <c r="EM13" s="243">
        <f>IF(ISBLANK('Post Process Calc.'!D13),"",'Post Process Calc.'!D13)</f>
        <v>0</v>
      </c>
      <c r="EN13" s="243">
        <f>IF(ISBLANK('Post Process Calc.'!E13),"",'Post Process Calc.'!E13)</f>
        <v>1.643220211081216</v>
      </c>
      <c r="EO13" s="243">
        <f>IF(ISBLANK('Post Process Calc.'!F13),"",'Post Process Calc.'!F13)</f>
        <v>-8.4871495735689556E-4</v>
      </c>
      <c r="EP13" s="243">
        <f>IF(ISBLANK('Post Process Calc.'!G13),"",'Post Process Calc.'!G13)</f>
        <v>4.6345487833054824E-4</v>
      </c>
      <c r="EQ13" s="243">
        <f>IF(ISBLANK('Post Process Calc.'!H13),"",'Post Process Calc.'!H13)</f>
        <v>3.3720608448230905E-3</v>
      </c>
      <c r="ER13" s="243">
        <f>IF(ISBLANK('Post Process Calc.'!I13),"",'Post Process Calc.'!I13)</f>
        <v>8.1739620857980725E-4</v>
      </c>
      <c r="ES13" s="243">
        <f>IF(ISBLANK('Post Process Calc.'!J13),"",'Post Process Calc.'!J13)</f>
        <v>3.4181214358840461E-4</v>
      </c>
      <c r="ET13" s="243">
        <f>IF(ISBLANK('Post Process Calc.'!K13),"",'Post Process Calc.'!K13)</f>
        <v>3.6115258863786089E-2</v>
      </c>
      <c r="EU13" s="243">
        <f>IF(ISBLANK('Post Process Calc.'!L13),"",'Post Process Calc.'!L13)</f>
        <v>6.935851052849209E-4</v>
      </c>
      <c r="EV13" s="243">
        <f>IF(ISBLANK('Post Process Calc.'!M13),"",'Post Process Calc.'!M13)</f>
        <v>6.1191617135623452E-3</v>
      </c>
      <c r="EW13" s="243">
        <f>IF(ISBLANK('Post Process Calc.'!N13),"",'Post Process Calc.'!N13)</f>
        <v>5.18333355276236E-4</v>
      </c>
      <c r="EX13" s="243">
        <f>IF(ISBLANK('Post Process Calc.'!O13),"",'Post Process Calc.'!O13)</f>
        <v>7.243922815979286E-4</v>
      </c>
      <c r="EY13" s="243">
        <f>IF(ISBLANK('Post Process Calc.'!P13),"",'Post Process Calc.'!P13)</f>
        <v>9.0819877605983828E-4</v>
      </c>
      <c r="EZ13" s="243">
        <f>IF(ISBLANK('Post Process Calc.'!Q13),"",'Post Process Calc.'!Q13)</f>
        <v>-6.8355867380543592E-3</v>
      </c>
      <c r="FA13" s="243">
        <f>IF(ISBLANK('Post Process Calc.'!R13),"",'Post Process Calc.'!R13)</f>
        <v>2.9109187011895836E-3</v>
      </c>
      <c r="FB13" s="243">
        <f>IF(ISBLANK('Post Process Calc.'!S13),"",'Post Process Calc.'!S13)</f>
        <v>2.2443424793877533E-3</v>
      </c>
      <c r="FC13" s="243">
        <f>IF(ISBLANK('Post Process Calc.'!T13),"",'Post Process Calc.'!T13)</f>
        <v>1.6384939639597104E-4</v>
      </c>
      <c r="FD13" s="243">
        <f>IF(ISBLANK('Post Process Calc.'!U13),"",'Post Process Calc.'!U13)</f>
        <v>-4.4460814639508649E-3</v>
      </c>
      <c r="FE13" s="243">
        <f>IF(ISBLANK('Post Process Calc.'!V13),"",'Post Process Calc.'!V13)</f>
        <v>1.0947596168405711E-3</v>
      </c>
      <c r="FF13" s="243">
        <f>IF(ISBLANK('Post Process Calc.'!W13),"",'Post Process Calc.'!W13)</f>
        <v>7.5544823605491686E-4</v>
      </c>
      <c r="FG13" s="243">
        <f>IF(ISBLANK('Post Process Calc.'!X13),"",'Post Process Calc.'!X13)</f>
        <v>1.0541022724398245E-3</v>
      </c>
      <c r="FH13" s="243">
        <f>IF(ISBLANK('Post Process Calc.'!Y13),"",'Post Process Calc.'!Y13)</f>
        <v>1.3249208259417165E-3</v>
      </c>
      <c r="FI13" s="243">
        <f>IF(ISBLANK('Post Process Calc.'!Z13),"",'Post Process Calc.'!Z13)</f>
        <v>4.9120075901859582E-4</v>
      </c>
      <c r="FJ13" s="243">
        <f>IF(ISBLANK('Post Process Calc.'!AA13),"",'Post Process Calc.'!AA13)</f>
        <v>5.35312721203211E-4</v>
      </c>
      <c r="FK13" s="243">
        <f>IF(ISBLANK('Post Process Calc.'!AB13),"",'Post Process Calc.'!AB13)</f>
        <v>2.5174211832617917E-3</v>
      </c>
      <c r="FL13" s="243">
        <f>IF(ISBLANK('Post Process Calc.'!AC13),"",'Post Process Calc.'!AC13)</f>
        <v>0</v>
      </c>
      <c r="FM13" s="243">
        <f>IF(ISBLANK('Post Process Calc.'!AD13),"",'Post Process Calc.'!AD13)</f>
        <v>4.0406910701871399E-2</v>
      </c>
      <c r="FN13" s="243">
        <f>IF(ISBLANK('Post Process Calc.'!AE13),"",'Post Process Calc.'!AE13)</f>
        <v>3.5112114280563649E-2</v>
      </c>
      <c r="FO13" s="243">
        <f>IF(ISBLANK('Post Process Calc.'!AF13),"",'Post Process Calc.'!AF13)</f>
        <v>0.14172580715355881</v>
      </c>
      <c r="FP13" s="243">
        <f>IF(ISBLANK('Post Process Calc.'!AG13),"",'Post Process Calc.'!AG13)</f>
        <v>-0.1892714313314425</v>
      </c>
      <c r="FQ13" s="243">
        <f>IF(ISBLANK('Post Process Calc.'!AH13),"",'Post Process Calc.'!AH13)</f>
        <v>0</v>
      </c>
      <c r="FR13" s="243">
        <f>IF(ISBLANK('Post Process Calc.'!AI13),"",'Post Process Calc.'!AI13)</f>
        <v>1.9204766270702289E-2</v>
      </c>
      <c r="FS13" s="243">
        <f>IF(ISBLANK('Post Process Calc.'!AJ13),"",'Post Process Calc.'!AJ13)</f>
        <v>-6.4102897107694368</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15.682599885559082</v>
      </c>
      <c r="EL14" s="243">
        <f>IF(ISBLANK('Post Process Calc.'!C14),"",'Post Process Calc.'!C14)</f>
        <v>1.5658140435642546E-3</v>
      </c>
      <c r="EM14" s="243">
        <f>IF(ISBLANK('Post Process Calc.'!D14),"",'Post Process Calc.'!D14)</f>
        <v>0</v>
      </c>
      <c r="EN14" s="243">
        <f>IF(ISBLANK('Post Process Calc.'!E14),"",'Post Process Calc.'!E14)</f>
        <v>1.6202994325919271</v>
      </c>
      <c r="EO14" s="243">
        <f>IF(ISBLANK('Post Process Calc.'!F14),"",'Post Process Calc.'!F14)</f>
        <v>1.7606608390506489E-3</v>
      </c>
      <c r="EP14" s="243">
        <f>IF(ISBLANK('Post Process Calc.'!G14),"",'Post Process Calc.'!G14)</f>
        <v>8.22879450273814E-4</v>
      </c>
      <c r="EQ14" s="243">
        <f>IF(ISBLANK('Post Process Calc.'!H14),"",'Post Process Calc.'!H14)</f>
        <v>2.2929165592122111E-3</v>
      </c>
      <c r="ER14" s="243">
        <f>IF(ISBLANK('Post Process Calc.'!I14),"",'Post Process Calc.'!I14)</f>
        <v>1.0835911789715722E-3</v>
      </c>
      <c r="ES14" s="243">
        <f>IF(ISBLANK('Post Process Calc.'!J14),"",'Post Process Calc.'!J14)</f>
        <v>1.0947993039859767E-4</v>
      </c>
      <c r="ET14" s="243">
        <f>IF(ISBLANK('Post Process Calc.'!K14),"",'Post Process Calc.'!K14)</f>
        <v>3.7909932102069825E-2</v>
      </c>
      <c r="EU14" s="243">
        <f>IF(ISBLANK('Post Process Calc.'!L14),"",'Post Process Calc.'!L14)</f>
        <v>3.3639362758156456E-3</v>
      </c>
      <c r="EV14" s="243">
        <f>IF(ISBLANK('Post Process Calc.'!M14),"",'Post Process Calc.'!M14)</f>
        <v>9.6328750469324622E-3</v>
      </c>
      <c r="EW14" s="243">
        <f>IF(ISBLANK('Post Process Calc.'!N14),"",'Post Process Calc.'!N14)</f>
        <v>1.8386966689654344E-4</v>
      </c>
      <c r="EX14" s="243">
        <f>IF(ISBLANK('Post Process Calc.'!O14),"",'Post Process Calc.'!O14)</f>
        <v>6.7090079231028465E-4</v>
      </c>
      <c r="EY14" s="243">
        <f>IF(ISBLANK('Post Process Calc.'!P14),"",'Post Process Calc.'!P14)</f>
        <v>1.2418605046917352E-3</v>
      </c>
      <c r="EZ14" s="243">
        <f>IF(ISBLANK('Post Process Calc.'!Q14),"",'Post Process Calc.'!Q14)</f>
        <v>-6.1209030930378036E-3</v>
      </c>
      <c r="FA14" s="243">
        <f>IF(ISBLANK('Post Process Calc.'!R14),"",'Post Process Calc.'!R14)</f>
        <v>3.3231443486948296E-3</v>
      </c>
      <c r="FB14" s="243">
        <f>IF(ISBLANK('Post Process Calc.'!S14),"",'Post Process Calc.'!S14)</f>
        <v>3.1048576192300166E-3</v>
      </c>
      <c r="FC14" s="243">
        <f>IF(ISBLANK('Post Process Calc.'!T14),"",'Post Process Calc.'!T14)</f>
        <v>-5.6972534533401634E-5</v>
      </c>
      <c r="FD14" s="243">
        <f>IF(ISBLANK('Post Process Calc.'!U14),"",'Post Process Calc.'!U14)</f>
        <v>-3.9672751456954567E-3</v>
      </c>
      <c r="FE14" s="243">
        <f>IF(ISBLANK('Post Process Calc.'!V14),"",'Post Process Calc.'!V14)</f>
        <v>1.4551842014561335E-3</v>
      </c>
      <c r="FF14" s="243">
        <f>IF(ISBLANK('Post Process Calc.'!W14),"",'Post Process Calc.'!W14)</f>
        <v>1.0705020033870582E-4</v>
      </c>
      <c r="FG14" s="243">
        <f>IF(ISBLANK('Post Process Calc.'!X14),"",'Post Process Calc.'!X14)</f>
        <v>5.2245527733571292E-5</v>
      </c>
      <c r="FH14" s="243">
        <f>IF(ISBLANK('Post Process Calc.'!Y14),"",'Post Process Calc.'!Y14)</f>
        <v>7.1095596756496184E-4</v>
      </c>
      <c r="FI14" s="243">
        <f>IF(ISBLANK('Post Process Calc.'!Z14),"",'Post Process Calc.'!Z14)</f>
        <v>7.7259839525922421E-4</v>
      </c>
      <c r="FJ14" s="243">
        <f>IF(ISBLANK('Post Process Calc.'!AA14),"",'Post Process Calc.'!AA14)</f>
        <v>1.5664487270953715E-4</v>
      </c>
      <c r="FK14" s="243">
        <f>IF(ISBLANK('Post Process Calc.'!AB14),"",'Post Process Calc.'!AB14)</f>
        <v>4.1053377486536483E-3</v>
      </c>
      <c r="FL14" s="243">
        <f>IF(ISBLANK('Post Process Calc.'!AC14),"",'Post Process Calc.'!AC14)</f>
        <v>0</v>
      </c>
      <c r="FM14" s="243">
        <f>IF(ISBLANK('Post Process Calc.'!AD14),"",'Post Process Calc.'!AD14)</f>
        <v>5.1858090122209405E-2</v>
      </c>
      <c r="FN14" s="243">
        <f>IF(ISBLANK('Post Process Calc.'!AE14),"",'Post Process Calc.'!AE14)</f>
        <v>4.9651475815564609E-2</v>
      </c>
      <c r="FO14" s="243">
        <f>IF(ISBLANK('Post Process Calc.'!AF14),"",'Post Process Calc.'!AF14)</f>
        <v>0.17083714075404857</v>
      </c>
      <c r="FP14" s="243">
        <f>IF(ISBLANK('Post Process Calc.'!AG14),"",'Post Process Calc.'!AG14)</f>
        <v>-0.16145908878332207</v>
      </c>
      <c r="FQ14" s="243">
        <f>IF(ISBLANK('Post Process Calc.'!AH14),"",'Post Process Calc.'!AH14)</f>
        <v>0</v>
      </c>
      <c r="FR14" s="243">
        <f>IF(ISBLANK('Post Process Calc.'!AI14),"",'Post Process Calc.'!AI14)</f>
        <v>8.8734959133096938E-2</v>
      </c>
      <c r="FS14" s="243">
        <f>IF(ISBLANK('Post Process Calc.'!AJ14),"",'Post Process Calc.'!AJ14)</f>
        <v>-1.1793550235233041</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14.457500321960449</v>
      </c>
      <c r="EL15" s="243">
        <f>IF(ISBLANK('Post Process Calc.'!C15),"",'Post Process Calc.'!C15)</f>
        <v>8.7392201529787349E-4</v>
      </c>
      <c r="EM15" s="243">
        <f>IF(ISBLANK('Post Process Calc.'!D15),"",'Post Process Calc.'!D15)</f>
        <v>0</v>
      </c>
      <c r="EN15" s="243">
        <f>IF(ISBLANK('Post Process Calc.'!E15),"",'Post Process Calc.'!E15)</f>
        <v>1.7575828068335944</v>
      </c>
      <c r="EO15" s="243">
        <f>IF(ISBLANK('Post Process Calc.'!F15),"",'Post Process Calc.'!F15)</f>
        <v>5.2358363026922781E-3</v>
      </c>
      <c r="EP15" s="243">
        <f>IF(ISBLANK('Post Process Calc.'!G15),"",'Post Process Calc.'!G15)</f>
        <v>1.3862870741595172E-3</v>
      </c>
      <c r="EQ15" s="243">
        <f>IF(ISBLANK('Post Process Calc.'!H15),"",'Post Process Calc.'!H15)</f>
        <v>5.9009153747328371E-4</v>
      </c>
      <c r="ER15" s="243">
        <f>IF(ISBLANK('Post Process Calc.'!I15),"",'Post Process Calc.'!I15)</f>
        <v>1.1610614637019526E-3</v>
      </c>
      <c r="ES15" s="243">
        <f>IF(ISBLANK('Post Process Calc.'!J15),"",'Post Process Calc.'!J15)</f>
        <v>-1.641319141089816E-4</v>
      </c>
      <c r="ET15" s="243">
        <f>IF(ISBLANK('Post Process Calc.'!K15),"",'Post Process Calc.'!K15)</f>
        <v>4.4297629416349911E-2</v>
      </c>
      <c r="EU15" s="243">
        <f>IF(ISBLANK('Post Process Calc.'!L15),"",'Post Process Calc.'!L15)</f>
        <v>5.3290088709318836E-3</v>
      </c>
      <c r="EV15" s="243">
        <f>IF(ISBLANK('Post Process Calc.'!M15),"",'Post Process Calc.'!M15)</f>
        <v>1.4789556669808459E-2</v>
      </c>
      <c r="EW15" s="243">
        <f>IF(ISBLANK('Post Process Calc.'!N15),"",'Post Process Calc.'!N15)</f>
        <v>-2.6399050308210844E-4</v>
      </c>
      <c r="EX15" s="243">
        <f>IF(ISBLANK('Post Process Calc.'!O15),"",'Post Process Calc.'!O15)</f>
        <v>6.6697774458563048E-4</v>
      </c>
      <c r="EY15" s="243">
        <f>IF(ISBLANK('Post Process Calc.'!P15),"",'Post Process Calc.'!P15)</f>
        <v>1.7722528723368579E-3</v>
      </c>
      <c r="EZ15" s="243">
        <f>IF(ISBLANK('Post Process Calc.'!Q15),"",'Post Process Calc.'!Q15)</f>
        <v>-3.5160782177537792E-3</v>
      </c>
      <c r="FA15" s="243">
        <f>IF(ISBLANK('Post Process Calc.'!R15),"",'Post Process Calc.'!R15)</f>
        <v>4.1728859651056468E-3</v>
      </c>
      <c r="FB15" s="243">
        <f>IF(ISBLANK('Post Process Calc.'!S15),"",'Post Process Calc.'!S15)</f>
        <v>4.488009689259902E-3</v>
      </c>
      <c r="FC15" s="243">
        <f>IF(ISBLANK('Post Process Calc.'!T15),"",'Post Process Calc.'!T15)</f>
        <v>-3.3296714914703287E-4</v>
      </c>
      <c r="FD15" s="243">
        <f>IF(ISBLANK('Post Process Calc.'!U15),"",'Post Process Calc.'!U15)</f>
        <v>-3.8955995950154944E-3</v>
      </c>
      <c r="FE15" s="243">
        <f>IF(ISBLANK('Post Process Calc.'!V15),"",'Post Process Calc.'!V15)</f>
        <v>2.0493446436699362E-3</v>
      </c>
      <c r="FF15" s="243">
        <f>IF(ISBLANK('Post Process Calc.'!W15),"",'Post Process Calc.'!W15)</f>
        <v>-6.671014657257052E-4</v>
      </c>
      <c r="FG15" s="243">
        <f>IF(ISBLANK('Post Process Calc.'!X15),"",'Post Process Calc.'!X15)</f>
        <v>-1.1403545433736216E-3</v>
      </c>
      <c r="FH15" s="243">
        <f>IF(ISBLANK('Post Process Calc.'!Y15),"",'Post Process Calc.'!Y15)</f>
        <v>3.2038347349848097E-5</v>
      </c>
      <c r="FI15" s="243">
        <f>IF(ISBLANK('Post Process Calc.'!Z15),"",'Post Process Calc.'!Z15)</f>
        <v>1.2035948132056182E-3</v>
      </c>
      <c r="FJ15" s="243">
        <f>IF(ISBLANK('Post Process Calc.'!AA15),"",'Post Process Calc.'!AA15)</f>
        <v>-2.9450793845180309E-4</v>
      </c>
      <c r="FK15" s="243">
        <f>IF(ISBLANK('Post Process Calc.'!AB15),"",'Post Process Calc.'!AB15)</f>
        <v>6.4696157105298222E-3</v>
      </c>
      <c r="FL15" s="243">
        <f>IF(ISBLANK('Post Process Calc.'!AC15),"",'Post Process Calc.'!AC15)</f>
        <v>0</v>
      </c>
      <c r="FM15" s="243">
        <f>IF(ISBLANK('Post Process Calc.'!AD15),"",'Post Process Calc.'!AD15)</f>
        <v>7.1354376243269083E-2</v>
      </c>
      <c r="FN15" s="243">
        <f>IF(ISBLANK('Post Process Calc.'!AE15),"",'Post Process Calc.'!AE15)</f>
        <v>7.2694612950945869E-2</v>
      </c>
      <c r="FO15" s="243">
        <f>IF(ISBLANK('Post Process Calc.'!AF15),"",'Post Process Calc.'!AF15)</f>
        <v>0.22338407839655361</v>
      </c>
      <c r="FP15" s="243">
        <f>IF(ISBLANK('Post Process Calc.'!AG15),"",'Post Process Calc.'!AG15)</f>
        <v>-7.937395892467379E-2</v>
      </c>
      <c r="FQ15" s="243">
        <f>IF(ISBLANK('Post Process Calc.'!AH15),"",'Post Process Calc.'!AH15)</f>
        <v>0</v>
      </c>
      <c r="FR15" s="243">
        <f>IF(ISBLANK('Post Process Calc.'!AI15),"",'Post Process Calc.'!AI15)</f>
        <v>0.12030009147543656</v>
      </c>
      <c r="FS15" s="243">
        <f>IF(ISBLANK('Post Process Calc.'!AJ15),"",'Post Process Calc.'!AJ15)</f>
        <v>-0.73101766001269031</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f>IF(ISBLANK('Post Process Calc.'!A16),"",'Post Process Calc.'!A16)</f>
        <v>13.934400422668457</v>
      </c>
      <c r="EL16" s="243">
        <f>IF(ISBLANK('Post Process Calc.'!C16),"",'Post Process Calc.'!C16)</f>
        <v>4.7150661224136737E-4</v>
      </c>
      <c r="EM16" s="243">
        <f>IF(ISBLANK('Post Process Calc.'!D16),"",'Post Process Calc.'!D16)</f>
        <v>0</v>
      </c>
      <c r="EN16" s="243">
        <f>IF(ISBLANK('Post Process Calc.'!E16),"",'Post Process Calc.'!E16)</f>
        <v>1.78111769102361</v>
      </c>
      <c r="EO16" s="243">
        <f>IF(ISBLANK('Post Process Calc.'!F16),"",'Post Process Calc.'!F16)</f>
        <v>9.6624218897375311E-3</v>
      </c>
      <c r="EP16" s="243">
        <f>IF(ISBLANK('Post Process Calc.'!G16),"",'Post Process Calc.'!G16)</f>
        <v>2.0243402511178335E-3</v>
      </c>
      <c r="EQ16" s="243">
        <f>IF(ISBLANK('Post Process Calc.'!H16),"",'Post Process Calc.'!H16)</f>
        <v>-2.6692039361311997E-3</v>
      </c>
      <c r="ER16" s="243">
        <f>IF(ISBLANK('Post Process Calc.'!I16),"",'Post Process Calc.'!I16)</f>
        <v>7.1740331519524515E-4</v>
      </c>
      <c r="ES16" s="243">
        <f>IF(ISBLANK('Post Process Calc.'!J16),"",'Post Process Calc.'!J16)</f>
        <v>-5.2948193189598957E-4</v>
      </c>
      <c r="ET16" s="243">
        <f>IF(ISBLANK('Post Process Calc.'!K16),"",'Post Process Calc.'!K16)</f>
        <v>4.9252557578227649E-2</v>
      </c>
      <c r="EU16" s="243">
        <f>IF(ISBLANK('Post Process Calc.'!L16),"",'Post Process Calc.'!L16)</f>
        <v>2.9734576302321947E-3</v>
      </c>
      <c r="EV16" s="243">
        <f>IF(ISBLANK('Post Process Calc.'!M16),"",'Post Process Calc.'!M16)</f>
        <v>2.0440164219838252E-2</v>
      </c>
      <c r="EW16" s="243">
        <f>IF(ISBLANK('Post Process Calc.'!N16),"",'Post Process Calc.'!N16)</f>
        <v>-9.1315464445094476E-4</v>
      </c>
      <c r="EX16" s="243">
        <f>IF(ISBLANK('Post Process Calc.'!O16),"",'Post Process Calc.'!O16)</f>
        <v>5.917873141216165E-4</v>
      </c>
      <c r="EY16" s="243">
        <f>IF(ISBLANK('Post Process Calc.'!P16),"",'Post Process Calc.'!P16)</f>
        <v>2.3370017983361524E-3</v>
      </c>
      <c r="EZ16" s="243">
        <f>IF(ISBLANK('Post Process Calc.'!Q16),"",'Post Process Calc.'!Q16)</f>
        <v>3.8379280228994965E-3</v>
      </c>
      <c r="FA16" s="243">
        <f>IF(ISBLANK('Post Process Calc.'!R16),"",'Post Process Calc.'!R16)</f>
        <v>4.96286626367723E-3</v>
      </c>
      <c r="FB16" s="243">
        <f>IF(ISBLANK('Post Process Calc.'!S16),"",'Post Process Calc.'!S16)</f>
        <v>5.9962478155001263E-3</v>
      </c>
      <c r="FC16" s="243">
        <f>IF(ISBLANK('Post Process Calc.'!T16),"",'Post Process Calc.'!T16)</f>
        <v>-6.850869926210934E-4</v>
      </c>
      <c r="FD16" s="243">
        <f>IF(ISBLANK('Post Process Calc.'!U16),"",'Post Process Calc.'!U16)</f>
        <v>-3.5229542992114417E-3</v>
      </c>
      <c r="FE16" s="243">
        <f>IF(ISBLANK('Post Process Calc.'!V16),"",'Post Process Calc.'!V16)</f>
        <v>2.6846864024997101E-3</v>
      </c>
      <c r="FF16" s="243">
        <f>IF(ISBLANK('Post Process Calc.'!W16),"",'Post Process Calc.'!W16)</f>
        <v>-1.6727921928573501E-3</v>
      </c>
      <c r="FG16" s="243">
        <f>IF(ISBLANK('Post Process Calc.'!X16),"",'Post Process Calc.'!X16)</f>
        <v>-2.6653367958112129E-3</v>
      </c>
      <c r="FH16" s="243">
        <f>IF(ISBLANK('Post Process Calc.'!Y16),"",'Post Process Calc.'!Y16)</f>
        <v>-9.1542745266656777E-4</v>
      </c>
      <c r="FI16" s="243">
        <f>IF(ISBLANK('Post Process Calc.'!Z16),"",'Post Process Calc.'!Z16)</f>
        <v>1.6954151849706946E-3</v>
      </c>
      <c r="FJ16" s="243">
        <f>IF(ISBLANK('Post Process Calc.'!AA16),"",'Post Process Calc.'!AA16)</f>
        <v>-8.9731651658683548E-4</v>
      </c>
      <c r="FK16" s="243">
        <f>IF(ISBLANK('Post Process Calc.'!AB16),"",'Post Process Calc.'!AB16)</f>
        <v>9.1437807243482157E-3</v>
      </c>
      <c r="FL16" s="243">
        <f>IF(ISBLANK('Post Process Calc.'!AC16),"",'Post Process Calc.'!AC16)</f>
        <v>0</v>
      </c>
      <c r="FM16" s="243">
        <f>IF(ISBLANK('Post Process Calc.'!AD16),"",'Post Process Calc.'!AD16)</f>
        <v>9.1846650277064845E-2</v>
      </c>
      <c r="FN16" s="243">
        <f>IF(ISBLANK('Post Process Calc.'!AE16),"",'Post Process Calc.'!AE16)</f>
        <v>9.7986117867590955E-2</v>
      </c>
      <c r="FO16" s="243">
        <f>IF(ISBLANK('Post Process Calc.'!AF16),"",'Post Process Calc.'!AF16)</f>
        <v>0.27473663854921532</v>
      </c>
      <c r="FP16" s="243">
        <f>IF(ISBLANK('Post Process Calc.'!AG16),"",'Post Process Calc.'!AG16)</f>
        <v>7.7923425941967175E-2</v>
      </c>
      <c r="FQ16" s="243">
        <f>IF(ISBLANK('Post Process Calc.'!AH16),"",'Post Process Calc.'!AH16)</f>
        <v>0</v>
      </c>
      <c r="FR16" s="243">
        <f>IF(ISBLANK('Post Process Calc.'!AI16),"",'Post Process Calc.'!AI16)</f>
        <v>6.0371639087157314E-2</v>
      </c>
      <c r="FS16" s="243">
        <f>IF(ISBLANK('Post Process Calc.'!AJ16),"",'Post Process Calc.'!AJ16)</f>
        <v>-1.184800571359188</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f>IF(ISBLANK('Post Process Calc.'!A17),"",'Post Process Calc.'!A17)</f>
        <v>13.162699563598633</v>
      </c>
      <c r="EL17" s="243">
        <f>IF(ISBLANK('Post Process Calc.'!C17),"",'Post Process Calc.'!C17)</f>
        <v>2.4916065630882679E-4</v>
      </c>
      <c r="EM17" s="243">
        <f>IF(ISBLANK('Post Process Calc.'!D17),"",'Post Process Calc.'!D17)</f>
        <v>0</v>
      </c>
      <c r="EN17" s="243">
        <f>IF(ISBLANK('Post Process Calc.'!E17),"",'Post Process Calc.'!E17)</f>
        <v>1.7924232017740962</v>
      </c>
      <c r="EO17" s="243">
        <f>IF(ISBLANK('Post Process Calc.'!F17),"",'Post Process Calc.'!F17)</f>
        <v>1.553193621611932E-2</v>
      </c>
      <c r="EP17" s="243">
        <f>IF(ISBLANK('Post Process Calc.'!G17),"",'Post Process Calc.'!G17)</f>
        <v>2.8561807345904812E-3</v>
      </c>
      <c r="EQ17" s="243">
        <f>IF(ISBLANK('Post Process Calc.'!H17),"",'Post Process Calc.'!H17)</f>
        <v>-7.9007957299269179E-3</v>
      </c>
      <c r="ER17" s="243">
        <f>IF(ISBLANK('Post Process Calc.'!I17),"",'Post Process Calc.'!I17)</f>
        <v>-4.2644277684159146E-4</v>
      </c>
      <c r="ES17" s="243">
        <f>IF(ISBLANK('Post Process Calc.'!J17),"",'Post Process Calc.'!J17)</f>
        <v>-1.0102664216605911E-3</v>
      </c>
      <c r="ET17" s="243">
        <f>IF(ISBLANK('Post Process Calc.'!K17),"",'Post Process Calc.'!K17)</f>
        <v>5.5565061907294058E-2</v>
      </c>
      <c r="EU17" s="243">
        <f>IF(ISBLANK('Post Process Calc.'!L17),"",'Post Process Calc.'!L17)</f>
        <v>-9.1248312900920111E-3</v>
      </c>
      <c r="EV17" s="243">
        <f>IF(ISBLANK('Post Process Calc.'!M17),"",'Post Process Calc.'!M17)</f>
        <v>2.7626848862007225E-2</v>
      </c>
      <c r="EW17" s="243">
        <f>IF(ISBLANK('Post Process Calc.'!N17),"",'Post Process Calc.'!N17)</f>
        <v>-1.814984597250229E-3</v>
      </c>
      <c r="EX17" s="243">
        <f>IF(ISBLANK('Post Process Calc.'!O17),"",'Post Process Calc.'!O17)</f>
        <v>4.7925438508676627E-4</v>
      </c>
      <c r="EY17" s="243">
        <f>IF(ISBLANK('Post Process Calc.'!P17),"",'Post Process Calc.'!P17)</f>
        <v>3.0586280460886965E-3</v>
      </c>
      <c r="EZ17" s="243">
        <f>IF(ISBLANK('Post Process Calc.'!Q17),"",'Post Process Calc.'!Q17)</f>
        <v>1.7781059056384815E-2</v>
      </c>
      <c r="FA17" s="243">
        <f>IF(ISBLANK('Post Process Calc.'!R17),"",'Post Process Calc.'!R17)</f>
        <v>5.9638582476273308E-3</v>
      </c>
      <c r="FB17" s="243">
        <f>IF(ISBLANK('Post Process Calc.'!S17),"",'Post Process Calc.'!S17)</f>
        <v>7.9476828534299597E-3</v>
      </c>
      <c r="FC17" s="243">
        <f>IF(ISBLANK('Post Process Calc.'!T17),"",'Post Process Calc.'!T17)</f>
        <v>-1.1460787846034968E-3</v>
      </c>
      <c r="FD17" s="243">
        <f>IF(ISBLANK('Post Process Calc.'!U17),"",'Post Process Calc.'!U17)</f>
        <v>-3.0788279076996534E-3</v>
      </c>
      <c r="FE17" s="243">
        <f>IF(ISBLANK('Post Process Calc.'!V17),"",'Post Process Calc.'!V17)</f>
        <v>3.5041117901221143E-3</v>
      </c>
      <c r="FF17" s="243">
        <f>IF(ISBLANK('Post Process Calc.'!W17),"",'Post Process Calc.'!W17)</f>
        <v>-2.9857153388818869E-3</v>
      </c>
      <c r="FG17" s="243">
        <f>IF(ISBLANK('Post Process Calc.'!X17),"",'Post Process Calc.'!X17)</f>
        <v>-4.6419057504626686E-3</v>
      </c>
      <c r="FH17" s="243">
        <f>IF(ISBLANK('Post Process Calc.'!Y17),"",'Post Process Calc.'!Y17)</f>
        <v>-2.1664870706073346E-3</v>
      </c>
      <c r="FI17" s="243">
        <f>IF(ISBLANK('Post Process Calc.'!Z17),"",'Post Process Calc.'!Z17)</f>
        <v>2.3375814783963612E-3</v>
      </c>
      <c r="FJ17" s="243">
        <f>IF(ISBLANK('Post Process Calc.'!AA17),"",'Post Process Calc.'!AA17)</f>
        <v>-1.6928053438647851E-3</v>
      </c>
      <c r="FK17" s="243">
        <f>IF(ISBLANK('Post Process Calc.'!AB17),"",'Post Process Calc.'!AB17)</f>
        <v>1.2602590746952901E-2</v>
      </c>
      <c r="FL17" s="243">
        <f>IF(ISBLANK('Post Process Calc.'!AC17),"",'Post Process Calc.'!AC17)</f>
        <v>0</v>
      </c>
      <c r="FM17" s="243">
        <f>IF(ISBLANK('Post Process Calc.'!AD17),"",'Post Process Calc.'!AD17)</f>
        <v>0.11825308268189523</v>
      </c>
      <c r="FN17" s="243">
        <f>IF(ISBLANK('Post Process Calc.'!AE17),"",'Post Process Calc.'!AE17)</f>
        <v>0.13070619099031491</v>
      </c>
      <c r="FO17" s="243">
        <f>IF(ISBLANK('Post Process Calc.'!AF17),"",'Post Process Calc.'!AF17)</f>
        <v>0.3395810023763684</v>
      </c>
      <c r="FP17" s="243">
        <f>IF(ISBLANK('Post Process Calc.'!AG17),"",'Post Process Calc.'!AG17)</f>
        <v>0.32000430569214727</v>
      </c>
      <c r="FQ17" s="243">
        <f>IF(ISBLANK('Post Process Calc.'!AH17),"",'Post Process Calc.'!AH17)</f>
        <v>0</v>
      </c>
      <c r="FR17" s="243">
        <f>IF(ISBLANK('Post Process Calc.'!AI17),"",'Post Process Calc.'!AI17)</f>
        <v>-0.16421886302072469</v>
      </c>
      <c r="FS17" s="243">
        <f>IF(ISBLANK('Post Process Calc.'!AJ17),"",'Post Process Calc.'!AJ17)</f>
        <v>0.33741203643323553</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XB50</v>
      </c>
      <c r="B20" s="238">
        <f>IF(ISBLANK('Measured Data'!A15),"",'Measured Data'!A15)</f>
        <v>8</v>
      </c>
      <c r="C20" s="245">
        <f>IF(ISBLANK('Measured Data'!B15),"",'Measured Data'!B15)</f>
        <v>7.8833333333313931</v>
      </c>
      <c r="D20" s="246">
        <f>IF(ISBLANK('Measured Data'!C15),"",'Measured Data'!C15)</f>
        <v>189.19999999995343</v>
      </c>
      <c r="E20" s="238">
        <f>IF(ISBLANK('Measured Data'!D15),"",'Measured Data'!D15)</f>
        <v>20</v>
      </c>
      <c r="F20" s="238" t="str">
        <f>IF(ISBLANK('Measured Data'!E15),"",'Measured Data'!E15)</f>
        <v/>
      </c>
      <c r="G20" s="238" t="str">
        <f>IF(ISBLANK('Measured Data'!G15),"",'Measured Data'!G15)</f>
        <v/>
      </c>
      <c r="H20" s="238">
        <f>IF(ISBLANK('Measured Data'!H15),"",'Measured Data'!H15)</f>
        <v>12.014300210571289</v>
      </c>
      <c r="I20" s="238">
        <f>IF(ISBLANK('Measured Data'!I15),"",'Measured Data'!I15)</f>
        <v>0.10234978773979186</v>
      </c>
      <c r="J20" s="238">
        <f>IF(ISBLANK('Measured Data'!J15),"",'Measured Data'!J15)</f>
        <v>12.116649998311081</v>
      </c>
      <c r="K20" s="238">
        <f>IF(ISBLANK('Measured Data'!K15),"",'Measured Data'!K15)</f>
        <v>99.155296325683594</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383</v>
      </c>
      <c r="S20" s="238">
        <f>IF(ISBLANK('Measured Data'!S15),"",'Measured Data'!S15)</f>
        <v>737.5</v>
      </c>
      <c r="T20" s="238">
        <f>IF(ISBLANK('Measured Data'!U15),"",'Measured Data'!U15)</f>
        <v>4.8159999999999998</v>
      </c>
      <c r="U20" s="238">
        <f>IF(ISBLANK('Measured Data'!V15),"",'Measured Data'!V15)</f>
        <v>3.2389999999999999</v>
      </c>
      <c r="V20" s="238">
        <f>IF(ISBLANK('Measured Data'!W15),"",'Measured Data'!W15)</f>
        <v>1.5249999999999999</v>
      </c>
      <c r="W20" s="238">
        <f>IF(ISBLANK('Measured Data'!X15),"",'Measured Data'!X15)</f>
        <v>3.581</v>
      </c>
      <c r="X20" s="238">
        <f>IF(ISBLANK('Measured Data'!Y15),"",'Measured Data'!Y15)</f>
        <v>0.44800000000000001</v>
      </c>
      <c r="Y20" s="238">
        <f>IF(ISBLANK('Measured Data'!Z15),"",'Measured Data'!Z15)</f>
        <v>22.313994538067004</v>
      </c>
      <c r="Z20" s="238">
        <f>IF(ISBLANK('Measured Data'!AA15),"",'Measured Data'!AA15)</f>
        <v>3.907</v>
      </c>
      <c r="AA20" s="238">
        <f>IF(ISBLANK('Measured Data'!AB15),"",'Measured Data'!AB15)</f>
        <v>15.13</v>
      </c>
      <c r="AB20" s="238">
        <f>IF(ISBLANK('Measured Data'!AC15),"",'Measured Data'!AC15)</f>
        <v>1.069</v>
      </c>
      <c r="AC20" s="238">
        <f>IF(ISBLANK('Measured Data'!AD15),"",'Measured Data'!AD15)</f>
        <v>1.077</v>
      </c>
      <c r="AD20" s="238">
        <f>IF(ISBLANK('Measured Data'!AE15),"",'Measured Data'!AE15)</f>
        <v>3.863</v>
      </c>
      <c r="AE20" s="238">
        <f>IF(ISBLANK('Measured Data'!AF15),"",'Measured Data'!AF15)</f>
        <v>11.545293072824157</v>
      </c>
      <c r="AF20" s="238">
        <f>IF(ISBLANK('Measured Data'!AG15),"",'Measured Data'!AG15)</f>
        <v>4.5259999999999998</v>
      </c>
      <c r="AG20" s="238">
        <f>IF(ISBLANK('Measured Data'!AH15),"",'Measured Data'!AH15)</f>
        <v>4.742</v>
      </c>
      <c r="AH20" s="238">
        <f>IF(ISBLANK('Measured Data'!AI15),"",'Measured Data'!AI15)</f>
        <v>0.16900000000000001</v>
      </c>
      <c r="AI20" s="238">
        <f>IF(ISBLANK('Measured Data'!AJ15),"",'Measured Data'!AJ15)</f>
        <v>8.86</v>
      </c>
      <c r="AJ20" s="238">
        <f>IF(ISBLANK('Measured Data'!AK15),"",'Measured Data'!AK15)</f>
        <v>1.829</v>
      </c>
      <c r="AK20" s="238">
        <f>IF(ISBLANK('Measured Data'!AL15),"",'Measured Data'!AL15)</f>
        <v>3.0219999999999998</v>
      </c>
      <c r="AL20" s="238">
        <f>IF(ISBLANK('Measured Data'!AM15),"",'Measured Data'!AM15)</f>
        <v>1.3180000000000001</v>
      </c>
      <c r="AM20" s="238">
        <f>IF(ISBLANK('Measured Data'!AN15),"",'Measured Data'!AN15)</f>
        <v>1.085</v>
      </c>
      <c r="AN20" s="238">
        <f>IF(ISBLANK('Measured Data'!AO15),"",'Measured Data'!AO15)</f>
        <v>1.5229999999999999</v>
      </c>
      <c r="AO20" s="238">
        <f>IF(ISBLANK('Measured Data'!AP15),"",'Measured Data'!AP15)</f>
        <v>0.46300000000000002</v>
      </c>
      <c r="AP20" s="238">
        <f>IF(ISBLANK('Measured Data'!AQ15),"",'Measured Data'!AQ15)</f>
        <v>6.8979999999999997</v>
      </c>
      <c r="AQ20" s="238">
        <f>IF(ISBLANK('Measured Data'!AR15),"",'Measured Data'!AR15)</f>
        <v>0</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t="str">
        <f>IF(ISBLANK('Measured Data'!BP15),"",'Measured Data'!BP15)</f>
        <v/>
      </c>
      <c r="BN20" s="238">
        <f>IF(ISBLANK('In Process Calc.'!B13),"",ROUND('In Process Calc.'!B13,2))</f>
        <v>9.93</v>
      </c>
      <c r="BO20" s="238">
        <f>IF(ISBLANK('In Process Calc.'!C13),"",ROUND('In Process Calc.'!C13,2))</f>
        <v>238.27</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27640.911844966511</v>
      </c>
      <c r="BV20" s="243">
        <f>IF(ISBLANK('In Process Calc.'!M13),"",'In Process Calc.'!M13)</f>
        <v>0</v>
      </c>
      <c r="BW20" s="243">
        <f>IF(ISBLANK('In Process Calc.'!N13),"",'In Process Calc.'!N13)</f>
        <v>2668.8415194444447</v>
      </c>
      <c r="BX20" s="243">
        <f>IF(ISBLANK('In Process Calc.'!O13),"",'In Process Calc.'!O13)</f>
        <v>-11.950793416666667</v>
      </c>
      <c r="BY20" s="243">
        <f>IF(ISBLANK('In Process Calc.'!P13),"",'In Process Calc.'!P13)</f>
        <v>-0.68007022222222235</v>
      </c>
      <c r="BZ20" s="243">
        <f>IF(ISBLANK('In Process Calc.'!Q13),"",'In Process Calc.'!Q13)</f>
        <v>12.865207999999999</v>
      </c>
      <c r="CA20" s="243">
        <f>IF(ISBLANK('In Process Calc.'!R13),"",'In Process Calc.'!R13)</f>
        <v>-0.86617505555555607</v>
      </c>
      <c r="CB20" s="243">
        <f>IF(ISBLANK('In Process Calc.'!S13),"",'In Process Calc.'!S13)</f>
        <v>1.8842701388888889</v>
      </c>
      <c r="CC20" s="243">
        <f>IF(ISBLANK('In Process Calc.'!T13),"",'In Process Calc.'!T13)</f>
        <v>62.980321981010789</v>
      </c>
      <c r="CD20" s="243">
        <f>IF(ISBLANK('In Process Calc.'!U13),"",'In Process Calc.'!U13)</f>
        <v>-10.960747888888891</v>
      </c>
      <c r="CE20" s="243">
        <f>IF(ISBLANK('In Process Calc.'!V13),"",'In Process Calc.'!V13)</f>
        <v>-12.378621138888887</v>
      </c>
      <c r="CF20" s="243">
        <f>IF(ISBLANK('In Process Calc.'!W13),"",'In Process Calc.'!W13)</f>
        <v>-0.32745099999999988</v>
      </c>
      <c r="CG20" s="243">
        <f>IF(ISBLANK('In Process Calc.'!X13),"",'In Process Calc.'!X13)</f>
        <v>0.96629552777777783</v>
      </c>
      <c r="CH20" s="243">
        <f>IF(ISBLANK('In Process Calc.'!Y13),"",'In Process Calc.'!Y13)</f>
        <v>0.29144227777777776</v>
      </c>
      <c r="CI20" s="243">
        <f>IF(ISBLANK('In Process Calc.'!Z13),"",'In Process Calc.'!Z13)</f>
        <v>5.1217775557529119</v>
      </c>
      <c r="CJ20" s="243">
        <f>IF(ISBLANK('In Process Calc.'!AA13),"",'In Process Calc.'!AA13)</f>
        <v>3.5985168611111087</v>
      </c>
      <c r="CK20" s="243">
        <f>IF(ISBLANK('In Process Calc.'!AB13),"",'In Process Calc.'!AB13)</f>
        <v>-8.7548861111110599E-2</v>
      </c>
      <c r="CL20" s="243">
        <f>IF(ISBLANK('In Process Calc.'!AC13),"",'In Process Calc.'!AC13)</f>
        <v>1.6079849999999998</v>
      </c>
      <c r="CM20" s="243">
        <f>IF(ISBLANK('In Process Calc.'!AD13),"",'In Process Calc.'!AD13)</f>
        <v>-11.633586388888892</v>
      </c>
      <c r="CN20" s="243">
        <f>IF(ISBLANK('In Process Calc.'!AE13),"",'In Process Calc.'!AE13)</f>
        <v>0.21346180555555566</v>
      </c>
      <c r="CO20" s="243">
        <f>IF(ISBLANK('In Process Calc.'!AF13),"",'In Process Calc.'!AF13)</f>
        <v>5.8315533888888886</v>
      </c>
      <c r="CP20" s="243">
        <f>IF(ISBLANK('In Process Calc.'!AG13),"",'In Process Calc.'!AG13)</f>
        <v>9.5063785833333334</v>
      </c>
      <c r="CQ20" s="243">
        <f>IF(ISBLANK('In Process Calc.'!AH13),"",'In Process Calc.'!AH13)</f>
        <v>5.7944710277777762</v>
      </c>
      <c r="CR20" s="243">
        <f>IF(ISBLANK('In Process Calc.'!AI13),"",'In Process Calc.'!AI13)</f>
        <v>-0.14488841666666663</v>
      </c>
      <c r="CS20" s="243">
        <f>IF(ISBLANK('In Process Calc.'!AJ13),"",'In Process Calc.'!AJ13)</f>
        <v>2.8955104444444446</v>
      </c>
      <c r="CT20" s="243">
        <f>IF(ISBLANK('In Process Calc.'!AK13),"",'In Process Calc.'!AK13)</f>
        <v>-3.677895222222225</v>
      </c>
      <c r="CU20" s="243">
        <f>IF(ISBLANK('In Process Calc.'!AL13),"",'In Process Calc.'!AL13)</f>
        <v>0</v>
      </c>
      <c r="CV20" s="243">
        <f>IF(ISBLANK('In Process Calc.'!AM13),"",'In Process Calc.'!AM13)</f>
        <v>19.463161583333321</v>
      </c>
      <c r="CW20" s="243">
        <f>IF(ISBLANK('In Process Calc.'!AN13),"",'In Process Calc.'!AN13)</f>
        <v>-4.1212182222222378</v>
      </c>
      <c r="CX20" s="243">
        <f>IF(ISBLANK('In Process Calc.'!AO13),"",'In Process Calc.'!AO13)</f>
        <v>99.226412583333314</v>
      </c>
      <c r="CY20" s="243">
        <f>IF(ISBLANK('In Process Calc.'!AP13),"",'In Process Calc.'!AP13)</f>
        <v>0</v>
      </c>
      <c r="CZ20" s="243">
        <f>IF(ISBLANK('In Process Calc.'!AQ13),"",'In Process Calc.'!AQ13)</f>
        <v>0</v>
      </c>
      <c r="DA20" s="243">
        <f>IF(ISBLANK('In Process Calc.'!AR13),"",'In Process Calc.'!AR13)</f>
        <v>5.8533818759091494E-4</v>
      </c>
      <c r="DB20" s="243">
        <f>IF(ISBLANK('In Process Calc.'!AS13),"",'In Process Calc.'!AS13)</f>
        <v>1.0426544828749363E-3</v>
      </c>
      <c r="DC20" s="243">
        <f>IF(ISBLANK('In Process Calc.'!AT13),"",'In Process Calc.'!AT13)</f>
        <v>4.5731629528402139E-4</v>
      </c>
      <c r="DD20" s="243">
        <f>IF(ISBLANK('In Process Calc.'!AU13),"",'In Process Calc.'!AU13)</f>
        <v>0.58963983488856009</v>
      </c>
      <c r="DE20" s="243">
        <f>IF(ISBLANK('In Process Calc.'!AV13),"",'In Process Calc.'!AV13)</f>
        <v>-9.7877664321289776E-5</v>
      </c>
      <c r="DF20" s="243">
        <f>IF(ISBLANK('In Process Calc.'!AW13),"",'In Process Calc.'!AW13)</f>
        <v>5.929982450434421E-4</v>
      </c>
      <c r="DG20" s="243">
        <f>IF(ISBLANK('In Process Calc.'!AX13),"",'In Process Calc.'!AX13)</f>
        <v>-2.706709030557668E-5</v>
      </c>
      <c r="DH20" s="243">
        <f>IF(ISBLANK('In Process Calc.'!AY13),"",'In Process Calc.'!AY13)</f>
        <v>2.0909645128322301E-3</v>
      </c>
      <c r="DI20" s="243">
        <f>IF(ISBLANK('In Process Calc.'!AZ13),"",'In Process Calc.'!AZ13)</f>
        <v>3.2409231679719796E-4</v>
      </c>
      <c r="DJ20" s="243">
        <f>IF(ISBLANK('In Process Calc.'!BA13),"",'In Process Calc.'!BA13)</f>
        <v>2.4144522984423475E-2</v>
      </c>
      <c r="DK20" s="243">
        <f>IF(ISBLANK('In Process Calc.'!BB13),"",'In Process Calc.'!BB13)</f>
        <v>-1.7617164919264152E-3</v>
      </c>
      <c r="DL20" s="243">
        <f>IF(ISBLANK('In Process Calc.'!BC13),"",'In Process Calc.'!BC13)</f>
        <v>8.9981165756781688E-3</v>
      </c>
      <c r="DM20" s="243">
        <f>IF(ISBLANK('In Process Calc.'!BD13),"",'In Process Calc.'!BD13)</f>
        <v>2.5855818103164826E-4</v>
      </c>
      <c r="DN20" s="243">
        <f>IF(ISBLANK('In Process Calc.'!BE13),"",'In Process Calc.'!BE13)</f>
        <v>1.6828775725175803E-4</v>
      </c>
      <c r="DO20" s="243">
        <f>IF(ISBLANK('In Process Calc.'!BF13),"",'In Process Calc.'!BF13)</f>
        <v>8.168915164496512E-4</v>
      </c>
      <c r="DP20" s="243">
        <f>IF(ISBLANK('In Process Calc.'!BG13),"",'In Process Calc.'!BG13)</f>
        <v>-1.0512866189746886E-2</v>
      </c>
      <c r="DQ20" s="243">
        <f>IF(ISBLANK('In Process Calc.'!BH13),"",'In Process Calc.'!BH13)</f>
        <v>1.6042256524807597E-3</v>
      </c>
      <c r="DR20" s="243">
        <f>IF(ISBLANK('In Process Calc.'!BI13),"",'In Process Calc.'!BI13)</f>
        <v>1.032344877587451E-3</v>
      </c>
      <c r="DS20" s="243">
        <f>IF(ISBLANK('In Process Calc.'!BJ13),"",'In Process Calc.'!BJ13)</f>
        <v>0</v>
      </c>
      <c r="DT20" s="243">
        <f>IF(ISBLANK('In Process Calc.'!BK13),"",'In Process Calc.'!BK13)</f>
        <v>1.2350433694079718E-3</v>
      </c>
      <c r="DU20" s="243">
        <f>IF(ISBLANK('In Process Calc.'!BL13),"",'In Process Calc.'!BL13)</f>
        <v>4.9710038313369273E-4</v>
      </c>
      <c r="DV20" s="243">
        <f>IF(ISBLANK('In Process Calc.'!BM13),"",'In Process Calc.'!BM13)</f>
        <v>2.5813248432405222E-4</v>
      </c>
      <c r="DW20" s="243">
        <f>IF(ISBLANK('In Process Calc.'!BN13),"",'In Process Calc.'!BN13)</f>
        <v>-3.1037533491919128E-4</v>
      </c>
      <c r="DX20" s="243">
        <f>IF(ISBLANK('In Process Calc.'!BO13),"",'In Process Calc.'!BO13)</f>
        <v>4.0813622359538127E-4</v>
      </c>
      <c r="DY20" s="243">
        <f>IF(ISBLANK('In Process Calc.'!BP13),"",'In Process Calc.'!BP13)</f>
        <v>2.922002943458681E-4</v>
      </c>
      <c r="DZ20" s="243">
        <f>IF(ISBLANK('In Process Calc.'!BQ13),"",'In Process Calc.'!BQ13)</f>
        <v>1.5003117165168683E-4</v>
      </c>
      <c r="EA20" s="243">
        <f>IF(ISBLANK('In Process Calc.'!BR13),"",'In Process Calc.'!BR13)</f>
        <v>1.7272290812815228E-3</v>
      </c>
      <c r="EB20" s="243">
        <f>IF(ISBLANK('In Process Calc.'!BS13),"",'In Process Calc.'!BS13)</f>
        <v>0</v>
      </c>
      <c r="EC20" s="243">
        <f>IF(ISBLANK('In Process Calc.'!BT13),"",'In Process Calc.'!BT13)</f>
        <v>1.7146360867593368E-2</v>
      </c>
      <c r="ED20" s="243">
        <f>IF(ISBLANK('In Process Calc.'!BU13),"",'In Process Calc.'!BU13)</f>
        <v>1.8479281901322628E-2</v>
      </c>
      <c r="EE20" s="243">
        <f>IF(ISBLANK('In Process Calc.'!BV13),"",'In Process Calc.'!BV13)</f>
        <v>8.9515327559730087E-2</v>
      </c>
      <c r="EF20" s="243">
        <f>IF(ISBLANK('In Process Calc.'!BW13),"",'In Process Calc.'!BW13)</f>
        <v>9.9656937378305929E-2</v>
      </c>
      <c r="EG20" s="243">
        <f>IF(ISBLANK('In Process Calc.'!BX13),"",'In Process Calc.'!BX13)</f>
        <v>-0.43541411841224298</v>
      </c>
      <c r="EH20" s="243">
        <f>IF(ISBLANK('In Process Calc.'!BY13),"",'In Process Calc.'!BY13)</f>
        <v>0</v>
      </c>
      <c r="EI20" s="243">
        <f>IF(ISBLANK('In Process Calc.'!BZ13),"",'In Process Calc.'!BZ13)</f>
        <v>-7.2965471012327046E-2</v>
      </c>
      <c r="EJ20" s="243">
        <f>IF(ISBLANK('In Process Calc.'!CA13),"",'In Process Calc.'!CA13)</f>
        <v>-0.70104547188376898</v>
      </c>
      <c r="EK20" s="243">
        <f>IF(ISBLANK('Post Process Calc.'!A20),"",'Post Process Calc.'!A20)</f>
        <v>0.34624999408721924</v>
      </c>
      <c r="EL20" s="243">
        <f>IF(ISBLANK('Post Process Calc.'!C20),"",'Post Process Calc.'!C20)</f>
        <v>-3.1743132469760522E-2</v>
      </c>
      <c r="EM20" s="243">
        <f>IF(ISBLANK('Post Process Calc.'!D20),"",'Post Process Calc.'!D20)</f>
        <v>-7.6275798642896547E-2</v>
      </c>
      <c r="EN20" s="243">
        <f>IF(ISBLANK('Post Process Calc.'!E20),"",'Post Process Calc.'!E20)</f>
        <v>-1.6363427720700739E-2</v>
      </c>
      <c r="EO20" s="243">
        <f>IF(ISBLANK('Post Process Calc.'!F20),"",'Post Process Calc.'!F20)</f>
        <v>6.8210324291244198E-2</v>
      </c>
      <c r="EP20" s="243">
        <f>IF(ISBLANK('Post Process Calc.'!G20),"",'Post Process Calc.'!G20)</f>
        <v>6.9559044570637413E-2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XB50</v>
      </c>
      <c r="B21" s="238">
        <f>IF(ISBLANK('Measured Data'!A16),"",'Measured Data'!A16)</f>
        <v>9</v>
      </c>
      <c r="C21" s="245">
        <f>IF(ISBLANK('Measured Data'!B16),"",'Measured Data'!B16)</f>
        <v>8.8812499999985448</v>
      </c>
      <c r="D21" s="246">
        <f>IF(ISBLANK('Measured Data'!C16),"",'Measured Data'!C16)</f>
        <v>213.14999999996508</v>
      </c>
      <c r="E21" s="238">
        <f>IF(ISBLANK('Measured Data'!D16),"",'Measured Data'!D16)</f>
        <v>20</v>
      </c>
      <c r="F21" s="238" t="str">
        <f>IF(ISBLANK('Measured Data'!E16),"",'Measured Data'!E16)</f>
        <v/>
      </c>
      <c r="G21" s="238" t="str">
        <f>IF(ISBLANK('Measured Data'!G16),"",'Measured Data'!G16)</f>
        <v/>
      </c>
      <c r="H21" s="238">
        <f>IF(ISBLANK('Measured Data'!H16),"",'Measured Data'!H16)</f>
        <v>14.453400476074219</v>
      </c>
      <c r="I21" s="238">
        <f>IF(ISBLANK('Measured Data'!I16),"",'Measured Data'!I16)</f>
        <v>0.12589256020654993</v>
      </c>
      <c r="J21" s="238">
        <f>IF(ISBLANK('Measured Data'!J16),"",'Measured Data'!J16)</f>
        <v>14.579293036280768</v>
      </c>
      <c r="K21" s="238">
        <f>IF(ISBLANK('Measured Data'!K16),"",'Measured Data'!K16)</f>
        <v>99.136497497558594</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376</v>
      </c>
      <c r="S21" s="238">
        <f>IF(ISBLANK('Measured Data'!S16),"",'Measured Data'!S16)</f>
        <v>1175.25</v>
      </c>
      <c r="T21" s="238">
        <f>IF(ISBLANK('Measured Data'!U16),"",'Measured Data'!U16)</f>
        <v>6.258</v>
      </c>
      <c r="U21" s="238">
        <f>IF(ISBLANK('Measured Data'!V16),"",'Measured Data'!V16)</f>
        <v>2.8069999999999999</v>
      </c>
      <c r="V21" s="238">
        <f>IF(ISBLANK('Measured Data'!W16),"",'Measured Data'!W16)</f>
        <v>0.06</v>
      </c>
      <c r="W21" s="238">
        <f>IF(ISBLANK('Measured Data'!X16),"",'Measured Data'!X16)</f>
        <v>3.1160000000000001</v>
      </c>
      <c r="X21" s="238">
        <f>IF(ISBLANK('Measured Data'!Y16),"",'Measured Data'!Y16)</f>
        <v>0.26900000000000002</v>
      </c>
      <c r="Y21" s="238">
        <f>IF(ISBLANK('Measured Data'!Z16),"",'Measured Data'!Z16)</f>
        <v>10.87946002353516</v>
      </c>
      <c r="Z21" s="238">
        <f>IF(ISBLANK('Measured Data'!AA16),"",'Measured Data'!AA16)</f>
        <v>5.0679999999999996</v>
      </c>
      <c r="AA21" s="238">
        <f>IF(ISBLANK('Measured Data'!AB16),"",'Measured Data'!AB16)</f>
        <v>12.262</v>
      </c>
      <c r="AB21" s="238">
        <f>IF(ISBLANK('Measured Data'!AC16),"",'Measured Data'!AC16)</f>
        <v>0.47899999999999998</v>
      </c>
      <c r="AC21" s="238">
        <f>IF(ISBLANK('Measured Data'!AD16),"",'Measured Data'!AD16)</f>
        <v>0.878</v>
      </c>
      <c r="AD21" s="238">
        <f>IF(ISBLANK('Measured Data'!AE16),"",'Measured Data'!AE16)</f>
        <v>3.1509999999999998</v>
      </c>
      <c r="AE21" s="238">
        <f>IF(ISBLANK('Measured Data'!AF16),"",'Measured Data'!AF16)</f>
        <v>7.7708703374777972</v>
      </c>
      <c r="AF21" s="238">
        <f>IF(ISBLANK('Measured Data'!AG16),"",'Measured Data'!AG16)</f>
        <v>3.3370000000000002</v>
      </c>
      <c r="AG21" s="238">
        <f>IF(ISBLANK('Measured Data'!AH16),"",'Measured Data'!AH16)</f>
        <v>3.988</v>
      </c>
      <c r="AH21" s="238">
        <f>IF(ISBLANK('Measured Data'!AI16),"",'Measured Data'!AI16)</f>
        <v>0</v>
      </c>
      <c r="AI21" s="238">
        <f>IF(ISBLANK('Measured Data'!AJ16),"",'Measured Data'!AJ16)</f>
        <v>7.16</v>
      </c>
      <c r="AJ21" s="238">
        <f>IF(ISBLANK('Measured Data'!AK16),"",'Measured Data'!AK16)</f>
        <v>1.4390000000000001</v>
      </c>
      <c r="AK21" s="238">
        <f>IF(ISBLANK('Measured Data'!AL16),"",'Measured Data'!AL16)</f>
        <v>2.403</v>
      </c>
      <c r="AL21" s="238">
        <f>IF(ISBLANK('Measured Data'!AM16),"",'Measured Data'!AM16)</f>
        <v>0.16900000000000001</v>
      </c>
      <c r="AM21" s="238">
        <f>IF(ISBLANK('Measured Data'!AN16),"",'Measured Data'!AN16)</f>
        <v>0.42399999999999999</v>
      </c>
      <c r="AN21" s="238">
        <f>IF(ISBLANK('Measured Data'!AO16),"",'Measured Data'!AO16)</f>
        <v>1.333</v>
      </c>
      <c r="AO21" s="238">
        <f>IF(ISBLANK('Measured Data'!AP16),"",'Measured Data'!AP16)</f>
        <v>0.11700000000000001</v>
      </c>
      <c r="AP21" s="238">
        <f>IF(ISBLANK('Measured Data'!AQ16),"",'Measured Data'!AQ16)</f>
        <v>5.843</v>
      </c>
      <c r="AQ21" s="238">
        <f>IF(ISBLANK('Measured Data'!AR16),"",'Measured Data'!AR16)</f>
        <v>0</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t="str">
        <f>IF(ISBLANK('Measured Data'!BP16),"",'Measured Data'!BP16)</f>
        <v/>
      </c>
      <c r="BN21" s="238">
        <f>IF(ISBLANK('In Process Calc.'!B14),"",ROUND('In Process Calc.'!B14,2))</f>
        <v>10.91</v>
      </c>
      <c r="BO21" s="238">
        <f>IF(ISBLANK('In Process Calc.'!C14),"",ROUND('In Process Calc.'!C14,2))</f>
        <v>261.92</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28557.62884349018</v>
      </c>
      <c r="BV21" s="243">
        <f>IF(ISBLANK('In Process Calc.'!M14),"",'In Process Calc.'!M14)</f>
        <v>0</v>
      </c>
      <c r="BW21" s="243">
        <f>IF(ISBLANK('In Process Calc.'!N14),"",'In Process Calc.'!N14)</f>
        <v>3275.5721833333337</v>
      </c>
      <c r="BX21" s="243">
        <f>IF(ISBLANK('In Process Calc.'!O14),"",'In Process Calc.'!O14)</f>
        <v>-9.030172499999999</v>
      </c>
      <c r="BY21" s="243">
        <f>IF(ISBLANK('In Process Calc.'!P14),"",'In Process Calc.'!P14)</f>
        <v>-7.219777777777725E-2</v>
      </c>
      <c r="BZ21" s="243">
        <f>IF(ISBLANK('In Process Calc.'!Q14),"",'In Process Calc.'!Q14)</f>
        <v>12.856644722222221</v>
      </c>
      <c r="CA21" s="243">
        <f>IF(ISBLANK('In Process Calc.'!R14),"",'In Process Calc.'!R14)</f>
        <v>-1.0927230555555558</v>
      </c>
      <c r="CB21" s="243">
        <f>IF(ISBLANK('In Process Calc.'!S14),"",'In Process Calc.'!S14)</f>
        <v>1.9951116666666666</v>
      </c>
      <c r="CC21" s="243">
        <f>IF(ISBLANK('In Process Calc.'!T14),"",'In Process Calc.'!T14)</f>
        <v>76.351001640459856</v>
      </c>
      <c r="CD21" s="243">
        <f>IF(ISBLANK('In Process Calc.'!U14),"",'In Process Calc.'!U14)</f>
        <v>-8.1997708333333339</v>
      </c>
      <c r="CE21" s="243">
        <f>IF(ISBLANK('In Process Calc.'!V14),"",'In Process Calc.'!V14)</f>
        <v>-8.1024688888888861</v>
      </c>
      <c r="CF21" s="243">
        <f>IF(ISBLANK('In Process Calc.'!W14),"",'In Process Calc.'!W14)</f>
        <v>0.22120833333333351</v>
      </c>
      <c r="CG21" s="243">
        <f>IF(ISBLANK('In Process Calc.'!X14),"",'In Process Calc.'!X14)</f>
        <v>1.1672130555555555</v>
      </c>
      <c r="CH21" s="243">
        <f>IF(ISBLANK('In Process Calc.'!Y14),"",'In Process Calc.'!Y14)</f>
        <v>0.67958055555555497</v>
      </c>
      <c r="CI21" s="243">
        <f>IF(ISBLANK('In Process Calc.'!Z14),"",'In Process Calc.'!Z14)</f>
        <v>4.6767996348924417</v>
      </c>
      <c r="CJ21" s="243">
        <f>IF(ISBLANK('In Process Calc.'!AA14),"",'In Process Calc.'!AA14)</f>
        <v>5.0900524999999979</v>
      </c>
      <c r="CK21" s="243">
        <f>IF(ISBLANK('In Process Calc.'!AB14),"",'In Process Calc.'!AB14)</f>
        <v>1.3310908333333336</v>
      </c>
      <c r="CL21" s="243">
        <f>IF(ISBLANK('In Process Calc.'!AC14),"",'In Process Calc.'!AC14)</f>
        <v>1.6079849999999998</v>
      </c>
      <c r="CM21" s="243">
        <f>IF(ISBLANK('In Process Calc.'!AD14),"",'In Process Calc.'!AD14)</f>
        <v>-17.811011111111114</v>
      </c>
      <c r="CN21" s="243">
        <f>IF(ISBLANK('In Process Calc.'!AE14),"",'In Process Calc.'!AE14)</f>
        <v>0.86909833333333331</v>
      </c>
      <c r="CO21" s="243">
        <f>IF(ISBLANK('In Process Calc.'!AF14),"",'In Process Calc.'!AF14)</f>
        <v>5.7157597222222227</v>
      </c>
      <c r="CP21" s="243">
        <f>IF(ISBLANK('In Process Calc.'!AG14),"",'In Process Calc.'!AG14)</f>
        <v>9.5129219444444448</v>
      </c>
      <c r="CQ21" s="243">
        <f>IF(ISBLANK('In Process Calc.'!AH14),"",'In Process Calc.'!AH14)</f>
        <v>6.0344213888888873</v>
      </c>
      <c r="CR21" s="243">
        <f>IF(ISBLANK('In Process Calc.'!AI14),"",'In Process Calc.'!AI14)</f>
        <v>0.18244527777777791</v>
      </c>
      <c r="CS21" s="243">
        <f>IF(ISBLANK('In Process Calc.'!AJ14),"",'In Process Calc.'!AJ14)</f>
        <v>3.0147300000000001</v>
      </c>
      <c r="CT21" s="243">
        <f>IF(ISBLANK('In Process Calc.'!AK14),"",'In Process Calc.'!AK14)</f>
        <v>-1.8132688888888895</v>
      </c>
      <c r="CU21" s="243">
        <f>IF(ISBLANK('In Process Calc.'!AL14),"",'In Process Calc.'!AL14)</f>
        <v>0</v>
      </c>
      <c r="CV21" s="243">
        <f>IF(ISBLANK('In Process Calc.'!AM14),"",'In Process Calc.'!AM14)</f>
        <v>50.06202694444444</v>
      </c>
      <c r="CW21" s="243">
        <f>IF(ISBLANK('In Process Calc.'!AN14),"",'In Process Calc.'!AN14)</f>
        <v>23.220843333333328</v>
      </c>
      <c r="CX21" s="243">
        <f>IF(ISBLANK('In Process Calc.'!AO14),"",'In Process Calc.'!AO14)</f>
        <v>171.41271083333334</v>
      </c>
      <c r="CY21" s="243">
        <f>IF(ISBLANK('In Process Calc.'!AP14),"",'In Process Calc.'!AP14)</f>
        <v>0</v>
      </c>
      <c r="CZ21" s="243">
        <f>IF(ISBLANK('In Process Calc.'!AQ14),"",'In Process Calc.'!AQ14)</f>
        <v>0</v>
      </c>
      <c r="DA21" s="243">
        <f>IF(ISBLANK('In Process Calc.'!AR14),"",'In Process Calc.'!AR14)</f>
        <v>1.3551960083395115E-3</v>
      </c>
      <c r="DB21" s="243">
        <f>IF(ISBLANK('In Process Calc.'!AS14),"",'In Process Calc.'!AS14)</f>
        <v>1.3620446749401851E-3</v>
      </c>
      <c r="DC21" s="243">
        <f>IF(ISBLANK('In Process Calc.'!AT14),"",'In Process Calc.'!AT14)</f>
        <v>6.8486666006736217E-6</v>
      </c>
      <c r="DD21" s="243">
        <f>IF(ISBLANK('In Process Calc.'!AU14),"",'In Process Calc.'!AU14)</f>
        <v>0.89693872281585574</v>
      </c>
      <c r="DE21" s="243">
        <f>IF(ISBLANK('In Process Calc.'!AV14),"",'In Process Calc.'!AV14)</f>
        <v>4.3175961769158369E-3</v>
      </c>
      <c r="DF21" s="243">
        <f>IF(ISBLANK('In Process Calc.'!AW14),"",'In Process Calc.'!AW14)</f>
        <v>8.9862663353833749E-4</v>
      </c>
      <c r="DG21" s="243">
        <f>IF(ISBLANK('In Process Calc.'!AX14),"",'In Process Calc.'!AX14)</f>
        <v>-1.265921749180682E-5</v>
      </c>
      <c r="DH21" s="243">
        <f>IF(ISBLANK('In Process Calc.'!AY14),"",'In Process Calc.'!AY14)</f>
        <v>-3.3490918766831664E-4</v>
      </c>
      <c r="DI21" s="243">
        <f>IF(ISBLANK('In Process Calc.'!AZ14),"",'In Process Calc.'!AZ14)</f>
        <v>1.6385863493816196E-4</v>
      </c>
      <c r="DJ21" s="243">
        <f>IF(ISBLANK('In Process Calc.'!BA14),"",'In Process Calc.'!BA14)</f>
        <v>3.1093867846328657E-2</v>
      </c>
      <c r="DK21" s="243">
        <f>IF(ISBLANK('In Process Calc.'!BB14),"",'In Process Calc.'!BB14)</f>
        <v>4.0815923462002458E-3</v>
      </c>
      <c r="DL21" s="243">
        <f>IF(ISBLANK('In Process Calc.'!BC14),"",'In Process Calc.'!BC14)</f>
        <v>6.3214977682148872E-3</v>
      </c>
      <c r="DM21" s="243">
        <f>IF(ISBLANK('In Process Calc.'!BD14),"",'In Process Calc.'!BD14)</f>
        <v>8.1109103427665238E-4</v>
      </c>
      <c r="DN21" s="243">
        <f>IF(ISBLANK('In Process Calc.'!BE14),"",'In Process Calc.'!BE14)</f>
        <v>2.9701928958270231E-4</v>
      </c>
      <c r="DO21" s="243">
        <f>IF(ISBLANK('In Process Calc.'!BF14),"",'In Process Calc.'!BF14)</f>
        <v>5.7379043431650216E-4</v>
      </c>
      <c r="DP21" s="243">
        <f>IF(ISBLANK('In Process Calc.'!BG14),"",'In Process Calc.'!BG14)</f>
        <v>-5.1656847741637165E-4</v>
      </c>
      <c r="DQ21" s="243">
        <f>IF(ISBLANK('In Process Calc.'!BH14),"",'In Process Calc.'!BH14)</f>
        <v>2.2049587248557574E-3</v>
      </c>
      <c r="DR21" s="243">
        <f>IF(ISBLANK('In Process Calc.'!BI14),"",'In Process Calc.'!BI14)</f>
        <v>2.0971955950192375E-3</v>
      </c>
      <c r="DS21" s="243">
        <f>IF(ISBLANK('In Process Calc.'!BJ14),"",'In Process Calc.'!BJ14)</f>
        <v>0</v>
      </c>
      <c r="DT21" s="243">
        <f>IF(ISBLANK('In Process Calc.'!BK14),"",'In Process Calc.'!BK14)</f>
        <v>-9.1321763847026817E-3</v>
      </c>
      <c r="DU21" s="243">
        <f>IF(ISBLANK('In Process Calc.'!BL14),"",'In Process Calc.'!BL14)</f>
        <v>9.6923696931216097E-4</v>
      </c>
      <c r="DV21" s="243">
        <f>IF(ISBLANK('In Process Calc.'!BM14),"",'In Process Calc.'!BM14)</f>
        <v>-1.7117945353951018E-4</v>
      </c>
      <c r="DW21" s="243">
        <f>IF(ISBLANK('In Process Calc.'!BN14),"",'In Process Calc.'!BN14)</f>
        <v>9.6731454453042315E-6</v>
      </c>
      <c r="DX21" s="243">
        <f>IF(ISBLANK('In Process Calc.'!BO14),"",'In Process Calc.'!BO14)</f>
        <v>3.5472209209722245E-4</v>
      </c>
      <c r="DY21" s="243">
        <f>IF(ISBLANK('In Process Calc.'!BP14),"",'In Process Calc.'!BP14)</f>
        <v>4.8390213863224574E-4</v>
      </c>
      <c r="DZ21" s="243">
        <f>IF(ISBLANK('In Process Calc.'!BQ14),"",'In Process Calc.'!BQ14)</f>
        <v>1.7624399467348594E-4</v>
      </c>
      <c r="EA21" s="243">
        <f>IF(ISBLANK('In Process Calc.'!BR14),"",'In Process Calc.'!BR14)</f>
        <v>2.7565040989177563E-3</v>
      </c>
      <c r="EB21" s="243">
        <f>IF(ISBLANK('In Process Calc.'!BS14),"",'In Process Calc.'!BS14)</f>
        <v>0</v>
      </c>
      <c r="EC21" s="243">
        <f>IF(ISBLANK('In Process Calc.'!BT14),"",'In Process Calc.'!BT14)</f>
        <v>4.4586984806447641E-2</v>
      </c>
      <c r="ED21" s="243">
        <f>IF(ISBLANK('In Process Calc.'!BU14),"",'In Process Calc.'!BU14)</f>
        <v>3.1137212244829127E-2</v>
      </c>
      <c r="EE21" s="243">
        <f>IF(ISBLANK('In Process Calc.'!BV14),"",'In Process Calc.'!BV14)</f>
        <v>0.12923231168625604</v>
      </c>
      <c r="EF21" s="243">
        <f>IF(ISBLANK('In Process Calc.'!BW14),"",'In Process Calc.'!BW14)</f>
        <v>0.13147848257459407</v>
      </c>
      <c r="EG21" s="243">
        <f>IF(ISBLANK('In Process Calc.'!BX14),"",'In Process Calc.'!BX14)</f>
        <v>-1.6613194600599179E-2</v>
      </c>
      <c r="EH21" s="243">
        <f>IF(ISBLANK('In Process Calc.'!BY14),"",'In Process Calc.'!BY14)</f>
        <v>0</v>
      </c>
      <c r="EI21" s="243">
        <f>IF(ISBLANK('In Process Calc.'!BZ14),"",'In Process Calc.'!BZ14)</f>
        <v>0.13126679403064909</v>
      </c>
      <c r="EJ21" s="243">
        <f>IF(ISBLANK('In Process Calc.'!CA14),"",'In Process Calc.'!CA14)</f>
        <v>-2.2374053090344193</v>
      </c>
      <c r="EK21" s="243">
        <f>IF(ISBLANK('Post Process Calc.'!A21),"",'Post Process Calc.'!A21)</f>
        <v>0.63624999408721916</v>
      </c>
      <c r="EL21" s="243">
        <f>IF(ISBLANK('Post Process Calc.'!C21),"",'Post Process Calc.'!C21)</f>
        <v>8.6618527994357999E-2</v>
      </c>
      <c r="EM21" s="243">
        <f>IF(ISBLANK('Post Process Calc.'!D21),"",'Post Process Calc.'!D21)</f>
        <v>6.7525886130626642E-2</v>
      </c>
      <c r="EN21" s="243">
        <f>IF(ISBLANK('Post Process Calc.'!E21),"",'Post Process Calc.'!E21)</f>
        <v>-1.4165038298557255E-2</v>
      </c>
      <c r="EO21" s="243">
        <f>IF(ISBLANK('Post Process Calc.'!F21),"",'Post Process Calc.'!F21)</f>
        <v>9.5480416362657642E-3</v>
      </c>
      <c r="EP21" s="243">
        <f>IF(ISBLANK('Post Process Calc.'!G21),"",'Post Process Calc.'!G21)</f>
        <v>1.0469630871844358E-2</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11.87</v>
      </c>
      <c r="BO22" s="238">
        <f>IF(ISBLANK('In Process Calc.'!C15),"",ROUND('In Process Calc.'!C15,2))</f>
        <v>284.92</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25639.273359953819</v>
      </c>
      <c r="BV22" s="243">
        <f>IF(ISBLANK('In Process Calc.'!M15),"",'In Process Calc.'!M15)</f>
        <v>0</v>
      </c>
      <c r="BW22" s="243">
        <f>IF(ISBLANK('In Process Calc.'!N15),"",'In Process Calc.'!N15)</f>
        <v>3932.6663466666673</v>
      </c>
      <c r="BX22" s="243">
        <f>IF(ISBLANK('In Process Calc.'!O15),"",'In Process Calc.'!O15)</f>
        <v>-6.7129214444444436</v>
      </c>
      <c r="BY22" s="243">
        <f>IF(ISBLANK('In Process Calc.'!P15),"",'In Process Calc.'!P15)</f>
        <v>0.98084833333333366</v>
      </c>
      <c r="BZ22" s="243">
        <f>IF(ISBLANK('In Process Calc.'!Q15),"",'In Process Calc.'!Q15)</f>
        <v>12.86190511111111</v>
      </c>
      <c r="CA22" s="243">
        <f>IF(ISBLANK('In Process Calc.'!R15),"",'In Process Calc.'!R15)</f>
        <v>-0.74663177777777734</v>
      </c>
      <c r="CB22" s="243">
        <f>IF(ISBLANK('In Process Calc.'!S15),"",'In Process Calc.'!S15)</f>
        <v>1.9650594444444445</v>
      </c>
      <c r="CC22" s="243">
        <f>IF(ISBLANK('In Process Calc.'!T15),"",'In Process Calc.'!T15)</f>
        <v>92.722816786932441</v>
      </c>
      <c r="CD22" s="243">
        <f>IF(ISBLANK('In Process Calc.'!U15),"",'In Process Calc.'!U15)</f>
        <v>-4.3867471111111112</v>
      </c>
      <c r="CE22" s="243">
        <f>IF(ISBLANK('In Process Calc.'!V15),"",'In Process Calc.'!V15)</f>
        <v>-4.127792555555553</v>
      </c>
      <c r="CF22" s="243">
        <f>IF(ISBLANK('In Process Calc.'!W15),"",'In Process Calc.'!W15)</f>
        <v>0.18238400000000016</v>
      </c>
      <c r="CG22" s="243">
        <f>IF(ISBLANK('In Process Calc.'!X15),"",'In Process Calc.'!X15)</f>
        <v>1.435324111111111</v>
      </c>
      <c r="CH22" s="243">
        <f>IF(ISBLANK('In Process Calc.'!Y15),"",'In Process Calc.'!Y15)</f>
        <v>1.3107136666666661</v>
      </c>
      <c r="CI22" s="243">
        <f>IF(ISBLANK('In Process Calc.'!Z15),"",'In Process Calc.'!Z15)</f>
        <v>4.9339352674166186</v>
      </c>
      <c r="CJ22" s="243">
        <f>IF(ISBLANK('In Process Calc.'!AA15),"",'In Process Calc.'!AA15)</f>
        <v>6.6029096666666653</v>
      </c>
      <c r="CK22" s="243">
        <f>IF(ISBLANK('In Process Calc.'!AB15),"",'In Process Calc.'!AB15)</f>
        <v>3.1116707777777775</v>
      </c>
      <c r="CL22" s="243">
        <f>IF(ISBLANK('In Process Calc.'!AC15),"",'In Process Calc.'!AC15)</f>
        <v>1.486834111111111</v>
      </c>
      <c r="CM22" s="243">
        <f>IF(ISBLANK('In Process Calc.'!AD15),"",'In Process Calc.'!AD15)</f>
        <v>-18.48930444444445</v>
      </c>
      <c r="CN22" s="243">
        <f>IF(ISBLANK('In Process Calc.'!AE15),"",'In Process Calc.'!AE15)</f>
        <v>1.6457385555555555</v>
      </c>
      <c r="CO22" s="243">
        <f>IF(ISBLANK('In Process Calc.'!AF15),"",'In Process Calc.'!AF15)</f>
        <v>5.760639888888889</v>
      </c>
      <c r="CP22" s="243">
        <f>IF(ISBLANK('In Process Calc.'!AG15),"",'In Process Calc.'!AG15)</f>
        <v>9.1768918888888891</v>
      </c>
      <c r="CQ22" s="243">
        <f>IF(ISBLANK('In Process Calc.'!AH15),"",'In Process Calc.'!AH15)</f>
        <v>6.1534803333333317</v>
      </c>
      <c r="CR22" s="243">
        <f>IF(ISBLANK('In Process Calc.'!AI15),"",'In Process Calc.'!AI15)</f>
        <v>0.64553100000000008</v>
      </c>
      <c r="CS22" s="243">
        <f>IF(ISBLANK('In Process Calc.'!AJ15),"",'In Process Calc.'!AJ15)</f>
        <v>2.9062366666666666</v>
      </c>
      <c r="CT22" s="243">
        <f>IF(ISBLANK('In Process Calc.'!AK15),"",'In Process Calc.'!AK15)</f>
        <v>0.49193655555555349</v>
      </c>
      <c r="CU22" s="243">
        <f>IF(ISBLANK('In Process Calc.'!AL15),"",'In Process Calc.'!AL15)</f>
        <v>0</v>
      </c>
      <c r="CV22" s="243">
        <f>IF(ISBLANK('In Process Calc.'!AM15),"",'In Process Calc.'!AM15)</f>
        <v>79.243928111111117</v>
      </c>
      <c r="CW22" s="243">
        <f>IF(ISBLANK('In Process Calc.'!AN15),"",'In Process Calc.'!AN15)</f>
        <v>54.041702222222227</v>
      </c>
      <c r="CX22" s="243">
        <f>IF(ISBLANK('In Process Calc.'!AO15),"",'In Process Calc.'!AO15)</f>
        <v>257.74135111111104</v>
      </c>
      <c r="CY22" s="243">
        <f>IF(ISBLANK('In Process Calc.'!AP15),"",'In Process Calc.'!AP15)</f>
        <v>0</v>
      </c>
      <c r="CZ22" s="243">
        <f>IF(ISBLANK('In Process Calc.'!AQ15),"",'In Process Calc.'!AQ15)</f>
        <v>0</v>
      </c>
      <c r="DA22" s="243">
        <f>IF(ISBLANK('In Process Calc.'!AR15),"",'In Process Calc.'!AR15)</f>
        <v>-4.5970250206367157E-3</v>
      </c>
      <c r="DB22" s="243">
        <f>IF(ISBLANK('In Process Calc.'!AS15),"",'In Process Calc.'!AS15)</f>
        <v>-3.3883610261743673E-3</v>
      </c>
      <c r="DC22" s="243">
        <f>IF(ISBLANK('In Process Calc.'!AT15),"",'In Process Calc.'!AT15)</f>
        <v>1.2086639944623484E-3</v>
      </c>
      <c r="DD22" s="243">
        <f>IF(ISBLANK('In Process Calc.'!AU15),"",'In Process Calc.'!AU15)</f>
        <v>1.0350618102553193</v>
      </c>
      <c r="DE22" s="243">
        <f>IF(ISBLANK('In Process Calc.'!AV15),"",'In Process Calc.'!AV15)</f>
        <v>3.6501588451374844E-3</v>
      </c>
      <c r="DF22" s="243">
        <f>IF(ISBLANK('In Process Calc.'!AW15),"",'In Process Calc.'!AW15)</f>
        <v>1.6587695871772138E-3</v>
      </c>
      <c r="DG22" s="243">
        <f>IF(ISBLANK('In Process Calc.'!AX15),"",'In Process Calc.'!AX15)</f>
        <v>8.2862212903544675E-6</v>
      </c>
      <c r="DH22" s="243">
        <f>IF(ISBLANK('In Process Calc.'!AY15),"",'In Process Calc.'!AY15)</f>
        <v>5.4516671198694177E-4</v>
      </c>
      <c r="DI22" s="243">
        <f>IF(ISBLANK('In Process Calc.'!AZ15),"",'In Process Calc.'!AZ15)</f>
        <v>-4.7338584439303335E-5</v>
      </c>
      <c r="DJ22" s="243">
        <f>IF(ISBLANK('In Process Calc.'!BA15),"",'In Process Calc.'!BA15)</f>
        <v>3.4066597514338048E-2</v>
      </c>
      <c r="DK22" s="243">
        <f>IF(ISBLANK('In Process Calc.'!BB15),"",'In Process Calc.'!BB15)</f>
        <v>6.0063160756880785E-3</v>
      </c>
      <c r="DL22" s="243">
        <f>IF(ISBLANK('In Process Calc.'!BC15),"",'In Process Calc.'!BC15)</f>
        <v>6.2609530114970573E-3</v>
      </c>
      <c r="DM22" s="243">
        <f>IF(ISBLANK('In Process Calc.'!BD15),"",'In Process Calc.'!BD15)</f>
        <v>-6.1156508434195958E-5</v>
      </c>
      <c r="DN22" s="243">
        <f>IF(ISBLANK('In Process Calc.'!BE15),"",'In Process Calc.'!BE15)</f>
        <v>4.2233142523291671E-4</v>
      </c>
      <c r="DO22" s="243">
        <f>IF(ISBLANK('In Process Calc.'!BF15),"",'In Process Calc.'!BF15)</f>
        <v>9.9416768090717115E-4</v>
      </c>
      <c r="DP22" s="243">
        <f>IF(ISBLANK('In Process Calc.'!BG15),"",'In Process Calc.'!BG15)</f>
        <v>4.6220917623535286E-4</v>
      </c>
      <c r="DQ22" s="243">
        <f>IF(ISBLANK('In Process Calc.'!BH15),"",'In Process Calc.'!BH15)</f>
        <v>2.3830689191396415E-3</v>
      </c>
      <c r="DR22" s="243">
        <f>IF(ISBLANK('In Process Calc.'!BI15),"",'In Process Calc.'!BI15)</f>
        <v>2.8047887250309536E-3</v>
      </c>
      <c r="DS22" s="243">
        <f>IF(ISBLANK('In Process Calc.'!BJ15),"",'In Process Calc.'!BJ15)</f>
        <v>-1.9083818631297371E-4</v>
      </c>
      <c r="DT22" s="243">
        <f>IF(ISBLANK('In Process Calc.'!BK15),"",'In Process Calc.'!BK15)</f>
        <v>-1.0684549713888807E-3</v>
      </c>
      <c r="DU22" s="243">
        <f>IF(ISBLANK('In Process Calc.'!BL15),"",'In Process Calc.'!BL15)</f>
        <v>1.2233720510505216E-3</v>
      </c>
      <c r="DV22" s="243">
        <f>IF(ISBLANK('In Process Calc.'!BM15),"",'In Process Calc.'!BM15)</f>
        <v>7.0695722389174195E-5</v>
      </c>
      <c r="DW22" s="243">
        <f>IF(ISBLANK('In Process Calc.'!BN15),"",'In Process Calc.'!BN15)</f>
        <v>-5.2931816627183991E-4</v>
      </c>
      <c r="DX22" s="243">
        <f>IF(ISBLANK('In Process Calc.'!BO15),"",'In Process Calc.'!BO15)</f>
        <v>1.8754293287070282E-4</v>
      </c>
      <c r="DY22" s="243">
        <f>IF(ISBLANK('In Process Calc.'!BP15),"",'In Process Calc.'!BP15)</f>
        <v>7.2945762220014186E-4</v>
      </c>
      <c r="DZ22" s="243">
        <f>IF(ISBLANK('In Process Calc.'!BQ15),"",'In Process Calc.'!BQ15)</f>
        <v>-1.7089986833997693E-4</v>
      </c>
      <c r="EA22" s="243">
        <f>IF(ISBLANK('In Process Calc.'!BR15),"",'In Process Calc.'!BR15)</f>
        <v>3.6311844686507848E-3</v>
      </c>
      <c r="EB22" s="243">
        <f>IF(ISBLANK('In Process Calc.'!BS15),"",'In Process Calc.'!BS15)</f>
        <v>0</v>
      </c>
      <c r="EC22" s="243">
        <f>IF(ISBLANK('In Process Calc.'!BT15),"",'In Process Calc.'!BT15)</f>
        <v>4.5285526291846588E-2</v>
      </c>
      <c r="ED22" s="243">
        <f>IF(ISBLANK('In Process Calc.'!BU15),"",'In Process Calc.'!BU15)</f>
        <v>4.0566912475320224E-2</v>
      </c>
      <c r="EE22" s="243">
        <f>IF(ISBLANK('In Process Calc.'!BV15),"",'In Process Calc.'!BV15)</f>
        <v>0.15278055459536816</v>
      </c>
      <c r="EF22" s="243">
        <f>IF(ISBLANK('In Process Calc.'!BW15),"",'In Process Calc.'!BW15)</f>
        <v>0.15726714336431252</v>
      </c>
      <c r="EG22" s="243">
        <f>IF(ISBLANK('In Process Calc.'!BX15),"",'In Process Calc.'!BX15)</f>
        <v>1.3567811579680563E-2</v>
      </c>
      <c r="EH22" s="243">
        <f>IF(ISBLANK('In Process Calc.'!BY15),"",'In Process Calc.'!BY15)</f>
        <v>0</v>
      </c>
      <c r="EI22" s="243">
        <f>IF(ISBLANK('In Process Calc.'!BZ15),"",'In Process Calc.'!BZ15)</f>
        <v>0.17631100591011833</v>
      </c>
      <c r="EJ22" s="243">
        <f>IF(ISBLANK('In Process Calc.'!CA15),"",'In Process Calc.'!CA15)</f>
        <v>-0.17788856895388733</v>
      </c>
      <c r="EK22" s="243">
        <f>IF(ISBLANK('Post Process Calc.'!A22),"",'Post Process Calc.'!A22)</f>
        <v>1.1636500108718872</v>
      </c>
      <c r="EL22" s="243">
        <f>IF(ISBLANK('Post Process Calc.'!C22),"",'Post Process Calc.'!C22)</f>
        <v>0.10474980475284927</v>
      </c>
      <c r="EM22" s="243">
        <f>IF(ISBLANK('Post Process Calc.'!D22),"",'Post Process Calc.'!D22)</f>
        <v>7.3787039022381137E-2</v>
      </c>
      <c r="EN22" s="243">
        <f>IF(ISBLANK('Post Process Calc.'!E22),"",'Post Process Calc.'!E22)</f>
        <v>-3.8057943766748909E-3</v>
      </c>
      <c r="EO22" s="243">
        <f>IF(ISBLANK('Post Process Calc.'!F22),"",'Post Process Calc.'!F22)</f>
        <v>-3.5288505103937384E-4</v>
      </c>
      <c r="EP22" s="243">
        <f>IF(ISBLANK('Post Process Calc.'!G22),"",'Post Process Calc.'!G22)</f>
        <v>-4.6196812616518933E-3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XB50</v>
      </c>
      <c r="B23" s="238">
        <f>IF(ISBLANK('Measured Data'!A17),"",'Measured Data'!A17)</f>
        <v>10</v>
      </c>
      <c r="C23" s="245">
        <f>IF(ISBLANK('Measured Data'!B17),"",'Measured Data'!B17)</f>
        <v>9.9277777777824667</v>
      </c>
      <c r="D23" s="246">
        <f>IF(ISBLANK('Measured Data'!C17),"",'Measured Data'!C17)</f>
        <v>238.2666666667792</v>
      </c>
      <c r="E23" s="238">
        <f>IF(ISBLANK('Measured Data'!D17),"",'Measured Data'!D17)</f>
        <v>46</v>
      </c>
      <c r="F23" s="238" t="str">
        <f>IF(ISBLANK('Measured Data'!E17),"",'Measured Data'!E17)</f>
        <v/>
      </c>
      <c r="G23" s="238" t="str">
        <f>IF(ISBLANK('Measured Data'!G17),"",'Measured Data'!G17)</f>
        <v/>
      </c>
      <c r="H23" s="238">
        <f>IF(ISBLANK('Measured Data'!H17),"",'Measured Data'!H17)</f>
        <v>15.10840020904541</v>
      </c>
      <c r="I23" s="238">
        <f>IF(ISBLANK('Measured Data'!I17),"",'Measured Data'!I17)</f>
        <v>0.30194983824502941</v>
      </c>
      <c r="J23" s="238">
        <f>IF(ISBLANK('Measured Data'!J17),"",'Measured Data'!J17)</f>
        <v>15.410350047290439</v>
      </c>
      <c r="K23" s="238">
        <f>IF(ISBLANK('Measured Data'!K17),"",'Measured Data'!K17)</f>
        <v>98.040603637695312</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373</v>
      </c>
      <c r="S23" s="238">
        <f>IF(ISBLANK('Measured Data'!S17),"",'Measured Data'!S17)</f>
        <v>1432.7</v>
      </c>
      <c r="T23" s="238">
        <f>IF(ISBLANK('Measured Data'!U17),"",'Measured Data'!U17)</f>
        <v>6.4829999999999997</v>
      </c>
      <c r="U23" s="238">
        <f>IF(ISBLANK('Measured Data'!V17),"",'Measured Data'!V17)</f>
        <v>2.6680000000000001</v>
      </c>
      <c r="V23" s="238">
        <f>IF(ISBLANK('Measured Data'!W17),"",'Measured Data'!W17)</f>
        <v>7.1999999999999995E-2</v>
      </c>
      <c r="W23" s="238">
        <f>IF(ISBLANK('Measured Data'!X17),"",'Measured Data'!X17)</f>
        <v>2.4220000000000002</v>
      </c>
      <c r="X23" s="238">
        <f>IF(ISBLANK('Measured Data'!Y17),"",'Measured Data'!Y17)</f>
        <v>0.155</v>
      </c>
      <c r="Y23" s="238">
        <f>IF(ISBLANK('Measured Data'!Z17),"",'Measured Data'!Z17)</f>
        <v>5.6617598081662557</v>
      </c>
      <c r="Z23" s="238">
        <f>IF(ISBLANK('Measured Data'!AA17),"",'Measured Data'!AA17)</f>
        <v>5.8840000000000003</v>
      </c>
      <c r="AA23" s="238">
        <f>IF(ISBLANK('Measured Data'!AB17),"",'Measured Data'!AB17)</f>
        <v>9.2409999999999997</v>
      </c>
      <c r="AB23" s="238">
        <f>IF(ISBLANK('Measured Data'!AC17),"",'Measured Data'!AC17)</f>
        <v>0.39600000000000002</v>
      </c>
      <c r="AC23" s="238">
        <f>IF(ISBLANK('Measured Data'!AD17),"",'Measured Data'!AD17)</f>
        <v>0.84099999999999997</v>
      </c>
      <c r="AD23" s="238">
        <f>IF(ISBLANK('Measured Data'!AE17),"",'Measured Data'!AE17)</f>
        <v>2.9380000000000002</v>
      </c>
      <c r="AE23" s="238">
        <f>IF(ISBLANK('Measured Data'!AF17),"",'Measured Data'!AF17)</f>
        <v>3.4413854351687392</v>
      </c>
      <c r="AF23" s="238">
        <f>IF(ISBLANK('Measured Data'!AG17),"",'Measured Data'!AG17)</f>
        <v>2.8330000000000002</v>
      </c>
      <c r="AG23" s="238">
        <f>IF(ISBLANK('Measured Data'!AH17),"",'Measured Data'!AH17)</f>
        <v>3.7189999999999999</v>
      </c>
      <c r="AH23" s="238">
        <f>IF(ISBLANK('Measured Data'!AI17),"",'Measured Data'!AI17)</f>
        <v>0</v>
      </c>
      <c r="AI23" s="238">
        <f>IF(ISBLANK('Measured Data'!AJ17),"",'Measured Data'!AJ17)</f>
        <v>6.91</v>
      </c>
      <c r="AJ23" s="238">
        <f>IF(ISBLANK('Measured Data'!AK17),"",'Measured Data'!AK17)</f>
        <v>1.2949999999999999</v>
      </c>
      <c r="AK23" s="238">
        <f>IF(ISBLANK('Measured Data'!AL17),"",'Measured Data'!AL17)</f>
        <v>2.3780000000000001</v>
      </c>
      <c r="AL23" s="238">
        <f>IF(ISBLANK('Measured Data'!AM17),"",'Measured Data'!AM17)</f>
        <v>0.29099999999999998</v>
      </c>
      <c r="AM23" s="238">
        <f>IF(ISBLANK('Measured Data'!AN17),"",'Measured Data'!AN17)</f>
        <v>0.28299999999999997</v>
      </c>
      <c r="AN23" s="238">
        <f>IF(ISBLANK('Measured Data'!AO17),"",'Measured Data'!AO17)</f>
        <v>1.2629999999999999</v>
      </c>
      <c r="AO23" s="238">
        <f>IF(ISBLANK('Measured Data'!AP17),"",'Measured Data'!AP17)</f>
        <v>6.4000000000000001E-2</v>
      </c>
      <c r="AP23" s="238">
        <f>IF(ISBLANK('Measured Data'!AQ17),"",'Measured Data'!AQ17)</f>
        <v>5.3680000000000003</v>
      </c>
      <c r="AQ23" s="238">
        <f>IF(ISBLANK('Measured Data'!AR17),"",'Measured Data'!AR17)</f>
        <v>0</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t="str">
        <f>IF(ISBLANK('Measured Data'!BP17),"",'Measured Data'!BP17)</f>
        <v/>
      </c>
      <c r="BN23" s="238">
        <f>IF(ISBLANK('In Process Calc.'!B16),"",ROUND('In Process Calc.'!B16,2))</f>
        <v>12.86</v>
      </c>
      <c r="BO23" s="238">
        <f>IF(ISBLANK('In Process Calc.'!C16),"",ROUND('In Process Calc.'!C16,2))</f>
        <v>308.75</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24612.108495146269</v>
      </c>
      <c r="BV23" s="243">
        <f>IF(ISBLANK('In Process Calc.'!M16),"",'In Process Calc.'!M16)</f>
        <v>0</v>
      </c>
      <c r="BW23" s="243">
        <f>IF(ISBLANK('In Process Calc.'!N16),"",'In Process Calc.'!N16)</f>
        <v>4486.9930672222226</v>
      </c>
      <c r="BX23" s="243">
        <f>IF(ISBLANK('In Process Calc.'!O16),"",'In Process Calc.'!O16)</f>
        <v>-4.6902081111111107</v>
      </c>
      <c r="BY23" s="243">
        <f>IF(ISBLANK('In Process Calc.'!P16),"",'In Process Calc.'!P16)</f>
        <v>1.4493301111111112</v>
      </c>
      <c r="BZ23" s="243">
        <f>IF(ISBLANK('In Process Calc.'!Q16),"",'In Process Calc.'!Q16)</f>
        <v>12.864150833333332</v>
      </c>
      <c r="CA23" s="243">
        <f>IF(ISBLANK('In Process Calc.'!R16),"",'In Process Calc.'!R16)</f>
        <v>-0.59187627777777807</v>
      </c>
      <c r="CB23" s="243">
        <f>IF(ISBLANK('In Process Calc.'!S16),"",'In Process Calc.'!S16)</f>
        <v>1.7746770555555555</v>
      </c>
      <c r="CC23" s="243">
        <f>IF(ISBLANK('In Process Calc.'!T16),"",'In Process Calc.'!T16)</f>
        <v>108.72893640756354</v>
      </c>
      <c r="CD23" s="243">
        <f>IF(ISBLANK('In Process Calc.'!U16),"",'In Process Calc.'!U16)</f>
        <v>-4.1148538333333331</v>
      </c>
      <c r="CE23" s="243">
        <f>IF(ISBLANK('In Process Calc.'!V16),"",'In Process Calc.'!V16)</f>
        <v>-1.63320872222222</v>
      </c>
      <c r="CF23" s="243">
        <f>IF(ISBLANK('In Process Calc.'!W16),"",'In Process Calc.'!W16)</f>
        <v>-0.47295055555555549</v>
      </c>
      <c r="CG23" s="243">
        <f>IF(ISBLANK('In Process Calc.'!X16),"",'In Process Calc.'!X16)</f>
        <v>1.5614273888888888</v>
      </c>
      <c r="CH23" s="243">
        <f>IF(ISBLANK('In Process Calc.'!Y16),"",'In Process Calc.'!Y16)</f>
        <v>1.3593265555555549</v>
      </c>
      <c r="CI23" s="243">
        <f>IF(ISBLANK('In Process Calc.'!Z16),"",'In Process Calc.'!Z16)</f>
        <v>3.1130723307677135</v>
      </c>
      <c r="CJ23" s="243">
        <f>IF(ISBLANK('In Process Calc.'!AA16),"",'In Process Calc.'!AA16)</f>
        <v>7.3059642777777762</v>
      </c>
      <c r="CK23" s="243">
        <f>IF(ISBLANK('In Process Calc.'!AB16),"",'In Process Calc.'!AB16)</f>
        <v>4.2123419999999996</v>
      </c>
      <c r="CL23" s="243">
        <f>IF(ISBLANK('In Process Calc.'!AC16),"",'In Process Calc.'!AC16)</f>
        <v>1.2763454444444442</v>
      </c>
      <c r="CM23" s="243">
        <f>IF(ISBLANK('In Process Calc.'!AD16),"",'In Process Calc.'!AD16)</f>
        <v>-20.210027777777785</v>
      </c>
      <c r="CN23" s="243">
        <f>IF(ISBLANK('In Process Calc.'!AE16),"",'In Process Calc.'!AE16)</f>
        <v>2.1463595555555557</v>
      </c>
      <c r="CO23" s="243">
        <f>IF(ISBLANK('In Process Calc.'!AF16),"",'In Process Calc.'!AF16)</f>
        <v>5.0974608333333329</v>
      </c>
      <c r="CP23" s="243">
        <f>IF(ISBLANK('In Process Calc.'!AG16),"",'In Process Calc.'!AG16)</f>
        <v>8.2478684999999992</v>
      </c>
      <c r="CQ23" s="243">
        <f>IF(ISBLANK('In Process Calc.'!AH16),"",'In Process Calc.'!AH16)</f>
        <v>5.8331976111111095</v>
      </c>
      <c r="CR23" s="243">
        <f>IF(ISBLANK('In Process Calc.'!AI16),"",'In Process Calc.'!AI16)</f>
        <v>0.93895322222222233</v>
      </c>
      <c r="CS23" s="243">
        <f>IF(ISBLANK('In Process Calc.'!AJ16),"",'In Process Calc.'!AJ16)</f>
        <v>2.5875638333333333</v>
      </c>
      <c r="CT23" s="243">
        <f>IF(ISBLANK('In Process Calc.'!AK16),"",'In Process Calc.'!AK16)</f>
        <v>1.9328280555555541</v>
      </c>
      <c r="CU23" s="243">
        <f>IF(ISBLANK('In Process Calc.'!AL16),"",'In Process Calc.'!AL16)</f>
        <v>0</v>
      </c>
      <c r="CV23" s="243">
        <f>IF(ISBLANK('In Process Calc.'!AM16),"",'In Process Calc.'!AM16)</f>
        <v>90.440839944444434</v>
      </c>
      <c r="CW23" s="243">
        <f>IF(ISBLANK('In Process Calc.'!AN16),"",'In Process Calc.'!AN16)</f>
        <v>65.540604055555548</v>
      </c>
      <c r="CX23" s="243">
        <f>IF(ISBLANK('In Process Calc.'!AO16),"",'In Process Calc.'!AO16)</f>
        <v>281.99527655555556</v>
      </c>
      <c r="CY23" s="243">
        <f>IF(ISBLANK('In Process Calc.'!AP16),"",'In Process Calc.'!AP16)</f>
        <v>0</v>
      </c>
      <c r="CZ23" s="243">
        <f>IF(ISBLANK('In Process Calc.'!AQ16),"",'In Process Calc.'!AQ16)</f>
        <v>0</v>
      </c>
      <c r="DA23" s="243">
        <f>IF(ISBLANK('In Process Calc.'!AR16),"",'In Process Calc.'!AR16)</f>
        <v>-1.681617623605026E-3</v>
      </c>
      <c r="DB23" s="243">
        <f>IF(ISBLANK('In Process Calc.'!AS16),"",'In Process Calc.'!AS16)</f>
        <v>-4.9869797095263946E-4</v>
      </c>
      <c r="DC23" s="243">
        <f>IF(ISBLANK('In Process Calc.'!AT16),"",'In Process Calc.'!AT16)</f>
        <v>1.1829196526523865E-3</v>
      </c>
      <c r="DD23" s="243">
        <f>IF(ISBLANK('In Process Calc.'!AU16),"",'In Process Calc.'!AU16)</f>
        <v>0.90751311153546066</v>
      </c>
      <c r="DE23" s="243">
        <f>IF(ISBLANK('In Process Calc.'!AV16),"",'In Process Calc.'!AV16)</f>
        <v>3.3114746282443125E-3</v>
      </c>
      <c r="DF23" s="243">
        <f>IF(ISBLANK('In Process Calc.'!AW16),"",'In Process Calc.'!AW16)</f>
        <v>7.6697250932208265E-4</v>
      </c>
      <c r="DG23" s="243">
        <f>IF(ISBLANK('In Process Calc.'!AX16),"",'In Process Calc.'!AX16)</f>
        <v>3.6765724724407076E-6</v>
      </c>
      <c r="DH23" s="243">
        <f>IF(ISBLANK('In Process Calc.'!AY16),"",'In Process Calc.'!AY16)</f>
        <v>2.5335716306706523E-4</v>
      </c>
      <c r="DI23" s="243">
        <f>IF(ISBLANK('In Process Calc.'!AZ16),"",'In Process Calc.'!AZ16)</f>
        <v>-3.1168353917514972E-4</v>
      </c>
      <c r="DJ23" s="243">
        <f>IF(ISBLANK('In Process Calc.'!BA16),"",'In Process Calc.'!BA16)</f>
        <v>3.6613476096878504E-2</v>
      </c>
      <c r="DK23" s="243">
        <f>IF(ISBLANK('In Process Calc.'!BB16),"",'In Process Calc.'!BB16)</f>
        <v>4.4512866757422966E-4</v>
      </c>
      <c r="DL23" s="243">
        <f>IF(ISBLANK('In Process Calc.'!BC16),"",'In Process Calc.'!BC16)</f>
        <v>4.0839949665524063E-3</v>
      </c>
      <c r="DM23" s="243">
        <f>IF(ISBLANK('In Process Calc.'!BD16),"",'In Process Calc.'!BD16)</f>
        <v>-1.0728775639985164E-3</v>
      </c>
      <c r="DN23" s="243">
        <f>IF(ISBLANK('In Process Calc.'!BE16),"",'In Process Calc.'!BE16)</f>
        <v>2.0644932626779668E-4</v>
      </c>
      <c r="DO23" s="243">
        <f>IF(ISBLANK('In Process Calc.'!BF16),"",'In Process Calc.'!BF16)</f>
        <v>7.9586338562334682E-5</v>
      </c>
      <c r="DP23" s="243">
        <f>IF(ISBLANK('In Process Calc.'!BG16),"",'In Process Calc.'!BG16)</f>
        <v>-2.2865149991606868E-3</v>
      </c>
      <c r="DQ23" s="243">
        <f>IF(ISBLANK('In Process Calc.'!BH16),"",'In Process Calc.'!BH16)</f>
        <v>1.1510022051063173E-3</v>
      </c>
      <c r="DR23" s="243">
        <f>IF(ISBLANK('In Process Calc.'!BI16),"",'In Process Calc.'!BI16)</f>
        <v>1.8019581748744493E-3</v>
      </c>
      <c r="DS23" s="243">
        <f>IF(ISBLANK('In Process Calc.'!BJ16),"",'In Process Calc.'!BJ16)</f>
        <v>-3.4460042741250602E-4</v>
      </c>
      <c r="DT23" s="243">
        <f>IF(ISBLANK('In Process Calc.'!BK16),"",'In Process Calc.'!BK16)</f>
        <v>-2.8170732681981575E-3</v>
      </c>
      <c r="DU23" s="243">
        <f>IF(ISBLANK('In Process Calc.'!BL16),"",'In Process Calc.'!BL16)</f>
        <v>8.1958907006082435E-4</v>
      </c>
      <c r="DV23" s="243">
        <f>IF(ISBLANK('In Process Calc.'!BM16),"",'In Process Calc.'!BM16)</f>
        <v>-1.0857201464313198E-3</v>
      </c>
      <c r="DW23" s="243">
        <f>IF(ISBLANK('In Process Calc.'!BN16),"",'In Process Calc.'!BN16)</f>
        <v>-1.5209458160248982E-3</v>
      </c>
      <c r="DX23" s="243">
        <f>IF(ISBLANK('In Process Calc.'!BO16),"",'In Process Calc.'!BO16)</f>
        <v>-5.2434919522485138E-4</v>
      </c>
      <c r="DY23" s="243">
        <f>IF(ISBLANK('In Process Calc.'!BP16),"",'In Process Calc.'!BP16)</f>
        <v>4.8037466715597548E-4</v>
      </c>
      <c r="DZ23" s="243">
        <f>IF(ISBLANK('In Process Calc.'!BQ16),"",'In Process Calc.'!BQ16)</f>
        <v>-5.2171357399173146E-4</v>
      </c>
      <c r="EA23" s="243">
        <f>IF(ISBLANK('In Process Calc.'!BR16),"",'In Process Calc.'!BR16)</f>
        <v>2.358948035626844E-3</v>
      </c>
      <c r="EB23" s="243">
        <f>IF(ISBLANK('In Process Calc.'!BS16),"",'In Process Calc.'!BS16)</f>
        <v>0</v>
      </c>
      <c r="EC23" s="243">
        <f>IF(ISBLANK('In Process Calc.'!BT16),"",'In Process Calc.'!BT16)</f>
        <v>1.8162274926249226E-2</v>
      </c>
      <c r="ED23" s="243">
        <f>IF(ISBLANK('In Process Calc.'!BU16),"",'In Process Calc.'!BU16)</f>
        <v>1.2033727029806755E-2</v>
      </c>
      <c r="EE23" s="243">
        <f>IF(ISBLANK('In Process Calc.'!BV16),"",'In Process Calc.'!BV16)</f>
        <v>5.6213413172460834E-2</v>
      </c>
      <c r="EF23" s="243">
        <f>IF(ISBLANK('In Process Calc.'!BW16),"",'In Process Calc.'!BW16)</f>
        <v>7.8736528799627573E-2</v>
      </c>
      <c r="EG23" s="243">
        <f>IF(ISBLANK('In Process Calc.'!BX16),"",'In Process Calc.'!BX16)</f>
        <v>-6.2450093323851992E-2</v>
      </c>
      <c r="EH23" s="243">
        <f>IF(ISBLANK('In Process Calc.'!BY16),"",'In Process Calc.'!BY16)</f>
        <v>0</v>
      </c>
      <c r="EI23" s="243">
        <f>IF(ISBLANK('In Process Calc.'!BZ16),"",'In Process Calc.'!BZ16)</f>
        <v>1.2157509065690139E-2</v>
      </c>
      <c r="EJ23" s="243">
        <f>IF(ISBLANK('In Process Calc.'!CA16),"",'In Process Calc.'!CA16)</f>
        <v>-6.3286718502092034</v>
      </c>
      <c r="EK23" s="243">
        <f>IF(ISBLANK('Post Process Calc.'!A23),"",'Post Process Calc.'!A23)</f>
        <v>2.0973000360488894</v>
      </c>
      <c r="EL23" s="243">
        <f>IF(ISBLANK('Post Process Calc.'!C23),"",'Post Process Calc.'!C23)</f>
        <v>8.7354887472543288E-2</v>
      </c>
      <c r="EM23" s="243">
        <f>IF(ISBLANK('Post Process Calc.'!D23),"",'Post Process Calc.'!D23)</f>
        <v>4.7908332507792757E-2</v>
      </c>
      <c r="EN23" s="243">
        <f>IF(ISBLANK('Post Process Calc.'!E23),"",'Post Process Calc.'!E23)</f>
        <v>-2.8531310213022183E-3</v>
      </c>
      <c r="EO23" s="243">
        <f>IF(ISBLANK('Post Process Calc.'!F23),"",'Post Process Calc.'!F23)</f>
        <v>9.976109249474369E-4</v>
      </c>
      <c r="EP23" s="243">
        <f>IF(ISBLANK('Post Process Calc.'!G23),"",'Post Process Calc.'!G23)</f>
        <v>-5.6642413545730441E-3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XB50</v>
      </c>
      <c r="B24" s="238">
        <f>IF(ISBLANK('Measured Data'!A18),"",'Measured Data'!A18)</f>
        <v>11</v>
      </c>
      <c r="C24" s="245">
        <f>IF(ISBLANK('Measured Data'!B18),"",'Measured Data'!B18)</f>
        <v>10.913194444445253</v>
      </c>
      <c r="D24" s="246">
        <f>IF(ISBLANK('Measured Data'!C18),"",'Measured Data'!C18)</f>
        <v>261.91666666668607</v>
      </c>
      <c r="E24" s="238">
        <f>IF(ISBLANK('Measured Data'!D18),"",'Measured Data'!D18)</f>
        <v>20</v>
      </c>
      <c r="F24" s="238" t="str">
        <f>IF(ISBLANK('Measured Data'!E18),"",'Measured Data'!E18)</f>
        <v/>
      </c>
      <c r="G24" s="238" t="str">
        <f>IF(ISBLANK('Measured Data'!G18),"",'Measured Data'!G18)</f>
        <v/>
      </c>
      <c r="H24" s="238">
        <f>IF(ISBLANK('Measured Data'!H18),"",'Measured Data'!H18)</f>
        <v>15.682599885559082</v>
      </c>
      <c r="I24" s="238">
        <f>IF(ISBLANK('Measured Data'!I18),"",'Measured Data'!I18)</f>
        <v>0.30603863333221781</v>
      </c>
      <c r="J24" s="238">
        <f>IF(ISBLANK('Measured Data'!J18),"",'Measured Data'!J18)</f>
        <v>15.9886385188913</v>
      </c>
      <c r="K24" s="238">
        <f>IF(ISBLANK('Measured Data'!K18),"",'Measured Data'!K18)</f>
        <v>98.085899353027344</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381</v>
      </c>
      <c r="S24" s="238">
        <f>IF(ISBLANK('Measured Data'!S18),"",'Measured Data'!S18)</f>
        <v>1767.66</v>
      </c>
      <c r="T24" s="238">
        <f>IF(ISBLANK('Measured Data'!U18),"",'Measured Data'!U18)</f>
        <v>4.9409999999999998</v>
      </c>
      <c r="U24" s="238">
        <f>IF(ISBLANK('Measured Data'!V18),"",'Measured Data'!V18)</f>
        <v>2.3540000000000001</v>
      </c>
      <c r="V24" s="238">
        <f>IF(ISBLANK('Measured Data'!W18),"",'Measured Data'!W18)</f>
        <v>7.6999999999999999E-2</v>
      </c>
      <c r="W24" s="238">
        <f>IF(ISBLANK('Measured Data'!X18),"",'Measured Data'!X18)</f>
        <v>2.5569999999999999</v>
      </c>
      <c r="X24" s="238">
        <f>IF(ISBLANK('Measured Data'!Y18),"",'Measured Data'!Y18)</f>
        <v>9.6000000000000002E-2</v>
      </c>
      <c r="Y24" s="238">
        <f>IF(ISBLANK('Measured Data'!Z18),"",'Measured Data'!Z18)</f>
        <v>6.605386442860631</v>
      </c>
      <c r="Z24" s="238">
        <f>IF(ISBLANK('Measured Data'!AA18),"",'Measured Data'!AA18)</f>
        <v>4.4249999999999998</v>
      </c>
      <c r="AA24" s="238">
        <f>IF(ISBLANK('Measured Data'!AB18),"",'Measured Data'!AB18)</f>
        <v>6.9820000000000002</v>
      </c>
      <c r="AB24" s="238">
        <f>IF(ISBLANK('Measured Data'!AC18),"",'Measured Data'!AC18)</f>
        <v>0.10199999999999999</v>
      </c>
      <c r="AC24" s="238">
        <f>IF(ISBLANK('Measured Data'!AD18),"",'Measured Data'!AD18)</f>
        <v>0.73699999999999999</v>
      </c>
      <c r="AD24" s="238">
        <f>IF(ISBLANK('Measured Data'!AE18),"",'Measured Data'!AE18)</f>
        <v>2.7440000000000002</v>
      </c>
      <c r="AE24" s="238">
        <f>IF(ISBLANK('Measured Data'!AF18),"",'Measured Data'!AF18)</f>
        <v>3.2193605683836588</v>
      </c>
      <c r="AF24" s="238">
        <f>IF(ISBLANK('Measured Data'!AG18),"",'Measured Data'!AG18)</f>
        <v>2.0430000000000001</v>
      </c>
      <c r="AG24" s="238">
        <f>IF(ISBLANK('Measured Data'!AH18),"",'Measured Data'!AH18)</f>
        <v>2.9729999999999999</v>
      </c>
      <c r="AH24" s="238">
        <f>IF(ISBLANK('Measured Data'!AI18),"",'Measured Data'!AI18)</f>
        <v>0</v>
      </c>
      <c r="AI24" s="238">
        <f>IF(ISBLANK('Measured Data'!AJ18),"",'Measured Data'!AJ18)</f>
        <v>10.28</v>
      </c>
      <c r="AJ24" s="238">
        <f>IF(ISBLANK('Measured Data'!AK18),"",'Measured Data'!AK18)</f>
        <v>0.94799999999999995</v>
      </c>
      <c r="AK24" s="238">
        <f>IF(ISBLANK('Measured Data'!AL18),"",'Measured Data'!AL18)</f>
        <v>2.4529999999999998</v>
      </c>
      <c r="AL24" s="238">
        <f>IF(ISBLANK('Measured Data'!AM18),"",'Measured Data'!AM18)</f>
        <v>0.28899999999999998</v>
      </c>
      <c r="AM24" s="238">
        <f>IF(ISBLANK('Measured Data'!AN18),"",'Measured Data'!AN18)</f>
        <v>0.155</v>
      </c>
      <c r="AN24" s="238">
        <f>IF(ISBLANK('Measured Data'!AO18),"",'Measured Data'!AO18)</f>
        <v>1.093</v>
      </c>
      <c r="AO24" s="238">
        <f>IF(ISBLANK('Measured Data'!AP18),"",'Measured Data'!AP18)</f>
        <v>0</v>
      </c>
      <c r="AP24" s="238">
        <f>IF(ISBLANK('Measured Data'!AQ18),"",'Measured Data'!AQ18)</f>
        <v>4.3899999999999997</v>
      </c>
      <c r="AQ24" s="238">
        <f>IF(ISBLANK('Measured Data'!AR18),"",'Measured Data'!AR18)</f>
        <v>0</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t="str">
        <f>IF(ISBLANK('Measured Data'!BP18),"",'Measured Data'!BP18)</f>
        <v/>
      </c>
      <c r="BN24" s="238">
        <f>IF(ISBLANK('In Process Calc.'!B17),"",ROUND('In Process Calc.'!B17,2))</f>
        <v>13.88</v>
      </c>
      <c r="BO24" s="238">
        <f>IF(ISBLANK('In Process Calc.'!C17),"",ROUND('In Process Calc.'!C17,2))</f>
        <v>333.1</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23192.684258825007</v>
      </c>
      <c r="BV24" s="243">
        <f>IF(ISBLANK('In Process Calc.'!M17),"",'In Process Calc.'!M17)</f>
        <v>0</v>
      </c>
      <c r="BW24" s="243">
        <f>IF(ISBLANK('In Process Calc.'!N17),"",'In Process Calc.'!N17)</f>
        <v>4903.661315555556</v>
      </c>
      <c r="BX24" s="243">
        <f>IF(ISBLANK('In Process Calc.'!O17),"",'In Process Calc.'!O17)</f>
        <v>-3.9211245555555552</v>
      </c>
      <c r="BY24" s="243">
        <f>IF(ISBLANK('In Process Calc.'!P17),"",'In Process Calc.'!P17)</f>
        <v>1.8019878888888896</v>
      </c>
      <c r="BZ24" s="243">
        <f>IF(ISBLANK('In Process Calc.'!Q17),"",'In Process Calc.'!Q17)</f>
        <v>12.869713999999998</v>
      </c>
      <c r="CA24" s="243">
        <f>IF(ISBLANK('In Process Calc.'!R17),"",'In Process Calc.'!R17)</f>
        <v>-0.60838511111111138</v>
      </c>
      <c r="CB24" s="243">
        <f>IF(ISBLANK('In Process Calc.'!S17),"",'In Process Calc.'!S17)</f>
        <v>1.4601169999999999</v>
      </c>
      <c r="CC24" s="243">
        <f>IF(ISBLANK('In Process Calc.'!T17),"",'In Process Calc.'!T17)</f>
        <v>124.64949700428625</v>
      </c>
      <c r="CD24" s="243">
        <f>IF(ISBLANK('In Process Calc.'!U17),"",'In Process Calc.'!U17)</f>
        <v>-3.6778540000000004</v>
      </c>
      <c r="CE24" s="243">
        <f>IF(ISBLANK('In Process Calc.'!V17),"",'In Process Calc.'!V17)</f>
        <v>-1.1321716666666646</v>
      </c>
      <c r="CF24" s="243">
        <f>IF(ISBLANK('In Process Calc.'!W17),"",'In Process Calc.'!W17)</f>
        <v>-1.7356448888888887</v>
      </c>
      <c r="CG24" s="243">
        <f>IF(ISBLANK('In Process Calc.'!X17),"",'In Process Calc.'!X17)</f>
        <v>1.6436052222222222</v>
      </c>
      <c r="CH24" s="243">
        <f>IF(ISBLANK('In Process Calc.'!Y17),"",'In Process Calc.'!Y17)</f>
        <v>1.3556207777777776</v>
      </c>
      <c r="CI24" s="243">
        <f>IF(ISBLANK('In Process Calc.'!Z17),"",'In Process Calc.'!Z17)</f>
        <v>7.1047217288336304</v>
      </c>
      <c r="CJ24" s="243">
        <f>IF(ISBLANK('In Process Calc.'!AA17),"",'In Process Calc.'!AA17)</f>
        <v>7.6210901111111093</v>
      </c>
      <c r="CK24" s="243">
        <f>IF(ISBLANK('In Process Calc.'!AB17),"",'In Process Calc.'!AB17)</f>
        <v>4.8545798888888889</v>
      </c>
      <c r="CL24" s="243">
        <f>IF(ISBLANK('In Process Calc.'!AC17),"",'In Process Calc.'!AC17)</f>
        <v>1.0859205555555553</v>
      </c>
      <c r="CM24" s="243">
        <f>IF(ISBLANK('In Process Calc.'!AD17),"",'In Process Calc.'!AD17)</f>
        <v>-21.498406666666675</v>
      </c>
      <c r="CN24" s="243">
        <f>IF(ISBLANK('In Process Calc.'!AE17),"",'In Process Calc.'!AE17)</f>
        <v>2.436771666666667</v>
      </c>
      <c r="CO24" s="243">
        <f>IF(ISBLANK('In Process Calc.'!AF17),"",'In Process Calc.'!AF17)</f>
        <v>4.4519878888888886</v>
      </c>
      <c r="CP24" s="243">
        <f>IF(ISBLANK('In Process Calc.'!AG17),"",'In Process Calc.'!AG17)</f>
        <v>7.8197798888888883</v>
      </c>
      <c r="CQ24" s="243">
        <f>IF(ISBLANK('In Process Calc.'!AH17),"",'In Process Calc.'!AH17)</f>
        <v>5.4971432222222205</v>
      </c>
      <c r="CR24" s="243">
        <f>IF(ISBLANK('In Process Calc.'!AI17),"",'In Process Calc.'!AI17)</f>
        <v>1.129501888888889</v>
      </c>
      <c r="CS24" s="243">
        <f>IF(ISBLANK('In Process Calc.'!AJ17),"",'In Process Calc.'!AJ17)</f>
        <v>2.336046222222222</v>
      </c>
      <c r="CT24" s="243">
        <f>IF(ISBLANK('In Process Calc.'!AK17),"",'In Process Calc.'!AK17)</f>
        <v>2.8832205555555541</v>
      </c>
      <c r="CU24" s="243">
        <f>IF(ISBLANK('In Process Calc.'!AL17),"",'In Process Calc.'!AL17)</f>
        <v>0</v>
      </c>
      <c r="CV24" s="243">
        <f>IF(ISBLANK('In Process Calc.'!AM17),"",'In Process Calc.'!AM17)</f>
        <v>94.999546111111115</v>
      </c>
      <c r="CW24" s="243">
        <f>IF(ISBLANK('In Process Calc.'!AN17),"",'In Process Calc.'!AN17)</f>
        <v>69.580014888888897</v>
      </c>
      <c r="CX24" s="243">
        <f>IF(ISBLANK('In Process Calc.'!AO17),"",'In Process Calc.'!AO17)</f>
        <v>288.64271577777777</v>
      </c>
      <c r="CY24" s="243">
        <f>IF(ISBLANK('In Process Calc.'!AP17),"",'In Process Calc.'!AP17)</f>
        <v>0</v>
      </c>
      <c r="CZ24" s="243">
        <f>IF(ISBLANK('In Process Calc.'!AQ17),"",'In Process Calc.'!AQ17)</f>
        <v>0</v>
      </c>
      <c r="DA24" s="243">
        <f>IF(ISBLANK('In Process Calc.'!AR17),"",'In Process Calc.'!AR17)</f>
        <v>-2.3885019808678491E-3</v>
      </c>
      <c r="DB24" s="243">
        <f>IF(ISBLANK('In Process Calc.'!AS17),"",'In Process Calc.'!AS17)</f>
        <v>-3.92964300819287E-5</v>
      </c>
      <c r="DC24" s="243">
        <f>IF(ISBLANK('In Process Calc.'!AT17),"",'In Process Calc.'!AT17)</f>
        <v>2.3492055507859204E-3</v>
      </c>
      <c r="DD24" s="243">
        <f>IF(ISBLANK('In Process Calc.'!AU17),"",'In Process Calc.'!AU17)</f>
        <v>0.70113846941785962</v>
      </c>
      <c r="DE24" s="243">
        <f>IF(ISBLANK('In Process Calc.'!AV17),"",'In Process Calc.'!AV17)</f>
        <v>1.2941568481726065E-3</v>
      </c>
      <c r="DF24" s="243">
        <f>IF(ISBLANK('In Process Calc.'!AW17),"",'In Process Calc.'!AW17)</f>
        <v>5.9342639024801899E-4</v>
      </c>
      <c r="DG24" s="243">
        <f>IF(ISBLANK('In Process Calc.'!AX17),"",'In Process Calc.'!AX17)</f>
        <v>9.361284852842205E-6</v>
      </c>
      <c r="DH24" s="243">
        <f>IF(ISBLANK('In Process Calc.'!AY17),"",'In Process Calc.'!AY17)</f>
        <v>-2.7779842072218344E-5</v>
      </c>
      <c r="DI24" s="243">
        <f>IF(ISBLANK('In Process Calc.'!AZ17),"",'In Process Calc.'!AZ17)</f>
        <v>-5.2931836484881303E-4</v>
      </c>
      <c r="DJ24" s="243">
        <f>IF(ISBLANK('In Process Calc.'!BA17),"",'In Process Calc.'!BA17)</f>
        <v>3.9810151286534236E-2</v>
      </c>
      <c r="DK24" s="243">
        <f>IF(ISBLANK('In Process Calc.'!BB17),"",'In Process Calc.'!BB17)</f>
        <v>7.3535095487783746E-4</v>
      </c>
      <c r="DL24" s="243">
        <f>IF(ISBLANK('In Process Calc.'!BC17),"",'In Process Calc.'!BC17)</f>
        <v>8.4310804977109075E-4</v>
      </c>
      <c r="DM24" s="243">
        <f>IF(ISBLANK('In Process Calc.'!BD17),"",'In Process Calc.'!BD17)</f>
        <v>-2.1247685076969951E-3</v>
      </c>
      <c r="DN24" s="243">
        <f>IF(ISBLANK('In Process Calc.'!BE17),"",'In Process Calc.'!BE17)</f>
        <v>1.3828277175878081E-4</v>
      </c>
      <c r="DO24" s="243">
        <f>IF(ISBLANK('In Process Calc.'!BF17),"",'In Process Calc.'!BF17)</f>
        <v>-6.2358083907438387E-6</v>
      </c>
      <c r="DP24" s="243">
        <f>IF(ISBLANK('In Process Calc.'!BG17),"",'In Process Calc.'!BG17)</f>
        <v>5.5544633826823961E-3</v>
      </c>
      <c r="DQ24" s="243">
        <f>IF(ISBLANK('In Process Calc.'!BH17),"",'In Process Calc.'!BH17)</f>
        <v>5.3027041379117483E-4</v>
      </c>
      <c r="DR24" s="243">
        <f>IF(ISBLANK('In Process Calc.'!BI17),"",'In Process Calc.'!BI17)</f>
        <v>1.0807103546260056E-3</v>
      </c>
      <c r="DS24" s="243">
        <f>IF(ISBLANK('In Process Calc.'!BJ17),"",'In Process Calc.'!BJ17)</f>
        <v>-3.2043289995980335E-4</v>
      </c>
      <c r="DT24" s="243">
        <f>IF(ISBLANK('In Process Calc.'!BK17),"",'In Process Calc.'!BK17)</f>
        <v>-2.1679885755613794E-3</v>
      </c>
      <c r="DU24" s="243">
        <f>IF(ISBLANK('In Process Calc.'!BL17),"",'In Process Calc.'!BL17)</f>
        <v>4.886839923592144E-4</v>
      </c>
      <c r="DV24" s="243">
        <f>IF(ISBLANK('In Process Calc.'!BM17),"",'In Process Calc.'!BM17)</f>
        <v>-1.0861540665233636E-3</v>
      </c>
      <c r="DW24" s="243">
        <f>IF(ISBLANK('In Process Calc.'!BN17),"",'In Process Calc.'!BN17)</f>
        <v>-7.203558100965326E-4</v>
      </c>
      <c r="DX24" s="243">
        <f>IF(ISBLANK('In Process Calc.'!BO17),"",'In Process Calc.'!BO17)</f>
        <v>-5.6548743708979214E-4</v>
      </c>
      <c r="DY24" s="243">
        <f>IF(ISBLANK('In Process Calc.'!BP17),"",'In Process Calc.'!BP17)</f>
        <v>3.2064118403713881E-4</v>
      </c>
      <c r="DZ24" s="243">
        <f>IF(ISBLANK('In Process Calc.'!BQ17),"",'In Process Calc.'!BQ17)</f>
        <v>-4.2323520832574348E-4</v>
      </c>
      <c r="EA24" s="243">
        <f>IF(ISBLANK('In Process Calc.'!BR17),"",'In Process Calc.'!BR17)</f>
        <v>1.5992501119574862E-3</v>
      </c>
      <c r="EB24" s="243">
        <f>IF(ISBLANK('In Process Calc.'!BS17),"",'In Process Calc.'!BS17)</f>
        <v>0</v>
      </c>
      <c r="EC24" s="243">
        <f>IF(ISBLANK('In Process Calc.'!BT17),"",'In Process Calc.'!BT17)</f>
        <v>7.8797302956278743E-3</v>
      </c>
      <c r="ED24" s="243">
        <f>IF(ISBLANK('In Process Calc.'!BU17),"",'In Process Calc.'!BU17)</f>
        <v>4.4175848718938891E-3</v>
      </c>
      <c r="EE24" s="243">
        <f>IF(ISBLANK('In Process Calc.'!BV17),"",'In Process Calc.'!BV17)</f>
        <v>1.6706271207770129E-2</v>
      </c>
      <c r="EF24" s="243">
        <f>IF(ISBLANK('In Process Calc.'!BW17),"",'In Process Calc.'!BW17)</f>
        <v>3.9545321516886625E-2</v>
      </c>
      <c r="EG24" s="243">
        <f>IF(ISBLANK('In Process Calc.'!BX17),"",'In Process Calc.'!BX17)</f>
        <v>0.13952379489100789</v>
      </c>
      <c r="EH24" s="243">
        <f>IF(ISBLANK('In Process Calc.'!BY17),"",'In Process Calc.'!BY17)</f>
        <v>0</v>
      </c>
      <c r="EI24" s="243">
        <f>IF(ISBLANK('In Process Calc.'!BZ17),"",'In Process Calc.'!BZ17)</f>
        <v>1.8471443365917817E-2</v>
      </c>
      <c r="EJ24" s="243">
        <f>IF(ISBLANK('In Process Calc.'!CA17),"",'In Process Calc.'!CA17)</f>
        <v>-2.9482365681044684</v>
      </c>
      <c r="EK24" s="243">
        <f>IF(ISBLANK('Post Process Calc.'!A24),"",'Post Process Calc.'!A24)</f>
        <v>3.365450008010864</v>
      </c>
      <c r="EL24" s="243">
        <f>IF(ISBLANK('Post Process Calc.'!C24),"",'Post Process Calc.'!C24)</f>
        <v>7.1390025950854183E-2</v>
      </c>
      <c r="EM24" s="243">
        <f>IF(ISBLANK('Post Process Calc.'!D24),"",'Post Process Calc.'!D24)</f>
        <v>2.7446987826710532E-2</v>
      </c>
      <c r="EN24" s="243">
        <f>IF(ISBLANK('Post Process Calc.'!E24),"",'Post Process Calc.'!E24)</f>
        <v>-4.7602498468785771E-3</v>
      </c>
      <c r="EO24" s="243">
        <f>IF(ISBLANK('Post Process Calc.'!F24),"",'Post Process Calc.'!F24)</f>
        <v>2.9977965914798912E-3</v>
      </c>
      <c r="EP24" s="243">
        <f>IF(ISBLANK('Post Process Calc.'!G24),"",'Post Process Calc.'!G24)</f>
        <v>-4.221465410686521E-3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XB50</v>
      </c>
      <c r="B25" s="238">
        <f>IF(ISBLANK('Measured Data'!A19),"",'Measured Data'!A19)</f>
        <v>12</v>
      </c>
      <c r="C25" s="245">
        <f>IF(ISBLANK('Measured Data'!B19),"",'Measured Data'!B19)</f>
        <v>11.871527777781012</v>
      </c>
      <c r="D25" s="246">
        <f>IF(ISBLANK('Measured Data'!C19),"",'Measured Data'!C19)</f>
        <v>284.91666666674428</v>
      </c>
      <c r="E25" s="238">
        <f>IF(ISBLANK('Measured Data'!D19),"",'Measured Data'!D19)</f>
        <v>20</v>
      </c>
      <c r="F25" s="238" t="str">
        <f>IF(ISBLANK('Measured Data'!E19),"",'Measured Data'!E19)</f>
        <v/>
      </c>
      <c r="G25" s="238" t="str">
        <f>IF(ISBLANK('Measured Data'!G19),"",'Measured Data'!G19)</f>
        <v/>
      </c>
      <c r="H25" s="238">
        <f>IF(ISBLANK('Measured Data'!H19),"",'Measured Data'!H19)</f>
        <v>14.457500321960449</v>
      </c>
      <c r="I25" s="238">
        <f>IF(ISBLANK('Measured Data'!I19),"",'Measured Data'!I19)</f>
        <v>0.73796771021654628</v>
      </c>
      <c r="J25" s="238">
        <f>IF(ISBLANK('Measured Data'!J19),"",'Measured Data'!J19)</f>
        <v>15.195468032176995</v>
      </c>
      <c r="K25" s="238">
        <f>IF(ISBLANK('Measured Data'!K19),"",'Measured Data'!K19)</f>
        <v>95.143501281738281</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396</v>
      </c>
      <c r="S25" s="238">
        <f>IF(ISBLANK('Measured Data'!S19),"",'Measured Data'!S19)</f>
        <v>2174.88</v>
      </c>
      <c r="T25" s="238">
        <f>IF(ISBLANK('Measured Data'!U19),"",'Measured Data'!U19)</f>
        <v>3.782</v>
      </c>
      <c r="U25" s="238">
        <f>IF(ISBLANK('Measured Data'!V19),"",'Measured Data'!V19)</f>
        <v>1.83</v>
      </c>
      <c r="V25" s="238">
        <f>IF(ISBLANK('Measured Data'!W19),"",'Measured Data'!W19)</f>
        <v>7.5999999999999998E-2</v>
      </c>
      <c r="W25" s="238">
        <f>IF(ISBLANK('Measured Data'!X19),"",'Measured Data'!X19)</f>
        <v>2.4289999999999998</v>
      </c>
      <c r="X25" s="238">
        <f>IF(ISBLANK('Measured Data'!Y19),"",'Measured Data'!Y19)</f>
        <v>0.115</v>
      </c>
      <c r="Y25" s="238">
        <f>IF(ISBLANK('Measured Data'!Z19),"",'Measured Data'!Z19)</f>
        <v>7.2714758320566615</v>
      </c>
      <c r="Z25" s="238">
        <f>IF(ISBLANK('Measured Data'!AA19),"",'Measured Data'!AA19)</f>
        <v>2.4260000000000002</v>
      </c>
      <c r="AA25" s="238">
        <f>IF(ISBLANK('Measured Data'!AB19),"",'Measured Data'!AB19)</f>
        <v>4.9569999999999999</v>
      </c>
      <c r="AB25" s="238">
        <f>IF(ISBLANK('Measured Data'!AC19),"",'Measured Data'!AC19)</f>
        <v>0.126</v>
      </c>
      <c r="AC25" s="238">
        <f>IF(ISBLANK('Measured Data'!AD19),"",'Measured Data'!AD19)</f>
        <v>0.60699999999999998</v>
      </c>
      <c r="AD25" s="238">
        <f>IF(ISBLANK('Measured Data'!AE19),"",'Measured Data'!AE19)</f>
        <v>2.4630000000000001</v>
      </c>
      <c r="AE25" s="238">
        <f>IF(ISBLANK('Measured Data'!AF19),"",'Measured Data'!AF19)</f>
        <v>3.4413854351687392</v>
      </c>
      <c r="AF25" s="238">
        <f>IF(ISBLANK('Measured Data'!AG19),"",'Measured Data'!AG19)</f>
        <v>1.2569999999999999</v>
      </c>
      <c r="AG25" s="238">
        <f>IF(ISBLANK('Measured Data'!AH19),"",'Measured Data'!AH19)</f>
        <v>2.0619999999999998</v>
      </c>
      <c r="AH25" s="238">
        <f>IF(ISBLANK('Measured Data'!AI19),"",'Measured Data'!AI19)</f>
        <v>6.7000000000000004E-2</v>
      </c>
      <c r="AI25" s="238">
        <f>IF(ISBLANK('Measured Data'!AJ19),"",'Measured Data'!AJ19)</f>
        <v>10.91</v>
      </c>
      <c r="AJ25" s="238">
        <f>IF(ISBLANK('Measured Data'!AK19),"",'Measured Data'!AK19)</f>
        <v>0.54200000000000004</v>
      </c>
      <c r="AK25" s="238">
        <f>IF(ISBLANK('Measured Data'!AL19),"",'Measured Data'!AL19)</f>
        <v>2.4889999999999999</v>
      </c>
      <c r="AL25" s="238">
        <f>IF(ISBLANK('Measured Data'!AM19),"",'Measured Data'!AM19)</f>
        <v>0.48199999999999998</v>
      </c>
      <c r="AM25" s="238">
        <f>IF(ISBLANK('Measured Data'!AN19),"",'Measured Data'!AN19)</f>
        <v>9.2999999999999999E-2</v>
      </c>
      <c r="AN25" s="238">
        <f>IF(ISBLANK('Measured Data'!AO19),"",'Measured Data'!AO19)</f>
        <v>0.86399999999999999</v>
      </c>
      <c r="AO25" s="238">
        <f>IF(ISBLANK('Measured Data'!AP19),"",'Measured Data'!AP19)</f>
        <v>0.06</v>
      </c>
      <c r="AP25" s="238">
        <f>IF(ISBLANK('Measured Data'!AQ19),"",'Measured Data'!AQ19)</f>
        <v>3.2240000000000002</v>
      </c>
      <c r="AQ25" s="238">
        <f>IF(ISBLANK('Measured Data'!AR19),"",'Measured Data'!AR19)</f>
        <v>0</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t="str">
        <f>IF(ISBLANK('Measured Data'!BP19),"",'Measured Data'!BP19)</f>
        <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5.2894500328063963</v>
      </c>
      <c r="EL25" s="243">
        <f>IF(ISBLANK('Post Process Calc.'!C25),"",'Post Process Calc.'!C25)</f>
        <v>5.6083032292987202E-2</v>
      </c>
      <c r="EM25" s="243">
        <f>IF(ISBLANK('Post Process Calc.'!D25),"",'Post Process Calc.'!D25)</f>
        <v>1.2622392982086726E-2</v>
      </c>
      <c r="EN25" s="243">
        <f>IF(ISBLANK('Post Process Calc.'!E25),"",'Post Process Calc.'!E25)</f>
        <v>-5.9778023863321372E-3</v>
      </c>
      <c r="EO25" s="243">
        <f>IF(ISBLANK('Post Process Calc.'!F25),"",'Post Process Calc.'!F25)</f>
        <v>4.0465603951615999E-3</v>
      </c>
      <c r="EP25" s="243">
        <f>IF(ISBLANK('Post Process Calc.'!G25),"",'Post Process Calc.'!G25)</f>
        <v>-2.547840897639867E-3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7.9951501918792722</v>
      </c>
      <c r="EL26" s="243">
        <f>IF(ISBLANK('Post Process Calc.'!C26),"",'Post Process Calc.'!C26)</f>
        <v>4.4434012533676057E-2</v>
      </c>
      <c r="EM26" s="243">
        <f>IF(ISBLANK('Post Process Calc.'!D26),"",'Post Process Calc.'!D26)</f>
        <v>3.3292085502942058E-3</v>
      </c>
      <c r="EN26" s="243">
        <f>IF(ISBLANK('Post Process Calc.'!E26),"",'Post Process Calc.'!E26)</f>
        <v>-5.8790187776064391E-3</v>
      </c>
      <c r="EO26" s="243">
        <f>IF(ISBLANK('Post Process Calc.'!F26),"",'Post Process Calc.'!F26)</f>
        <v>4.3137949991245341E-3</v>
      </c>
      <c r="EP26" s="243">
        <f>IF(ISBLANK('Post Process Calc.'!G26),"",'Post Process Calc.'!G26)</f>
        <v>-1.2852282678583935E-3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10.724650247192383</v>
      </c>
      <c r="EL27" s="243">
        <f>IF(ISBLANK('Post Process Calc.'!C27),"",'Post Process Calc.'!C27)</f>
        <v>3.8333657341907759E-2</v>
      </c>
      <c r="EM27" s="243">
        <f>IF(ISBLANK('Post Process Calc.'!D27),"",'Post Process Calc.'!D27)</f>
        <v>-1.7208527208989754E-3</v>
      </c>
      <c r="EN27" s="243">
        <f>IF(ISBLANK('Post Process Calc.'!E27),"",'Post Process Calc.'!E27)</f>
        <v>-4.8486266753161615E-3</v>
      </c>
      <c r="EO27" s="243">
        <f>IF(ISBLANK('Post Process Calc.'!F27),"",'Post Process Calc.'!F27)</f>
        <v>4.2431568526381368E-3</v>
      </c>
      <c r="EP27" s="243">
        <f>IF(ISBLANK('Post Process Calc.'!G27),"",'Post Process Calc.'!G27)</f>
        <v>-5.2406622778602887E-4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13.233850343322754</v>
      </c>
      <c r="EL28" s="243">
        <f>IF(ISBLANK('Post Process Calc.'!C28),"",'Post Process Calc.'!C28)</f>
        <v>3.5178794970848686E-2</v>
      </c>
      <c r="EM28" s="243">
        <f>IF(ISBLANK('Post Process Calc.'!D28),"",'Post Process Calc.'!D28)</f>
        <v>-4.6124712350458638E-3</v>
      </c>
      <c r="EN28" s="243">
        <f>IF(ISBLANK('Post Process Calc.'!E28),"",'Post Process Calc.'!E28)</f>
        <v>-3.0764671126485782E-3</v>
      </c>
      <c r="EO28" s="243">
        <f>IF(ISBLANK('Post Process Calc.'!F28),"",'Post Process Calc.'!F28)</f>
        <v>3.967046310082694E-3</v>
      </c>
      <c r="EP28" s="243">
        <f>IF(ISBLANK('Post Process Calc.'!G28),"",'Post Process Calc.'!G28)</f>
        <v>-3.4304008925336641E-5</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XB50</v>
      </c>
      <c r="B29" s="238">
        <f>IF(ISBLANK('Measured Data'!A20),"",'Measured Data'!A20)</f>
        <v>13</v>
      </c>
      <c r="C29" s="245">
        <f>IF(ISBLANK('Measured Data'!B20),"",'Measured Data'!B20)</f>
        <v>12.864583333335759</v>
      </c>
      <c r="D29" s="246">
        <f>IF(ISBLANK('Measured Data'!C20),"",'Measured Data'!C20)</f>
        <v>308.75000000005821</v>
      </c>
      <c r="E29" s="238">
        <f>IF(ISBLANK('Measured Data'!D20),"",'Measured Data'!D20)</f>
        <v>20</v>
      </c>
      <c r="F29" s="238" t="str">
        <f>IF(ISBLANK('Measured Data'!E20),"",'Measured Data'!E20)</f>
        <v/>
      </c>
      <c r="G29" s="238" t="str">
        <f>IF(ISBLANK('Measured Data'!G20),"",'Measured Data'!G20)</f>
        <v/>
      </c>
      <c r="H29" s="238">
        <f>IF(ISBLANK('Measured Data'!H20),"",'Measured Data'!H20)</f>
        <v>13.934400422668457</v>
      </c>
      <c r="I29" s="238">
        <f>IF(ISBLANK('Measured Data'!I20),"",'Measured Data'!I20)</f>
        <v>1.1412409589211983</v>
      </c>
      <c r="J29" s="238">
        <f>IF(ISBLANK('Measured Data'!J20),"",'Measured Data'!J20)</f>
        <v>15.075641381589655</v>
      </c>
      <c r="K29" s="238">
        <f>IF(ISBLANK('Measured Data'!K20),"",'Measured Data'!K20)</f>
        <v>92.429901123046875</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425</v>
      </c>
      <c r="S29" s="238">
        <f>IF(ISBLANK('Measured Data'!S20),"",'Measured Data'!S20)</f>
        <v>2489.4699999999998</v>
      </c>
      <c r="T29" s="238">
        <f>IF(ISBLANK('Measured Data'!U20),"",'Measured Data'!U20)</f>
        <v>2.6720000000000002</v>
      </c>
      <c r="U29" s="238">
        <f>IF(ISBLANK('Measured Data'!V20),"",'Measured Data'!V20)</f>
        <v>1.5760000000000001</v>
      </c>
      <c r="V29" s="238">
        <f>IF(ISBLANK('Measured Data'!W20),"",'Measured Data'!W20)</f>
        <v>7.4999999999999997E-2</v>
      </c>
      <c r="W29" s="238">
        <f>IF(ISBLANK('Measured Data'!X20),"",'Measured Data'!X20)</f>
        <v>2.351</v>
      </c>
      <c r="X29" s="238">
        <f>IF(ISBLANK('Measured Data'!Y20),"",'Measured Data'!Y20)</f>
        <v>0.221</v>
      </c>
      <c r="Y29" s="238">
        <f>IF(ISBLANK('Measured Data'!Z20),"",'Measured Data'!Z20)</f>
        <v>11.878594107329203</v>
      </c>
      <c r="Z29" s="238">
        <f>IF(ISBLANK('Measured Data'!AA20),"",'Measured Data'!AA20)</f>
        <v>2.2829999999999999</v>
      </c>
      <c r="AA29" s="238">
        <f>IF(ISBLANK('Measured Data'!AB20),"",'Measured Data'!AB20)</f>
        <v>3.589</v>
      </c>
      <c r="AB29" s="238">
        <f>IF(ISBLANK('Measured Data'!AC20),"",'Measured Data'!AC20)</f>
        <v>0.49</v>
      </c>
      <c r="AC29" s="238">
        <f>IF(ISBLANK('Measured Data'!AD20),"",'Measured Data'!AD20)</f>
        <v>0.53900000000000003</v>
      </c>
      <c r="AD29" s="238">
        <f>IF(ISBLANK('Measured Data'!AE20),"",'Measured Data'!AE20)</f>
        <v>2.444</v>
      </c>
      <c r="AE29" s="238">
        <f>IF(ISBLANK('Measured Data'!AF20),"",'Measured Data'!AF20)</f>
        <v>2.4422735346358793</v>
      </c>
      <c r="AF29" s="238">
        <f>IF(ISBLANK('Measured Data'!AG20),"",'Measured Data'!AG20)</f>
        <v>0.871</v>
      </c>
      <c r="AG29" s="238">
        <f>IF(ISBLANK('Measured Data'!AH20),"",'Measured Data'!AH20)</f>
        <v>1.458</v>
      </c>
      <c r="AH29" s="238">
        <f>IF(ISBLANK('Measured Data'!AI20),"",'Measured Data'!AI20)</f>
        <v>0.184</v>
      </c>
      <c r="AI29" s="238">
        <f>IF(ISBLANK('Measured Data'!AJ20),"",'Measured Data'!AJ20)</f>
        <v>11.9</v>
      </c>
      <c r="AJ29" s="238">
        <f>IF(ISBLANK('Measured Data'!AK20),"",'Measured Data'!AK20)</f>
        <v>0.26600000000000001</v>
      </c>
      <c r="AK29" s="238">
        <f>IF(ISBLANK('Measured Data'!AL20),"",'Measured Data'!AL20)</f>
        <v>2.8650000000000002</v>
      </c>
      <c r="AL29" s="238">
        <f>IF(ISBLANK('Measured Data'!AM20),"",'Measured Data'!AM20)</f>
        <v>0.999</v>
      </c>
      <c r="AM29" s="238">
        <f>IF(ISBLANK('Measured Data'!AN20),"",'Measured Data'!AN20)</f>
        <v>0.27100000000000002</v>
      </c>
      <c r="AN29" s="238">
        <f>IF(ISBLANK('Measured Data'!AO20),"",'Measured Data'!AO20)</f>
        <v>0.70399999999999996</v>
      </c>
      <c r="AO29" s="238">
        <f>IF(ISBLANK('Measured Data'!AP20),"",'Measured Data'!AP20)</f>
        <v>0.23699999999999999</v>
      </c>
      <c r="AP29" s="238">
        <f>IF(ISBLANK('Measured Data'!AQ20),"",'Measured Data'!AQ20)</f>
        <v>2.4350000000000001</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14.780900342559814</v>
      </c>
      <c r="EL29" s="243">
        <f>IF(ISBLANK('Post Process Calc.'!C29),"",'Post Process Calc.'!C29)</f>
        <v>3.5112543937471381E-2</v>
      </c>
      <c r="EM29" s="243">
        <f>IF(ISBLANK('Post Process Calc.'!D29),"",'Post Process Calc.'!D29)</f>
        <v>-6.3486445780171772E-3</v>
      </c>
      <c r="EN29" s="243">
        <f>IF(ISBLANK('Post Process Calc.'!E29),"",'Post Process Calc.'!E29)</f>
        <v>-7.3909260901879319E-4</v>
      </c>
      <c r="EO29" s="243">
        <f>IF(ISBLANK('Post Process Calc.'!F29),"",'Post Process Calc.'!F29)</f>
        <v>3.6323570338097954E-3</v>
      </c>
      <c r="EP29" s="243">
        <f>IF(ISBLANK('Post Process Calc.'!G29),"",'Post Process Calc.'!G29)</f>
        <v>3.0244009854577393E-4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XB50</v>
      </c>
      <c r="B30" s="238">
        <f>IF(ISBLANK('Measured Data'!A21),"",'Measured Data'!A21)</f>
        <v>14</v>
      </c>
      <c r="C30" s="245">
        <f>IF(ISBLANK('Measured Data'!B21),"",'Measured Data'!B21)</f>
        <v>13.879166666665697</v>
      </c>
      <c r="D30" s="246">
        <f>IF(ISBLANK('Measured Data'!C21),"",'Measured Data'!C21)</f>
        <v>333.09999999997672</v>
      </c>
      <c r="E30" s="238">
        <f>IF(ISBLANK('Measured Data'!D21),"",'Measured Data'!D21)</f>
        <v>20</v>
      </c>
      <c r="F30" s="238" t="str">
        <f>IF(ISBLANK('Measured Data'!E21),"",'Measured Data'!E21)</f>
        <v/>
      </c>
      <c r="G30" s="238" t="str">
        <f>IF(ISBLANK('Measured Data'!G21),"",'Measured Data'!G21)</f>
        <v/>
      </c>
      <c r="H30" s="238">
        <f>IF(ISBLANK('Measured Data'!H21),"",'Measured Data'!H21)</f>
        <v>13.162699563598633</v>
      </c>
      <c r="I30" s="238">
        <f>IF(ISBLANK('Measured Data'!I21),"",'Measured Data'!I21)</f>
        <v>1.918113984665073</v>
      </c>
      <c r="J30" s="238">
        <f>IF(ISBLANK('Measured Data'!J21),"",'Measured Data'!J21)</f>
        <v>15.080813548263706</v>
      </c>
      <c r="K30" s="238">
        <f>IF(ISBLANK('Measured Data'!K21),"",'Measured Data'!K21)</f>
        <v>87.281097412109375</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431</v>
      </c>
      <c r="S30" s="238">
        <f>IF(ISBLANK('Measured Data'!S21),"",'Measured Data'!S21)</f>
        <v>2723.92</v>
      </c>
      <c r="T30" s="238">
        <f>IF(ISBLANK('Measured Data'!U21),"",'Measured Data'!U21)</f>
        <v>2.2480000000000002</v>
      </c>
      <c r="U30" s="238">
        <f>IF(ISBLANK('Measured Data'!V21),"",'Measured Data'!V21)</f>
        <v>1.3819999999999999</v>
      </c>
      <c r="V30" s="238">
        <f>IF(ISBLANK('Measured Data'!W21),"",'Measured Data'!W21)</f>
        <v>7.1999999999999995E-2</v>
      </c>
      <c r="W30" s="238">
        <f>IF(ISBLANK('Measured Data'!X21),"",'Measured Data'!X21)</f>
        <v>2.363</v>
      </c>
      <c r="X30" s="238">
        <f>IF(ISBLANK('Measured Data'!Y21),"",'Measured Data'!Y21)</f>
        <v>0.39600000000000002</v>
      </c>
      <c r="Y30" s="238">
        <f>IF(ISBLANK('Measured Data'!Z21),"",'Measured Data'!Z21)</f>
        <v>11.823086658229533</v>
      </c>
      <c r="Z30" s="238">
        <f>IF(ISBLANK('Measured Data'!AA21),"",'Measured Data'!AA21)</f>
        <v>2.0430000000000001</v>
      </c>
      <c r="AA30" s="238">
        <f>IF(ISBLANK('Measured Data'!AB21),"",'Measured Data'!AB21)</f>
        <v>3.3149999999999999</v>
      </c>
      <c r="AB30" s="238">
        <f>IF(ISBLANK('Measured Data'!AC21),"",'Measured Data'!AC21)</f>
        <v>1.1919999999999999</v>
      </c>
      <c r="AC30" s="238">
        <f>IF(ISBLANK('Measured Data'!AD21),"",'Measured Data'!AD21)</f>
        <v>0.49399999999999999</v>
      </c>
      <c r="AD30" s="238">
        <f>IF(ISBLANK('Measured Data'!AE21),"",'Measured Data'!AE21)</f>
        <v>2.4489999999999998</v>
      </c>
      <c r="AE30" s="238">
        <f>IF(ISBLANK('Measured Data'!AF21),"",'Measured Data'!AF21)</f>
        <v>4.6625222024866781</v>
      </c>
      <c r="AF30" s="238">
        <f>IF(ISBLANK('Measured Data'!AG21),"",'Measured Data'!AG21)</f>
        <v>0.69699999999999995</v>
      </c>
      <c r="AG30" s="238">
        <f>IF(ISBLANK('Measured Data'!AH21),"",'Measured Data'!AH21)</f>
        <v>1.103</v>
      </c>
      <c r="AH30" s="238">
        <f>IF(ISBLANK('Measured Data'!AI21),"",'Measured Data'!AI21)</f>
        <v>0.28999999999999998</v>
      </c>
      <c r="AI30" s="238">
        <f>IF(ISBLANK('Measured Data'!AJ21),"",'Measured Data'!AJ21)</f>
        <v>12.63</v>
      </c>
      <c r="AJ30" s="238">
        <f>IF(ISBLANK('Measured Data'!AK21),"",'Measured Data'!AK21)</f>
        <v>0.105</v>
      </c>
      <c r="AK30" s="238">
        <f>IF(ISBLANK('Measured Data'!AL21),"",'Measured Data'!AL21)</f>
        <v>3.2269999999999999</v>
      </c>
      <c r="AL30" s="238">
        <f>IF(ISBLANK('Measured Data'!AM21),"",'Measured Data'!AM21)</f>
        <v>1.238</v>
      </c>
      <c r="AM30" s="238">
        <f>IF(ISBLANK('Measured Data'!AN21),"",'Measured Data'!AN21)</f>
        <v>0.45800000000000002</v>
      </c>
      <c r="AN30" s="238">
        <f>IF(ISBLANK('Measured Data'!AO21),"",'Measured Data'!AO21)</f>
        <v>0.59899999999999998</v>
      </c>
      <c r="AO30" s="238">
        <f>IF(ISBLANK('Measured Data'!AP21),"",'Measured Data'!AP21)</f>
        <v>0.377</v>
      </c>
      <c r="AP30" s="238">
        <f>IF(ISBLANK('Measured Data'!AQ21),"",'Measured Data'!AQ21)</f>
        <v>1.91</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15.395500047302246</v>
      </c>
      <c r="EL30" s="243">
        <f>IF(ISBLANK('Post Process Calc.'!C30),"",'Post Process Calc.'!C30)</f>
        <v>3.704314696601755E-2</v>
      </c>
      <c r="EM30" s="243">
        <f>IF(ISBLANK('Post Process Calc.'!D30),"",'Post Process Calc.'!D30)</f>
        <v>-6.7497745704583811E-3</v>
      </c>
      <c r="EN30" s="243">
        <f>IF(ISBLANK('Post Process Calc.'!E30),"",'Post Process Calc.'!E30)</f>
        <v>2.0918688210202433E-3</v>
      </c>
      <c r="EO30" s="243">
        <f>IF(ISBLANK('Post Process Calc.'!F30),"",'Post Process Calc.'!F30)</f>
        <v>2.9216592443821444E-3</v>
      </c>
      <c r="EP30" s="243">
        <f>IF(ISBLANK('Post Process Calc.'!G30),"",'Post Process Calc.'!G30)</f>
        <v>5.3087905010688018E-4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15.070050103759765</v>
      </c>
      <c r="EL31" s="243">
        <f>IF(ISBLANK('Post Process Calc.'!C31),"",'Post Process Calc.'!C31)</f>
        <v>4.0987311746449075E-2</v>
      </c>
      <c r="EM31" s="243">
        <f>IF(ISBLANK('Post Process Calc.'!D31),"",'Post Process Calc.'!D31)</f>
        <v>-5.258941973475104E-3</v>
      </c>
      <c r="EN31" s="243">
        <f>IF(ISBLANK('Post Process Calc.'!E31),"",'Post Process Calc.'!E31)</f>
        <v>4.5778928441207985E-3</v>
      </c>
      <c r="EO31" s="243">
        <f>IF(ISBLANK('Post Process Calc.'!F31),"",'Post Process Calc.'!F31)</f>
        <v>1.6025433594633494E-3</v>
      </c>
      <c r="EP31" s="243">
        <f>IF(ISBLANK('Post Process Calc.'!G31),"",'Post Process Calc.'!G31)</f>
        <v>6.3656338977181968E-4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14.195950372314453</v>
      </c>
      <c r="EL32" s="243">
        <f>IF(ISBLANK('Post Process Calc.'!C32),"",'Post Process Calc.'!C32)</f>
        <v>4.6744666543993868E-2</v>
      </c>
      <c r="EM32" s="243">
        <f>IF(ISBLANK('Post Process Calc.'!D32),"",'Post Process Calc.'!D32)</f>
        <v>-4.6880977643818836E-4</v>
      </c>
      <c r="EN32" s="243">
        <f>IF(ISBLANK('Post Process Calc.'!E32),"",'Post Process Calc.'!E32)</f>
        <v>4.9341781718456254E-3</v>
      </c>
      <c r="EO32" s="243">
        <f>IF(ISBLANK('Post Process Calc.'!F32),"",'Post Process Calc.'!F32)</f>
        <v>-8.4931508461067926E-4</v>
      </c>
      <c r="EP32" s="243">
        <f>IF(ISBLANK('Post Process Calc.'!G32),"",'Post Process Calc.'!G32)</f>
        <v>5.5922984321057673E-4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13.548549993133545</v>
      </c>
      <c r="EL33" s="243">
        <f>IF(ISBLANK('Post Process Calc.'!C33),"",'Post Process Calc.'!C33)</f>
        <v>5.2335567084138945E-2</v>
      </c>
      <c r="EM33" s="243">
        <f>IF(ISBLANK('Post Process Calc.'!D33),"",'Post Process Calc.'!D33)</f>
        <v>9.8429248909746633E-3</v>
      </c>
      <c r="EN33" s="243">
        <f>IF(ISBLANK('Post Process Calc.'!E33),"",'Post Process Calc.'!E33)</f>
        <v>-1.3789976439136284E-3</v>
      </c>
      <c r="EO33" s="243">
        <f>IF(ISBLANK('Post Process Calc.'!F33),"",'Post Process Calc.'!F33)</f>
        <v>-5.0098020991669661E-3</v>
      </c>
      <c r="EP33" s="243">
        <f>IF(ISBLANK('Post Process Calc.'!G33),"",'Post Process Calc.'!G33)</f>
        <v>1.3931788620839654E-4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13.162699563598633</v>
      </c>
      <c r="EL34" s="243">
        <f>IF(ISBLANK('Post Process Calc.'!C34),"",'Post Process Calc.'!C34)</f>
        <v>-3.1736463330655734E-3</v>
      </c>
      <c r="EM34" s="243">
        <f>IF(ISBLANK('Post Process Calc.'!D34),"",'Post Process Calc.'!D34)</f>
        <v>-1.1018417584221781E-2</v>
      </c>
      <c r="EN34" s="243">
        <f>IF(ISBLANK('Post Process Calc.'!E34),"",'Post Process Calc.'!E34)</f>
        <v>8.2580978467444504E-4</v>
      </c>
      <c r="EO34" s="243">
        <f>IF(ISBLANK('Post Process Calc.'!F34),"",'Post Process Calc.'!F34)</f>
        <v>5.8660560658678447E-3</v>
      </c>
      <c r="EP34" s="243">
        <f>IF(ISBLANK('Post Process Calc.'!G34),"",'Post Process Calc.'!G34)</f>
        <v>5.5736543335243825E-3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112</v>
      </c>
      <c r="B2" s="240" t="str">
        <f>IF('Measured Data'!A6&lt;&gt;0,'Measured Data'!A6,"")</f>
        <v>SAMPLE #</v>
      </c>
      <c r="C2" s="240" t="str">
        <f>IF('Measured Data'!B6&lt;&gt;0,'Measured Data'!B6,"")</f>
        <v>Day</v>
      </c>
      <c r="D2" s="240" t="str">
        <f>IF('Measured Data'!C6&lt;&gt;0,'Measured Data'!C6,"")</f>
        <v>RUN TIME (HOURS)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2022-08-09T17:03:24Z</dcterms:modified>
</cp:coreProperties>
</file>