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My Drive\Work\Project\PATpy\CL3\"/>
    </mc:Choice>
  </mc:AlternateContent>
  <xr:revisionPtr revIDLastSave="0" documentId="13_ncr:1_{31110BC3-B0D5-4A77-B1FC-D956828885B5}" xr6:coauthVersionLast="47" xr6:coauthVersionMax="47" xr10:uidLastSave="{00000000-0000-0000-0000-000000000000}"/>
  <bookViews>
    <workbookView xWindow="-120" yWindow="-120" windowWidth="29040" windowHeight="1584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14" i="1506"/>
  <c r="A15" i="1506"/>
  <c r="A16" i="1495"/>
  <c r="A17" i="1495"/>
  <c r="H15" i="1504"/>
  <c r="I15" i="1504"/>
  <c r="L15" i="1504"/>
  <c r="H15" i="1506" s="1"/>
  <c r="M15" i="1504"/>
  <c r="I15" i="1506" s="1"/>
  <c r="N15" i="1504"/>
  <c r="J15" i="1506" s="1"/>
  <c r="O15" i="1504"/>
  <c r="P15" i="1504"/>
  <c r="L15" i="1506" s="1"/>
  <c r="AH15" i="1504"/>
  <c r="AK15" i="1504" a="1"/>
  <c r="AK15" i="1504" s="1"/>
  <c r="AL15" i="1504" a="1"/>
  <c r="AL15" i="1504" s="1"/>
  <c r="AM15" i="1504" a="1"/>
  <c r="AM15" i="1504" s="1"/>
  <c r="AN15" i="1504" a="1"/>
  <c r="AN15" i="1504" s="1"/>
  <c r="AO15" i="1504" a="1"/>
  <c r="AO15" i="1504" s="1"/>
  <c r="AP15" i="1504" a="1"/>
  <c r="AP15" i="1504"/>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H16" i="1504"/>
  <c r="I16" i="1504"/>
  <c r="L16" i="1504"/>
  <c r="M16" i="1504"/>
  <c r="N16" i="1504"/>
  <c r="O16" i="1504"/>
  <c r="P16" i="1504"/>
  <c r="AH16" i="1504"/>
  <c r="AK16" i="1504" a="1"/>
  <c r="AK16" i="1504" s="1"/>
  <c r="AL16" i="1504" a="1"/>
  <c r="AL16" i="1504" s="1"/>
  <c r="AM16" i="1504" a="1"/>
  <c r="AM16" i="1504"/>
  <c r="AN16" i="1504" a="1"/>
  <c r="AN16" i="1504" s="1"/>
  <c r="AO16" i="1504" a="1"/>
  <c r="AO16" i="1504" s="1"/>
  <c r="AP16" i="1504" a="1"/>
  <c r="AP16" i="1504" s="1"/>
  <c r="AQ16" i="1504" a="1"/>
  <c r="AQ16" i="1504" s="1"/>
  <c r="AR16" i="1504" a="1"/>
  <c r="AR16" i="1504"/>
  <c r="AS16" i="1504" a="1"/>
  <c r="AS16" i="1504"/>
  <c r="AT16" i="1504" a="1"/>
  <c r="AT16" i="1504" s="1"/>
  <c r="AU16" i="1504" a="1"/>
  <c r="AU16" i="1504" s="1"/>
  <c r="AV16" i="1504" a="1"/>
  <c r="AV16" i="1504" s="1"/>
  <c r="AW16" i="1504" a="1"/>
  <c r="AW16" i="1504" s="1"/>
  <c r="AX16" i="1504" a="1"/>
  <c r="AX16" i="1504" s="1"/>
  <c r="AY16" i="1504" a="1"/>
  <c r="AY16" i="1504" s="1"/>
  <c r="AZ16" i="1504" a="1"/>
  <c r="AZ16" i="1504" s="1"/>
  <c r="BA16" i="1504" a="1"/>
  <c r="BA16" i="1504"/>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c r="BP16" i="1504" a="1"/>
  <c r="BP16" i="1504" s="1"/>
  <c r="BQ16" i="1504" a="1"/>
  <c r="BQ16" i="1504"/>
  <c r="BR16" i="1504" a="1"/>
  <c r="BR16" i="1504" s="1"/>
  <c r="BS16" i="1504" a="1"/>
  <c r="BS16" i="1504" s="1"/>
  <c r="BT16" i="1504" a="1"/>
  <c r="BT16" i="1504" s="1"/>
  <c r="BU16" i="1504" a="1"/>
  <c r="BU16" i="1504" s="1"/>
  <c r="BV16" i="1504" a="1"/>
  <c r="BV16" i="1504" s="1"/>
  <c r="BW16" i="1504" a="1"/>
  <c r="BW16" i="1504"/>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A16" i="1504"/>
  <c r="F16" i="1504"/>
  <c r="F15" i="1504"/>
  <c r="A15" i="1504"/>
  <c r="E16" i="1504"/>
  <c r="E15" i="1504"/>
  <c r="K15" i="1506" l="1"/>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c r="BV6" i="1506" a="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4" i="1495" l="1"/>
  <c r="B6" i="1495"/>
  <c r="B8" i="1495"/>
  <c r="E4" i="7"/>
  <c r="E5" i="7"/>
  <c r="B5" i="1495" s="1"/>
  <c r="E6" i="7"/>
  <c r="E7" i="7"/>
  <c r="B7" i="1495" s="1"/>
  <c r="E8" i="7"/>
  <c r="E9" i="7"/>
  <c r="B9" i="1495" s="1"/>
  <c r="E10" i="7"/>
  <c r="B10" i="1495" s="1"/>
  <c r="E11" i="7"/>
  <c r="B11" i="1495" s="1"/>
  <c r="E12" i="7"/>
  <c r="B12" i="1495" s="1"/>
  <c r="E13" i="7"/>
  <c r="B13" i="1495" s="1"/>
  <c r="E14" i="7"/>
  <c r="B14" i="1495" s="1"/>
  <c r="E15" i="7"/>
  <c r="B15" i="1495" s="1"/>
  <c r="E16" i="7"/>
  <c r="B16" i="1495" s="1"/>
  <c r="E17" i="7"/>
  <c r="B17" i="1495" s="1"/>
  <c r="E3" i="7"/>
  <c r="B3" i="1495" s="1"/>
  <c r="J4" i="7"/>
  <c r="B21" i="1495" s="1"/>
  <c r="J5" i="7"/>
  <c r="B22" i="1495" s="1"/>
  <c r="J6" i="7"/>
  <c r="B23" i="1495" s="1"/>
  <c r="J7" i="7"/>
  <c r="B24" i="1495" s="1"/>
  <c r="J8" i="7"/>
  <c r="B25" i="1495" s="1"/>
  <c r="J9" i="7"/>
  <c r="B26" i="1495" s="1"/>
  <c r="J10" i="7"/>
  <c r="B27" i="1495" s="1"/>
  <c r="J11" i="7"/>
  <c r="B28" i="1495" s="1"/>
  <c r="J12" i="7"/>
  <c r="B29" i="1495" s="1"/>
  <c r="J13" i="7"/>
  <c r="J14" i="7"/>
  <c r="J15" i="7"/>
  <c r="B32" i="1495" s="1"/>
  <c r="J16" i="7"/>
  <c r="B33" i="1495" s="1"/>
  <c r="J17" i="7"/>
  <c r="B34" i="1495" s="1"/>
  <c r="J3" i="7"/>
  <c r="B20" i="1495" s="1"/>
  <c r="B31" i="1495" l="1"/>
  <c r="B30" i="1495"/>
  <c r="C15" i="1502"/>
  <c r="F15" i="1502"/>
  <c r="E15" i="1502" s="1"/>
  <c r="D15" i="1502" s="1"/>
  <c r="C16" i="1502"/>
  <c r="F16" i="1502"/>
  <c r="E16" i="1502" s="1"/>
  <c r="D16" i="1502" s="1"/>
  <c r="G16" i="7" l="1"/>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J271" i="1503" s="1"/>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J263" i="1503" s="1"/>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s="1"/>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J230" i="1503" s="1"/>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J225" i="1503" s="1"/>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R223" i="1503" s="1"/>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J193" i="1503" s="1"/>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J191" i="1503" s="1"/>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A184" i="1503"/>
  <c r="AJ184" i="1503" s="1"/>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J176" i="1503" s="1"/>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AJ173" i="1503" s="1"/>
  <c r="Y173" i="1503"/>
  <c r="W173" i="1503"/>
  <c r="S173" i="1503"/>
  <c r="R173" i="1503"/>
  <c r="Q173" i="1503"/>
  <c r="N173" i="1503"/>
  <c r="M173" i="1503"/>
  <c r="H173" i="1503"/>
  <c r="E173" i="1503"/>
  <c r="AB172" i="1503"/>
  <c r="AJ172" i="1503" s="1"/>
  <c r="AA172" i="1503"/>
  <c r="Y172" i="1503"/>
  <c r="W172" i="1503"/>
  <c r="S172" i="1503"/>
  <c r="Q172" i="1503"/>
  <c r="N172" i="1503"/>
  <c r="M172" i="1503"/>
  <c r="H172" i="1503"/>
  <c r="E172" i="1503"/>
  <c r="AB171" i="1503"/>
  <c r="AJ171" i="1503" s="1"/>
  <c r="AA171" i="1503"/>
  <c r="Y171" i="1503"/>
  <c r="W171" i="1503"/>
  <c r="S171" i="1503"/>
  <c r="R171" i="1503" s="1"/>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J110" i="1503" s="1"/>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J46" i="1503" s="1"/>
  <c r="AA46" i="1503"/>
  <c r="Y46" i="1503"/>
  <c r="W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J12" i="1503"/>
  <c r="AC12" i="1503"/>
  <c r="AB12" i="1503"/>
  <c r="AA12" i="1503"/>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N2" i="1503"/>
  <c r="M2" i="1503"/>
  <c r="E2" i="1503"/>
  <c r="AJ52" i="1503" l="1"/>
  <c r="R19" i="1503"/>
  <c r="R28" i="1503"/>
  <c r="R35" i="1503"/>
  <c r="T46" i="1503"/>
  <c r="AJ55" i="1503"/>
  <c r="AJ80" i="1503"/>
  <c r="R84" i="1503"/>
  <c r="R101" i="1503"/>
  <c r="R154" i="1503"/>
  <c r="R160" i="1503"/>
  <c r="AJ164" i="1503"/>
  <c r="R175" i="1503"/>
  <c r="AJ180" i="1503"/>
  <c r="R192" i="1503"/>
  <c r="R208" i="1503"/>
  <c r="R226" i="1503"/>
  <c r="AJ252" i="1503"/>
  <c r="AJ258" i="1503"/>
  <c r="A16" i="1502"/>
  <c r="J16" i="1504"/>
  <c r="R2" i="1503"/>
  <c r="R8" i="1503"/>
  <c r="R18" i="1503"/>
  <c r="R25" i="1503"/>
  <c r="R41" i="1503"/>
  <c r="AJ51" i="1503"/>
  <c r="R61" i="1503"/>
  <c r="R67" i="1503"/>
  <c r="AJ72" i="1503"/>
  <c r="AJ86" i="1503"/>
  <c r="R92" i="1503"/>
  <c r="R98" i="1503"/>
  <c r="AJ103" i="1503"/>
  <c r="AJ117" i="1503"/>
  <c r="R122" i="1503"/>
  <c r="AJ129" i="1503"/>
  <c r="R143" i="1503"/>
  <c r="AJ194" i="1503"/>
  <c r="R198" i="1503"/>
  <c r="R224" i="1503"/>
  <c r="AJ231" i="1503"/>
  <c r="AJ264" i="1503"/>
  <c r="A15" i="1502"/>
  <c r="J15" i="1504"/>
  <c r="R191" i="1503"/>
  <c r="AJ201" i="1503"/>
  <c r="AJ211" i="1503"/>
  <c r="AJ130" i="1503"/>
  <c r="R144" i="1503"/>
  <c r="AJ35" i="1503"/>
  <c r="AJ44" i="1503"/>
  <c r="T61" i="1503"/>
  <c r="AJ70" i="1503"/>
  <c r="AJ84" i="1503"/>
  <c r="AJ115" i="1503"/>
  <c r="AJ160" i="1503"/>
  <c r="R172" i="1503"/>
  <c r="AJ192" i="1503"/>
  <c r="AJ217" i="1503"/>
  <c r="AJ226" i="1503"/>
  <c r="AJ261" i="1503"/>
  <c r="AJ270" i="1503"/>
  <c r="AJ75" i="1503"/>
  <c r="AJ124" i="1503"/>
  <c r="AJ149" i="1503"/>
  <c r="AJ240" i="1503"/>
  <c r="R22" i="1503"/>
  <c r="R38" i="1503"/>
  <c r="R56" i="1503"/>
  <c r="R57" i="1503"/>
  <c r="AJ68" i="1503"/>
  <c r="AJ83" i="1503"/>
  <c r="AJ159" i="1503"/>
  <c r="R166" i="1503"/>
  <c r="AJ183" i="1503"/>
  <c r="R220" i="1503"/>
  <c r="AJ237" i="1503"/>
  <c r="R141" i="1503"/>
  <c r="R151" i="1503"/>
  <c r="R152" i="1503"/>
  <c r="R165" i="1503"/>
  <c r="R167" i="1503"/>
  <c r="R182" i="1503"/>
  <c r="AJ198" i="1503"/>
  <c r="AJ14" i="1503"/>
  <c r="AJ98" i="1503"/>
  <c r="AJ112" i="1503"/>
  <c r="R3" i="1503"/>
  <c r="R14" i="1503"/>
  <c r="R20" i="1503"/>
  <c r="R31" i="1503"/>
  <c r="R74" i="1503"/>
  <c r="AJ81" i="1503"/>
  <c r="R88" i="1503"/>
  <c r="AJ97" i="1503"/>
  <c r="R118" i="1503"/>
  <c r="R124" i="1503"/>
  <c r="R130" i="1503"/>
  <c r="R131" i="1503"/>
  <c r="AJ135" i="1503"/>
  <c r="R179" i="1503"/>
  <c r="R180" i="1503"/>
  <c r="AJ189" i="1503"/>
  <c r="R195" i="1503"/>
  <c r="R197" i="1503"/>
  <c r="R201" i="1503"/>
  <c r="R212" i="1503"/>
  <c r="AJ236" i="1503"/>
  <c r="T181" i="1503"/>
  <c r="AJ256" i="1503"/>
  <c r="AJ267" i="1503"/>
  <c r="AJ8" i="1503"/>
  <c r="AJ22" i="1503"/>
  <c r="AJ56" i="1503"/>
  <c r="R108" i="1503"/>
  <c r="AJ125" i="1503"/>
  <c r="R129" i="1503"/>
  <c r="R146" i="1503"/>
  <c r="R147" i="1503"/>
  <c r="R161" i="1503"/>
  <c r="R169" i="1503"/>
  <c r="R176" i="1503"/>
  <c r="AJ188" i="1503"/>
  <c r="R193" i="1503"/>
  <c r="AJ202" i="1503"/>
  <c r="AJ234" i="1503"/>
  <c r="AJ253" i="1503"/>
  <c r="R15" i="1502"/>
  <c r="F15" i="1506" s="1"/>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5" i="1502"/>
  <c r="H15" i="1502" s="1"/>
  <c r="I15" i="1502" s="1"/>
  <c r="AC240" i="1503"/>
  <c r="K16" i="1502" l="1"/>
  <c r="S15" i="1502"/>
  <c r="G15" i="1506" s="1"/>
  <c r="K15" i="1502"/>
  <c r="P3" i="1504"/>
  <c r="P4" i="1504"/>
  <c r="P5" i="1504"/>
  <c r="P6" i="1504"/>
  <c r="P7" i="1504"/>
  <c r="L7" i="1506" s="1"/>
  <c r="P8" i="1504"/>
  <c r="L8" i="1506" s="1"/>
  <c r="P9" i="1504"/>
  <c r="P10" i="1504"/>
  <c r="P11" i="1504"/>
  <c r="P12" i="1504"/>
  <c r="P13" i="1504"/>
  <c r="P14" i="1504"/>
  <c r="L14" i="1506" s="1"/>
  <c r="O3" i="1504"/>
  <c r="O4" i="1504"/>
  <c r="O5" i="1504"/>
  <c r="K5" i="1506" s="1"/>
  <c r="O6" i="1504"/>
  <c r="O7" i="1504"/>
  <c r="O8" i="1504"/>
  <c r="O9" i="1504"/>
  <c r="O10" i="1504"/>
  <c r="O11" i="1504"/>
  <c r="O12" i="1504"/>
  <c r="O13" i="1504"/>
  <c r="O14" i="1504"/>
  <c r="K14" i="1506" s="1"/>
  <c r="P2" i="1504"/>
  <c r="L2" i="1506" s="1"/>
  <c r="O2" i="1504"/>
  <c r="L3" i="1506" l="1"/>
  <c r="L11" i="1506"/>
  <c r="K13" i="1506"/>
  <c r="K9" i="1506"/>
  <c r="L4" i="1506"/>
  <c r="K7" i="1506"/>
  <c r="K6" i="1506"/>
  <c r="K4"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C13" i="1502"/>
  <c r="E13" i="1502" s="1"/>
  <c r="D13" i="1502" s="1"/>
  <c r="E12" i="1502" l="1"/>
  <c r="D12" i="1502" s="1"/>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H4" i="1506" l="1"/>
  <c r="I3" i="1506"/>
  <c r="H9" i="1506"/>
  <c r="J3" i="1506"/>
  <c r="I8"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S12" i="1502" s="1"/>
  <c r="G12" i="1506" s="1"/>
  <c r="B13" i="1502"/>
  <c r="S13" i="1502" s="1"/>
  <c r="G13" i="1506" s="1"/>
  <c r="G12" i="1502" l="1"/>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AK38" i="1495"/>
  <c r="B11" i="1502"/>
  <c r="S11" i="1502" s="1"/>
  <c r="G11" i="1506" s="1"/>
  <c r="G6" i="1502" l="1"/>
  <c r="H6" i="1502" s="1"/>
  <c r="I6" i="1502" s="1"/>
  <c r="S6" i="1502"/>
  <c r="G6" i="1506" s="1"/>
  <c r="G7" i="1502"/>
  <c r="H7" i="1502" s="1"/>
  <c r="I7" i="1502" s="1"/>
  <c r="S7" i="1502"/>
  <c r="G7" i="1506" s="1"/>
  <c r="G9" i="1502"/>
  <c r="H9" i="1502" s="1"/>
  <c r="I9" i="1502" s="1"/>
  <c r="S9" i="1502"/>
  <c r="G9" i="1506" s="1"/>
  <c r="G3" i="1502"/>
  <c r="H3" i="1502" s="1"/>
  <c r="I3" i="1502" s="1"/>
  <c r="S3" i="1502"/>
  <c r="G3" i="1506" s="1"/>
  <c r="S8" i="1502"/>
  <c r="G8" i="1506" s="1"/>
  <c r="S4" i="1502"/>
  <c r="G4"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R10" i="1502" s="1"/>
  <c r="F10" i="1506" s="1"/>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6" i="1502" l="1"/>
  <c r="F6" i="1506" s="1"/>
  <c r="R11" i="1502"/>
  <c r="F11"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9" i="1502"/>
  <c r="T12" i="1502"/>
  <c r="T14" i="1502"/>
  <c r="T4" i="1502"/>
  <c r="T6" i="1502"/>
  <c r="T7" i="1502"/>
  <c r="T10" i="1502"/>
  <c r="T13" i="1502"/>
  <c r="T5" i="1502"/>
  <c r="T8" i="1502"/>
  <c r="T16" i="1502"/>
  <c r="P2" i="1502"/>
  <c r="M2" i="1506" s="1"/>
  <c r="N2" i="1506" s="1"/>
  <c r="T11" i="1502"/>
  <c r="T15" i="1502"/>
  <c r="T2"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C16" i="1495"/>
  <c r="Q15" i="1504"/>
  <c r="R15" i="1504" s="1"/>
  <c r="M15" i="1506"/>
  <c r="N15" i="1506" s="1"/>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A2" i="1500"/>
  <c r="EM2" i="1500"/>
  <c r="EW2" i="1500"/>
  <c r="EK2" i="1500"/>
  <c r="FC2" i="1500"/>
  <c r="EN2" i="1500"/>
  <c r="ET2" i="1500"/>
  <c r="FI2" i="1500"/>
  <c r="ES2" i="1500"/>
  <c r="FH2" i="1500"/>
  <c r="FB2" i="1500"/>
  <c r="FD2" i="1500"/>
  <c r="FK2" i="1500"/>
  <c r="EO2" i="1500"/>
  <c r="FF2" i="1500"/>
  <c r="FS2" i="1500"/>
  <c r="FL2" i="1500"/>
  <c r="FE2" i="1500"/>
  <c r="FP2" i="1500"/>
  <c r="FR2" i="1500"/>
  <c r="EP2" i="1500"/>
  <c r="FQ2" i="1500"/>
  <c r="FG2" i="1500"/>
  <c r="ER2" i="1500"/>
  <c r="EX2" i="1500"/>
  <c r="FN2" i="1500"/>
  <c r="EY2" i="1500"/>
  <c r="EV2" i="1500"/>
  <c r="FO2" i="1500"/>
  <c r="EZ2" i="1500"/>
  <c r="EU2" i="1500"/>
  <c r="FJ2" i="1500"/>
  <c r="FM2" i="1500"/>
  <c r="EQ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AX17" i="1499" l="1"/>
  <c r="Q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AP4" i="1499" s="1"/>
  <c r="S4" i="7"/>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Y4" i="7" l="1"/>
  <c r="BE4" i="1499"/>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O9" i="7" l="1"/>
  <c r="DX9" i="1500" s="1"/>
  <c r="BN9" i="7"/>
  <c r="BQ9" i="7"/>
  <c r="DZ9" i="1500" s="1"/>
  <c r="Q8" i="1502"/>
  <c r="AO9" i="1499"/>
  <c r="AW9" i="7"/>
  <c r="DF9" i="1500" s="1"/>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W9" i="1500"/>
  <c r="DM9" i="1500"/>
  <c r="DU9" i="1500"/>
  <c r="DS9" i="1500"/>
  <c r="DC9" i="1500"/>
  <c r="G10" i="1499" l="1"/>
  <c r="BJ10" i="1499"/>
  <c r="Q10" i="1502"/>
  <c r="V10" i="7"/>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AM10" i="7"/>
  <c r="AD10" i="1499"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O10" i="7" l="1"/>
  <c r="BH10" i="7"/>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BM12" i="7" s="1"/>
  <c r="Q9" i="1502"/>
  <c r="AE13" i="7"/>
  <c r="V13" i="1499" s="1"/>
  <c r="L11" i="7"/>
  <c r="AJ11" i="1499" s="1"/>
  <c r="M11" i="7"/>
  <c r="AK13" i="7"/>
  <c r="BF11" i="1499"/>
  <c r="AB13" i="7"/>
  <c r="X12" i="7"/>
  <c r="O12" i="1499" s="1"/>
  <c r="BM11" i="7"/>
  <c r="BD11" i="1499"/>
  <c r="BE11" i="7"/>
  <c r="AA13" i="7"/>
  <c r="R13" i="1499" s="1"/>
  <c r="AV11" i="1499"/>
  <c r="W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BL11" i="7"/>
  <c r="CA10" i="7"/>
  <c r="BB11" i="7"/>
  <c r="AS11" i="1499"/>
  <c r="EC9" i="1500"/>
  <c r="EE9" i="1500"/>
  <c r="J11" i="1499"/>
  <c r="BX10" i="7"/>
  <c r="BC12" i="1499"/>
  <c r="BL12" i="7"/>
  <c r="AY12" i="1499"/>
  <c r="BH12" i="7"/>
  <c r="W13" i="7"/>
  <c r="AU12" i="1499"/>
  <c r="BD12" i="7"/>
  <c r="AZ12" i="1499"/>
  <c r="BI12" i="7"/>
  <c r="BD12" i="1499"/>
  <c r="BM10" i="1499"/>
  <c r="AF10" i="1499"/>
  <c r="R12" i="1499"/>
  <c r="N12" i="1499"/>
  <c r="O13" i="7"/>
  <c r="AM12" i="1499"/>
  <c r="AV12" i="7"/>
  <c r="K12" i="1499"/>
  <c r="BY11" i="7"/>
  <c r="AR11" i="1499"/>
  <c r="BK10" i="1499"/>
  <c r="AN10" i="7"/>
  <c r="BZ10" i="7"/>
  <c r="S12" i="7"/>
  <c r="AZ11" i="7"/>
  <c r="AQ11" i="1499"/>
  <c r="W12" i="1499"/>
  <c r="V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R12" i="7" l="1"/>
  <c r="R13" i="7" s="1"/>
  <c r="I13" i="1499" s="1"/>
  <c r="BQ11" i="7"/>
  <c r="U12" i="1499"/>
  <c r="AP11" i="1499"/>
  <c r="AB11" i="1499"/>
  <c r="BR11" i="7"/>
  <c r="AN11" i="1499"/>
  <c r="BI11" i="1499"/>
  <c r="E11" i="1499"/>
  <c r="V11" i="1499"/>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Y13" i="7"/>
  <c r="DH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Y13" i="7" l="1"/>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G13" i="1499" l="1"/>
  <c r="AW13" i="1499"/>
  <c r="CH20" i="1500"/>
  <c r="P14" i="7"/>
  <c r="BF13" i="7"/>
  <c r="DO20" i="1500" s="1"/>
  <c r="Y14" i="7"/>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AL14" i="1499"/>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O14" i="7" l="1"/>
  <c r="CX21" i="1500" s="1"/>
  <c r="U16" i="1499"/>
  <c r="BB16" i="1499"/>
  <c r="BK16" i="7"/>
  <c r="CA16" i="7" s="1"/>
  <c r="AD17" i="7"/>
  <c r="AA17" i="7"/>
  <c r="R16" i="1499"/>
  <c r="AY16" i="1499"/>
  <c r="BH16" i="7"/>
  <c r="G16" i="1499"/>
  <c r="AN16" i="1499"/>
  <c r="AW16" i="7"/>
  <c r="P17" i="7"/>
  <c r="BE16" i="1499"/>
  <c r="X16" i="1499"/>
  <c r="BN16" i="7"/>
  <c r="AG17" i="7"/>
  <c r="AI17" i="7"/>
  <c r="BG16" i="1499"/>
  <c r="Z16" i="1499"/>
  <c r="BP16" i="7"/>
  <c r="P16" i="1499"/>
  <c r="AW16" i="1499"/>
  <c r="W17" i="7"/>
  <c r="N16" i="1499"/>
  <c r="AU16" i="1499"/>
  <c r="BD16" i="7"/>
  <c r="S16" i="1499"/>
  <c r="AZ16" i="1499"/>
  <c r="AB17" i="7"/>
  <c r="BI16"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BL13" i="1499"/>
  <c r="AE13" i="1499"/>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AN14" i="7"/>
  <c r="CW21" i="1500" s="1"/>
  <c r="AD14" i="1499"/>
  <c r="AW17" i="1499"/>
  <c r="P17" i="1499"/>
  <c r="AC16" i="1499"/>
  <c r="BJ16" i="1499"/>
  <c r="AL17" i="7"/>
  <c r="BS16" i="7"/>
  <c r="M17" i="7"/>
  <c r="D16" i="1499"/>
  <c r="AK16" i="1499"/>
  <c r="AR15" i="7"/>
  <c r="AS15" i="7" s="1"/>
  <c r="L16" i="7"/>
  <c r="S17" i="1499"/>
  <c r="AZ17" i="1499"/>
  <c r="BI17" i="7"/>
  <c r="AO16" i="1499"/>
  <c r="H16" i="1499"/>
  <c r="AX16" i="7"/>
  <c r="Q17" i="7"/>
  <c r="BA16" i="1499"/>
  <c r="T16" i="1499"/>
  <c r="AC17" i="7"/>
  <c r="BJ16" i="7"/>
  <c r="V16" i="1499"/>
  <c r="BC16" i="1499"/>
  <c r="BL16" i="7"/>
  <c r="AE17" i="7"/>
  <c r="O15" i="1499"/>
  <c r="X16" i="7"/>
  <c r="N17" i="1499"/>
  <c r="AU17" i="1499"/>
  <c r="BD17" i="7"/>
  <c r="AJ17" i="7"/>
  <c r="BH16" i="1499"/>
  <c r="AA16" i="1499"/>
  <c r="BQ16" i="7"/>
  <c r="BM15" i="7"/>
  <c r="DV22" i="1500" s="1"/>
  <c r="AF16" i="7"/>
  <c r="BF15" i="1499"/>
  <c r="AH16" i="7"/>
  <c r="AQ16" i="1499"/>
  <c r="J16" i="1499"/>
  <c r="S17" i="7"/>
  <c r="AZ16" i="7"/>
  <c r="R17" i="1499"/>
  <c r="AY17" i="1499"/>
  <c r="BH17" i="7"/>
  <c r="G17" i="1499"/>
  <c r="AN17" i="1499"/>
  <c r="AW17" i="7"/>
  <c r="U17" i="1499"/>
  <c r="BB17" i="1499"/>
  <c r="BK17" i="7"/>
  <c r="CA17" i="7" s="1"/>
  <c r="X17" i="1499"/>
  <c r="BE17" i="1499"/>
  <c r="BN17" i="7"/>
  <c r="AB16" i="1499"/>
  <c r="BI16" i="1499"/>
  <c r="BR16" i="7"/>
  <c r="AK17" i="7"/>
  <c r="AM15" i="1499"/>
  <c r="O16" i="7"/>
  <c r="BC15" i="7"/>
  <c r="DL22" i="1500" s="1"/>
  <c r="V16" i="7"/>
  <c r="N17" i="7"/>
  <c r="E16" i="1499"/>
  <c r="AL16" i="1499"/>
  <c r="AU16" i="7"/>
  <c r="I15" i="1499"/>
  <c r="R16" i="7"/>
  <c r="CA23" i="1500" s="1"/>
  <c r="Z17" i="1499"/>
  <c r="BG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DA22" i="1500"/>
  <c r="CN22" i="1500"/>
  <c r="U15" i="1499"/>
  <c r="BS22" i="1500"/>
  <c r="BV22" i="1500"/>
  <c r="Y15" i="1499"/>
  <c r="CO22" i="1500"/>
  <c r="W15" i="1499"/>
  <c r="K15" i="1499"/>
  <c r="BY23" i="1500"/>
  <c r="CM23" i="1500"/>
  <c r="CI23" i="1500"/>
  <c r="DO23" i="1500"/>
  <c r="DF23" i="1500"/>
  <c r="DC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L14" i="1502" l="1"/>
  <c r="DB22" i="1500"/>
  <c r="E17" i="1499"/>
  <c r="AL17" i="1499"/>
  <c r="AU17" i="7"/>
  <c r="AA17" i="1499"/>
  <c r="BH17" i="1499"/>
  <c r="BQ17" i="7"/>
  <c r="O17" i="7"/>
  <c r="F16" i="1499"/>
  <c r="AM16" i="1499"/>
  <c r="AV16" i="7"/>
  <c r="AO16" i="7"/>
  <c r="AM16" i="7"/>
  <c r="X17" i="7"/>
  <c r="O16" i="1499"/>
  <c r="AV16" i="1499"/>
  <c r="BE16" i="7"/>
  <c r="AB17" i="1499"/>
  <c r="BI17" i="1499"/>
  <c r="BR17" i="7"/>
  <c r="L17" i="7"/>
  <c r="C16" i="1499"/>
  <c r="AJ16" i="1499"/>
  <c r="AR16" i="7"/>
  <c r="AS16" i="7" s="1"/>
  <c r="L15" i="1502" s="1"/>
  <c r="BP36" i="1499" a="1"/>
  <c r="BT19" i="1499" a="1"/>
  <c r="BV36" i="1499" a="1"/>
  <c r="BP19" i="1499" a="1"/>
  <c r="AQ17" i="1499"/>
  <c r="J17" i="1499"/>
  <c r="AZ17" i="7"/>
  <c r="BX23" i="1500"/>
  <c r="AH17" i="7"/>
  <c r="BF16" i="1499"/>
  <c r="Y16" i="1499"/>
  <c r="BO16" i="7"/>
  <c r="AK17" i="1499"/>
  <c r="D17" i="1499"/>
  <c r="V17" i="1499"/>
  <c r="BC17" i="1499"/>
  <c r="BL17" i="7"/>
  <c r="I16" i="1499"/>
  <c r="AP16" i="1499"/>
  <c r="R17" i="7"/>
  <c r="AY16" i="7"/>
  <c r="DH23" i="1500" s="1"/>
  <c r="W16" i="1499"/>
  <c r="BD16" i="1499"/>
  <c r="BM16" i="7"/>
  <c r="AF17" i="7"/>
  <c r="T17" i="1499"/>
  <c r="BA17" i="1499"/>
  <c r="BJ17" i="7"/>
  <c r="AC17" i="1499"/>
  <c r="BJ17" i="1499"/>
  <c r="BS17" i="7"/>
  <c r="V17" i="7"/>
  <c r="AT16" i="1499"/>
  <c r="M16" i="1499"/>
  <c r="BC16" i="7"/>
  <c r="DL23" i="1500" s="1"/>
  <c r="CE23" i="1500"/>
  <c r="BV37" i="1499" a="1"/>
  <c r="BP14" i="1499" a="1"/>
  <c r="BP37" i="1499" a="1"/>
  <c r="BT14" i="1499" a="1"/>
  <c r="AO17" i="1499"/>
  <c r="H17" i="1499"/>
  <c r="AX17" i="7"/>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DX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S37" i="1499"/>
  <c r="BR37" i="1499"/>
  <c r="BU37" i="1499"/>
  <c r="BQ37" i="1499"/>
  <c r="BT37" i="1499"/>
  <c r="AV17" i="1499"/>
  <c r="O17" i="1499"/>
  <c r="BE17" i="7"/>
  <c r="BK16" i="1499"/>
  <c r="AD16" i="1499"/>
  <c r="AN16" i="7"/>
  <c r="AF16" i="1499"/>
  <c r="BM16" i="1499"/>
  <c r="BW19" i="1499"/>
  <c r="BV19" i="1499"/>
  <c r="BU19" i="1499"/>
  <c r="BT19" i="1499"/>
  <c r="BX19" i="1499"/>
  <c r="BP36" i="1499"/>
  <c r="CD19" i="1499" s="1"/>
  <c r="BR36" i="1499"/>
  <c r="CB19" i="1499" s="1"/>
  <c r="BS36" i="1499"/>
  <c r="CA19" i="1499" s="1"/>
  <c r="BU36" i="1499"/>
  <c r="BY19" i="1499" s="1"/>
  <c r="BT36" i="1499"/>
  <c r="BZ19" i="1499" s="1"/>
  <c r="BQ36" i="1499"/>
  <c r="CC19" i="1499" s="1"/>
  <c r="BV16" i="7"/>
  <c r="BW16" i="7" s="1"/>
  <c r="BT16" i="7"/>
  <c r="BU16" i="7" s="1"/>
  <c r="F17" i="1499"/>
  <c r="AM17" i="1499"/>
  <c r="AV17" i="7"/>
  <c r="AO17" i="7"/>
  <c r="AM17" i="7"/>
  <c r="BV37" i="1499"/>
  <c r="CE14" i="1499" s="1"/>
  <c r="BW37" i="1499"/>
  <c r="CD14" i="1499" s="1"/>
  <c r="CB37" i="1499"/>
  <c r="BY14" i="1499" s="1" a="1"/>
  <c r="BY14" i="1499" s="1"/>
  <c r="BZ37" i="1499"/>
  <c r="CA14" i="1499" s="1"/>
  <c r="BX37" i="1499"/>
  <c r="CC14" i="1499" s="1"/>
  <c r="CA37" i="1499"/>
  <c r="BZ14" i="1499" s="1" a="1"/>
  <c r="BZ14" i="1499" s="1"/>
  <c r="BY37" i="1499"/>
  <c r="CB14" i="1499" s="1"/>
  <c r="BQ14" i="1499"/>
  <c r="BP14" i="1499"/>
  <c r="BS14" i="1499"/>
  <c r="BR14" i="1499"/>
  <c r="AP17" i="1499"/>
  <c r="I17" i="1499"/>
  <c r="AY17" i="7"/>
  <c r="AJ17" i="1499"/>
  <c r="C17" i="1499"/>
  <c r="AR17" i="7"/>
  <c r="AS17" i="7" s="1"/>
  <c r="L16" i="1502" s="1"/>
  <c r="M17" i="1499"/>
  <c r="AT17" i="1499"/>
  <c r="BC17" i="7"/>
  <c r="CX23" i="1500"/>
  <c r="DE23" i="1500"/>
  <c r="BS19" i="1499"/>
  <c r="BP19" i="1499"/>
  <c r="BQ19" i="1499"/>
  <c r="BR19" i="1499"/>
  <c r="BY36" i="1499"/>
  <c r="BW36" i="1499"/>
  <c r="BX36" i="1499"/>
  <c r="BZ36" i="1499"/>
  <c r="CA36" i="1499"/>
  <c r="CB36" i="1499"/>
  <c r="BV36" i="1499"/>
  <c r="W17" i="1499"/>
  <c r="BD17" i="1499"/>
  <c r="BM17" i="7"/>
  <c r="Y17" i="1499"/>
  <c r="BF17" i="1499"/>
  <c r="BO17" i="7"/>
  <c r="BU14" i="1499"/>
  <c r="BT14" i="1499"/>
  <c r="BX14" i="1499"/>
  <c r="BV14" i="1499"/>
  <c r="BW14"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Q16" i="1495" l="1"/>
  <c r="T15" i="1504" s="1"/>
  <c r="Z15" i="1504" s="1"/>
  <c r="L17" i="1495"/>
  <c r="L16" i="1495"/>
  <c r="Q17" i="1495"/>
  <c r="AD17" i="1499"/>
  <c r="BK17" i="1499"/>
  <c r="AN17" i="7"/>
  <c r="BT17" i="7"/>
  <c r="BU17" i="7" s="1"/>
  <c r="BV17" i="7"/>
  <c r="BW17" i="7" s="1"/>
  <c r="AE16" i="1499"/>
  <c r="BL16" i="1499"/>
  <c r="AF17" i="1499"/>
  <c r="BM17" i="1499"/>
  <c r="E32" i="1495"/>
  <c r="D24" i="1495"/>
  <c r="P6" i="1506" s="1"/>
  <c r="E31" i="1495"/>
  <c r="D29" i="1495"/>
  <c r="P11" i="1506" s="1"/>
  <c r="E20" i="1495"/>
  <c r="L9" i="1495"/>
  <c r="E26" i="1495"/>
  <c r="L15" i="1495"/>
  <c r="E22" i="1495"/>
  <c r="L7" i="1495"/>
  <c r="E27" i="1495"/>
  <c r="L10" i="1495"/>
  <c r="E25" i="1495"/>
  <c r="L13" i="1495"/>
  <c r="E23" i="1495"/>
  <c r="L5" i="1495"/>
  <c r="E28" i="1495"/>
  <c r="L8" i="1495"/>
  <c r="L4" i="1495"/>
  <c r="E24" i="1495"/>
  <c r="L6" i="1495"/>
  <c r="L12" i="1495"/>
  <c r="E33" i="1495"/>
  <c r="L11" i="1495"/>
  <c r="E34" i="1495"/>
  <c r="EN34" i="1500" s="1"/>
  <c r="E29" i="1495"/>
  <c r="E21" i="1495"/>
  <c r="E30" i="1495"/>
  <c r="L14" i="1495"/>
  <c r="D20" i="1495"/>
  <c r="P2" i="1506" s="1"/>
  <c r="Q4" i="1495"/>
  <c r="D25" i="1495"/>
  <c r="P7" i="1506" s="1"/>
  <c r="D22" i="1495"/>
  <c r="P4" i="1506" s="1"/>
  <c r="D27" i="1495"/>
  <c r="P9" i="1506" s="1"/>
  <c r="D26" i="1495"/>
  <c r="EM26" i="1500"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EN33" i="1500"/>
  <c r="Q15" i="1506"/>
  <c r="W15" i="1506" s="1"/>
  <c r="T16" i="1504"/>
  <c r="Z16" i="1504" s="1"/>
  <c r="U15" i="1504"/>
  <c r="AA15" i="1504" s="1"/>
  <c r="U16" i="1504"/>
  <c r="AA16" i="1504" s="1"/>
  <c r="EM27" i="1500"/>
  <c r="EM25" i="1500"/>
  <c r="Q8" i="1506"/>
  <c r="W8" i="1506" s="1"/>
  <c r="EN26" i="1500"/>
  <c r="Q2" i="1506"/>
  <c r="W2" i="1506" s="1"/>
  <c r="EN20" i="1500"/>
  <c r="Q6" i="1506"/>
  <c r="W6" i="1506" s="1"/>
  <c r="EN24" i="1500"/>
  <c r="Q13" i="1506"/>
  <c r="W13" i="1506" s="1"/>
  <c r="EN31" i="1500"/>
  <c r="P8" i="1506"/>
  <c r="Q10" i="1506"/>
  <c r="W10" i="1506" s="1"/>
  <c r="EN28" i="1500"/>
  <c r="EM29" i="1500"/>
  <c r="Q5" i="1506"/>
  <c r="W5" i="1506" s="1"/>
  <c r="EN23" i="1500"/>
  <c r="Q7" i="1506"/>
  <c r="W7" i="1506" s="1"/>
  <c r="EN25" i="1500"/>
  <c r="EM24" i="1500"/>
  <c r="Q12" i="1506"/>
  <c r="W12" i="1506" s="1"/>
  <c r="EN30" i="1500"/>
  <c r="Q3" i="1506"/>
  <c r="W3" i="1506" s="1"/>
  <c r="EN21" i="1500"/>
  <c r="Q9" i="1506"/>
  <c r="W9" i="1506" s="1"/>
  <c r="EN27" i="1500"/>
  <c r="EM20" i="1500"/>
  <c r="Q11" i="1506"/>
  <c r="W11" i="1506" s="1"/>
  <c r="EN29" i="1500"/>
  <c r="AE17" i="1499"/>
  <c r="BL17" i="1499"/>
  <c r="Q4" i="1506"/>
  <c r="W4" i="1506" s="1"/>
  <c r="EN22" i="1500"/>
  <c r="P10" i="1506"/>
  <c r="V10" i="1506" s="1"/>
  <c r="P12" i="1506"/>
  <c r="V12" i="1506" s="1"/>
  <c r="EM22" i="1500"/>
  <c r="P3" i="1506"/>
  <c r="V3" i="1506" s="1"/>
  <c r="EM23" i="1500"/>
  <c r="V7" i="1506"/>
  <c r="V11" i="1506"/>
  <c r="P13" i="1506"/>
  <c r="EM31" i="1500"/>
  <c r="V6" i="1506"/>
  <c r="V9"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CA15" i="1499" s="1"/>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R17" i="1495" s="1"/>
  <c r="BY20"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J16" i="1495" l="1"/>
  <c r="R16" i="1495"/>
  <c r="M16" i="1495"/>
  <c r="I16" i="1495"/>
  <c r="W15" i="1504" s="1"/>
  <c r="AC15" i="1504" s="1"/>
  <c r="I17" i="1495"/>
  <c r="W16" i="1504" s="1"/>
  <c r="AC16" i="1504" s="1"/>
  <c r="P17" i="1495"/>
  <c r="P16" i="1495"/>
  <c r="N16" i="1495"/>
  <c r="N17" i="1495"/>
  <c r="AB17" i="1495"/>
  <c r="AB16" i="1495"/>
  <c r="M17" i="1495"/>
  <c r="EV17" i="1500" s="1"/>
  <c r="S17" i="1495"/>
  <c r="FB17" i="1500" s="1"/>
  <c r="S16" i="1495"/>
  <c r="U17" i="1495"/>
  <c r="AJ17" i="1495" s="1"/>
  <c r="U16" i="1495"/>
  <c r="AJ16" i="1495" s="1"/>
  <c r="Y16" i="1495"/>
  <c r="Y17" i="1495"/>
  <c r="J17" i="1495"/>
  <c r="X17" i="1495"/>
  <c r="X16"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DH3" i="1499"/>
  <c r="FK17" i="1500"/>
  <c r="O18" i="1492"/>
  <c r="FA17" i="1500"/>
  <c r="FA19" i="1500"/>
  <c r="F18" i="1492"/>
  <c r="FA18" i="1500"/>
  <c r="R4" i="1495"/>
  <c r="FA4" i="1500" s="1"/>
  <c r="AB4" i="1495"/>
  <c r="FK19" i="1500"/>
  <c r="CO3" i="1499"/>
  <c r="CX3" i="1499"/>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J18" i="1492" l="1"/>
  <c r="F34" i="1495"/>
  <c r="EO34" i="1500" s="1"/>
  <c r="AT4" i="1495"/>
  <c r="F16" i="1495"/>
  <c r="F17" i="1495"/>
  <c r="V17" i="1495"/>
  <c r="V16" i="1495"/>
  <c r="EP32" i="1500"/>
  <c r="S14" i="1506"/>
  <c r="Y14" i="1506" s="1"/>
  <c r="D16" i="1495"/>
  <c r="D17" i="1495"/>
  <c r="EM17" i="1500" s="1"/>
  <c r="G16" i="1495"/>
  <c r="G17" i="1495"/>
  <c r="FD17" i="1500"/>
  <c r="EP33" i="1500"/>
  <c r="S15" i="1506"/>
  <c r="Y15" i="1506" s="1"/>
  <c r="E16" i="1495"/>
  <c r="EN16" i="1500" s="1"/>
  <c r="E17" i="1495"/>
  <c r="O17" i="1495"/>
  <c r="O16" i="1495"/>
  <c r="T16" i="1495"/>
  <c r="T17" i="1495"/>
  <c r="H16" i="1495"/>
  <c r="V15" i="1504" s="1"/>
  <c r="AB15" i="1504" s="1"/>
  <c r="AA17" i="1495"/>
  <c r="AA16" i="1495"/>
  <c r="H17" i="1495"/>
  <c r="V16" i="1504" s="1"/>
  <c r="AB16" i="1504" s="1"/>
  <c r="W16" i="1495"/>
  <c r="FF16" i="1500" s="1"/>
  <c r="W17" i="1495"/>
  <c r="FF17" i="1500" s="1"/>
  <c r="AC16" i="1495"/>
  <c r="AC17" i="1495"/>
  <c r="FL17" i="1500" s="1"/>
  <c r="CB13" i="1499"/>
  <c r="H7" i="1495"/>
  <c r="H6" i="1495"/>
  <c r="S12" i="1506"/>
  <c r="Y12" i="1506" s="1"/>
  <c r="EP30" i="1500"/>
  <c r="H10" i="1495"/>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EP6" i="1500" s="1"/>
  <c r="G8" i="1495"/>
  <c r="G12" i="1495"/>
  <c r="G4" i="1495"/>
  <c r="G5" i="1495"/>
  <c r="G11" i="1495"/>
  <c r="G9" i="1495"/>
  <c r="G10" i="1495"/>
  <c r="G13" i="1495"/>
  <c r="EP13" i="1500" s="1"/>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V9" i="1504"/>
  <c r="AB9" i="1504" s="1"/>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10" i="1500"/>
  <c r="EP19" i="1500"/>
  <c r="EP11" i="1500"/>
  <c r="EP9" i="1500"/>
  <c r="EP8" i="1500"/>
  <c r="EP17" i="1500"/>
  <c r="EP12"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FL5" i="1500" s="1"/>
  <c r="AC6" i="1495"/>
  <c r="FL6" i="1500" s="1"/>
  <c r="AC8" i="1495"/>
  <c r="FL8" i="1500" s="1"/>
  <c r="AC11" i="1495"/>
  <c r="FL11" i="1500" s="1"/>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DI3" i="1499"/>
  <c r="O4" i="1495"/>
  <c r="EX4" i="1500" s="1"/>
  <c r="F31" i="1492"/>
  <c r="L31" i="1492"/>
  <c r="P23" i="1492"/>
  <c r="O23" i="1492"/>
  <c r="CI3" i="1499"/>
  <c r="CM3" i="1499"/>
  <c r="FC16" i="1500"/>
  <c r="T4" i="1495"/>
  <c r="FC4" i="1500" s="1"/>
  <c r="Q31" i="1492"/>
  <c r="G31" i="1492"/>
  <c r="EM18" i="1500"/>
  <c r="EL5" i="1500"/>
  <c r="EL14" i="1500"/>
  <c r="K23" i="1492"/>
  <c r="Q23" i="1492"/>
  <c r="CN3" i="1499"/>
  <c r="J31" i="1492"/>
  <c r="CZ3" i="1499"/>
  <c r="P31" i="1492"/>
  <c r="I23" i="1492"/>
  <c r="F23" i="1492"/>
  <c r="I31" i="1492"/>
  <c r="J23" i="1492"/>
  <c r="L23" i="1492"/>
  <c r="DF17" i="1499" l="1"/>
  <c r="Z16" i="1495"/>
  <c r="K17" i="1495"/>
  <c r="S16" i="1504" s="1"/>
  <c r="Y16" i="1504" s="1"/>
  <c r="Z17" i="1495"/>
  <c r="AG17" i="1495"/>
  <c r="X16" i="1504" s="1"/>
  <c r="AI17" i="1495"/>
  <c r="AD16" i="1495"/>
  <c r="AD17" i="1495"/>
  <c r="AH17" i="1495"/>
  <c r="AF16" i="1495"/>
  <c r="AF17" i="1495"/>
  <c r="FO17" i="1500" s="1"/>
  <c r="EO32" i="1500"/>
  <c r="R14" i="1506"/>
  <c r="X14" i="1506" s="1"/>
  <c r="AE17" i="1495"/>
  <c r="FN17" i="1500" s="1"/>
  <c r="AE16" i="1495"/>
  <c r="FN16" i="1500" s="1"/>
  <c r="K16" i="1495"/>
  <c r="EO33" i="1500"/>
  <c r="R15" i="1506"/>
  <c r="X15" i="1506" s="1"/>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AF13" i="1495"/>
  <c r="FO13" i="1500" s="1"/>
  <c r="AF8" i="1495"/>
  <c r="FO8" i="1500" s="1"/>
  <c r="AF12" i="1495"/>
  <c r="FO12" i="1500" s="1"/>
  <c r="AF14" i="1495"/>
  <c r="FO14" i="1500" s="1"/>
  <c r="AF11" i="1495"/>
  <c r="FO11" i="1500" s="1"/>
  <c r="Z7" i="1495"/>
  <c r="FI7" i="1500" s="1"/>
  <c r="CM71" i="1499"/>
  <c r="AE10" i="1495"/>
  <c r="FN10" i="1500" s="1"/>
  <c r="AE12" i="1495"/>
  <c r="FN12" i="1500" s="1"/>
  <c r="FN19" i="1500"/>
  <c r="AE8" i="1495"/>
  <c r="FN8" i="1500" s="1"/>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G16" i="1495" l="1"/>
  <c r="X15" i="1504" s="1"/>
  <c r="S15" i="1504"/>
  <c r="Y15" i="1504" s="1"/>
  <c r="AI16" i="1495"/>
  <c r="EL33" i="1500"/>
  <c r="O15" i="1506"/>
  <c r="AH16" i="1495"/>
  <c r="EL32" i="1500"/>
  <c r="O14" i="1506"/>
  <c r="EL27" i="1500"/>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4" i="1506" l="1"/>
  <c r="T14" i="1506"/>
  <c r="U15" i="1506"/>
  <c r="T15"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<sst xmlns="http://schemas.openxmlformats.org/spreadsheetml/2006/main" count="1962" uniqueCount="716">
  <si>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</si>
  <si>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</si>
  <si>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</si>
  <si>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</si>
  <si>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</si>
  <si>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</si>
  <si>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</si>
  <si>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</si>
  <si>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</si>
  <si>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</si>
  <si>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</si>
  <si>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</si>
  <si>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</si>
  <si>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</si>
  <si>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</si>
  <si>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</si>
  <si>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</si>
  <si>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</si>
  <si>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</si>
  <si>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</si>
  <si>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</si>
  <si>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</si>
  <si>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</si>
  <si>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</si>
  <si>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</si>
  <si>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</si>
  <si>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</si>
  <si>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</si>
  <si>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</si>
  <si>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</si>
  <si>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</si>
  <si>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</si>
  <si>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</si>
  <si>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</si>
  <si>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</si>
  <si>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</si>
  <si>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</si>
  <si>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</si>
  <si>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</si>
  <si>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</si>
  <si>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</si>
  <si>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</si>
  <si>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</si>
  <si>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</si>
  <si>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</si>
  <si>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</si>
  <si>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</si>
  <si>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</si>
  <si>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</si>
  <si>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</si>
  <si>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</si>
  <si>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</si>
  <si>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</si>
  <si>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</si>
  <si>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</si>
  <si>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</si>
  <si>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</si>
  <si>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</si>
  <si>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</si>
  <si>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</si>
  <si>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</si>
  <si>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</si>
  <si>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</si>
  <si>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</si>
  <si>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</si>
  <si>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</si>
  <si>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</si>
  <si>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</si>
  <si>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</si>
  <si>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</si>
  <si>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</si>
  <si>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</si>
  <si>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</si>
  <si>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</si>
  <si>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</si>
  <si>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</si>
  <si>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</si>
  <si>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</si>
  <si>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</si>
  <si>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</si>
  <si>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</si>
  <si>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</si>
  <si>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</si>
  <si>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</si>
  <si>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</si>
  <si>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</si>
  <si>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</si>
  <si>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</si>
  <si>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</si>
  <si>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</si>
  <si>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</si>
  <si>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</si>
  <si>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</si>
  <si>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</si>
  <si>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</si>
  <si>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</si>
  <si>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</si>
  <si>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</si>
  <si>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</si>
  <si>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</si>
  <si>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</si>
  <si>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</si>
  <si>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</si>
  <si>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</si>
  <si>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</si>
  <si>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</si>
  <si>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</si>
  <si>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</si>
  <si>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</si>
  <si>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</si>
  <si>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</si>
  <si>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</si>
  <si>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</si>
  <si>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</si>
  <si>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</si>
  <si>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</si>
  <si>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</si>
  <si>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</si>
  <si>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</si>
  <si>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</si>
  <si>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</si>
  <si>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</si>
  <si>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</si>
  <si>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</si>
  <si>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</si>
  <si>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</si>
  <si>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</si>
  <si>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</si>
  <si>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</si>
  <si>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</si>
  <si>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</si>
  <si>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</si>
  <si>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</si>
  <si>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</si>
  <si>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</si>
  <si>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</si>
  <si>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</si>
  <si>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</si>
  <si>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</si>
  <si>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</si>
  <si>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</si>
  <si>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</si>
  <si>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</si>
  <si>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</si>
  <si>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</si>
  <si>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</si>
  <si>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</si>
  <si>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</si>
  <si>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</si>
  <si>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</si>
  <si>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</si>
  <si>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</si>
  <si>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</si>
  <si>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</si>
  <si>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</si>
  <si>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</si>
  <si>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</si>
  <si>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</si>
  <si>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</si>
  <si>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</si>
  <si>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</si>
  <si>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</si>
  <si>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</si>
  <si>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</si>
  <si>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</si>
  <si>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</si>
  <si>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</si>
  <si>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</si>
  <si>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</si>
  <si>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</si>
  <si>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</si>
  <si>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</si>
  <si>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</si>
  <si>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</si>
  <si>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</si>
  <si>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</si>
  <si>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</si>
  <si>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</si>
  <si>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</si>
  <si>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</si>
  <si>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</si>
  <si>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</si>
  <si>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</si>
  <si>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</si>
  <si>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</si>
  <si>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</si>
  <si>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</si>
  <si>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</si>
  <si>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</si>
  <si>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</si>
  <si>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</si>
  <si>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</si>
  <si>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</si>
  <si>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</si>
  <si>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</si>
  <si>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</si>
  <si>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</si>
  <si>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</si>
  <si>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</si>
  <si>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</si>
  <si>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</si>
  <si>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</si>
  <si>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</si>
  <si>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</si>
  <si>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</si>
  <si>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</si>
  <si>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</si>
  <si>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</si>
  <si>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</si>
  <si>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</si>
  <si>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</si>
  <si>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</si>
  <si>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</si>
  <si>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</si>
  <si>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</si>
  <si>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</si>
  <si>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</si>
  <si>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</si>
  <si>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</si>
  <si>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</si>
  <si>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</si>
  <si>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</si>
  <si>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</si>
  <si>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</si>
  <si>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</si>
  <si>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</si>
  <si>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</si>
  <si>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</si>
  <si>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</si>
  <si>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</si>
  <si>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</si>
  <si>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</si>
  <si>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</si>
  <si>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</si>
  <si>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</si>
  <si>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</si>
  <si>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</si>
  <si>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</si>
  <si>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</si>
  <si>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</si>
  <si>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</si>
  <si>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</si>
  <si>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</si>
  <si>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</si>
  <si>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</si>
  <si>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</si>
  <si>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</si>
  <si>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</si>
  <si>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</si>
  <si>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</si>
  <si>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</si>
  <si>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</si>
  <si>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</si>
  <si>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</si>
  <si>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</si>
  <si>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</si>
  <si>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</si>
  <si>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</si>
  <si>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</si>
  <si>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</si>
  <si>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</si>
  <si>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</si>
  <si>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</si>
  <si>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</si>
  <si>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</si>
  <si>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</si>
  <si>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</si>
  <si>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</si>
  <si>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</si>
  <si>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</si>
  <si>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</si>
  <si>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</si>
  <si>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</si>
  <si>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</si>
  <si>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</si>
  <si>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</si>
  <si>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</si>
  <si>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</si>
  <si>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</si>
  <si>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</si>
  <si>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</si>
  <si>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</si>
  <si>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</si>
  <si>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</si>
  <si>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</si>
  <si>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</si>
  <si>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</si>
  <si>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</si>
  <si>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</si>
  <si>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</si>
  <si>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</si>
  <si>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</si>
  <si>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</si>
  <si>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</si>
  <si>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</si>
  <si>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</si>
  <si>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</si>
  <si>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</si>
  <si>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</si>
  <si>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</si>
  <si>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</si>
  <si>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</si>
  <si>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</si>
  <si>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</si>
  <si>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</si>
  <si>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</si>
  <si>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</si>
  <si>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</si>
  <si>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</si>
  <si>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</si>
  <si>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</si>
  <si>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</si>
  <si>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</si>
  <si>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</si>
  <si>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</si>
  <si>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</si>
  <si>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</si>
  <si>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</si>
  <si>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</si>
  <si>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</si>
  <si>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</si>
  <si>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</si>
  <si>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</si>
  <si>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</si>
  <si>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</si>
  <si>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</si>
  <si>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</si>
  <si>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</si>
  <si>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</si>
  <si>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</si>
  <si>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</si>
  <si>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</si>
  <si>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</si>
  <si>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</si>
  <si>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</si>
  <si>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</si>
  <si>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</si>
  <si>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</si>
  <si>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</si>
  <si>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</si>
  <si>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</si>
  <si>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</si>
  <si>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</si>
  <si>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</si>
  <si>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</si>
  <si>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</si>
  <si>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</si>
  <si>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</si>
  <si>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</si>
  <si>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</si>
  <si>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</si>
  <si>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</si>
  <si>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</si>
  <si>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</si>
  <si>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</si>
  <si>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</si>
  <si>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</si>
  <si>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</si>
  <si>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</si>
  <si>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</si>
  <si>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</si>
  <si>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</si>
  <si>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</si>
  <si>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</si>
  <si>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</si>
  <si>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</si>
  <si>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</si>
  <si>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</si>
  <si>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</si>
  <si>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</si>
  <si>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</si>
  <si>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</si>
  <si>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</si>
  <si>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</si>
  <si>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</si>
  <si>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</si>
  <si>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</si>
  <si>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</si>
  <si>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</si>
  <si>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</si>
  <si>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</si>
  <si>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</si>
  <si>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</si>
  <si>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</si>
  <si>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</si>
  <si>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</si>
  <si>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</si>
  <si>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</si>
  <si>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</si>
  <si>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</si>
  <si>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</si>
  <si>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</si>
  <si>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</si>
  <si>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</si>
  <si>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</si>
  <si>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</si>
  <si>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</si>
  <si>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</si>
  <si>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</si>
  <si>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</si>
  <si>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</si>
  <si>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</si>
  <si>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</si>
  <si>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</si>
  <si>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</si>
  <si>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</si>
  <si>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</si>
  <si>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</si>
  <si>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</si>
  <si>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</si>
  <si>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</si>
  <si>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</si>
  <si>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</si>
  <si>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</si>
  <si>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</si>
  <si>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</si>
  <si>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</si>
  <si>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</si>
  <si>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</si>
  <si>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</si>
  <si>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</si>
  <si>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</si>
  <si>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</si>
  <si>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</si>
  <si>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</si>
  <si>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</si>
  <si>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</si>
  <si>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</si>
  <si>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</si>
  <si>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</si>
  <si>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</si>
  <si>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</si>
  <si>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</si>
  <si>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</si>
  <si>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</si>
  <si>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</si>
  <si>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</si>
  <si>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</si>
  <si>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</si>
  <si>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</si>
  <si>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</si>
  <si>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</si>
  <si>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</si>
  <si>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</si>
  <si>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</si>
  <si>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</si>
  <si>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</si>
  <si>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</si>
  <si>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</si>
  <si>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</si>
  <si>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</si>
  <si>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</si>
  <si>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</si>
  <si>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</si>
  <si>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</si>
  <si>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</si>
  <si>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</si>
  <si>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</si>
  <si>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</si>
  <si>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</si>
  <si>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</si>
  <si>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</si>
  <si>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</si>
  <si>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</si>
  <si>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</si>
  <si>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</si>
  <si>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</si>
  <si>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</si>
  <si>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</si>
  <si>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</si>
  <si>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</si>
  <si>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</si>
  <si>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</si>
  <si>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</si>
  <si>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</si>
  <si>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</si>
  <si>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</si>
  <si>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</si>
  <si>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</si>
  <si>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</si>
  <si>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</si>
  <si>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</si>
  <si>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</si>
  <si>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</si>
  <si>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</si>
  <si>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</si>
  <si>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</si>
  <si>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</si>
  <si>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</si>
  <si>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</si>
  <si>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</si>
  <si>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</si>
  <si>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</si>
  <si>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</si>
  <si>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</si>
  <si>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</si>
  <si>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</si>
  <si>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</si>
  <si>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</si>
  <si>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</si>
  <si>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</si>
  <si>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</si>
  <si>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</si>
  <si>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</si>
  <si>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</si>
  <si>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</si>
  <si>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</si>
  <si>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</si>
  <si>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</si>
  <si>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</si>
  <si>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</si>
  <si>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</si>
  <si>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</si>
  <si>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</si>
  <si>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</si>
  <si>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</si>
  <si>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</si>
  <si>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</si>
  <si>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</si>
  <si>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</si>
  <si>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</si>
  <si>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</si>
  <si>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</si>
  <si>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</si>
  <si>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</si>
  <si>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</si>
  <si>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</si>
  <si>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</si>
  <si>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</si>
  <si>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</si>
  <si>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</si>
  <si>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</si>
  <si>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</si>
  <si>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</si>
  <si>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</si>
  <si>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</si>
  <si>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</si>
  <si>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</si>
  <si>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</si>
  <si>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</si>
  <si>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</si>
  <si>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</si>
  <si>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</si>
  <si>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</si>
  <si>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</si>
  <si>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</si>
  <si>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</si>
  <si>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</si>
  <si>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</si>
  <si>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</si>
  <si>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</si>
  <si>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</si>
  <si>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</si>
  <si>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</si>
  <si>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</si>
  <si>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</si>
  <si>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</si>
  <si>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</si>
  <si>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</si>
  <si>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</si>
  <si>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</si>
  <si>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</si>
  <si>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</si>
  <si>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</si>
  <si>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</si>
  <si>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</si>
  <si>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</si>
  <si>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</si>
  <si>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</si>
  <si>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</si>
  <si>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</si>
  <si>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</si>
  <si>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</si>
  <si>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</si>
  <si>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</si>
  <si>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</si>
  <si>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</si>
  <si>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</si>
  <si>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</si>
  <si>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</si>
  <si>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</si>
  <si>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</si>
  <si>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</si>
  <si>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</si>
  <si>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</si>
  <si>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</si>
  <si>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</si>
  <si>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</si>
  <si>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</si>
  <si>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</si>
  <si>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</si>
  <si>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</si>
  <si>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</si>
  <si>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</si>
  <si>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</si>
  <si>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</si>
  <si>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</si>
  <si>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</si>
  <si>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</si>
  <si>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</si>
  <si>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</si>
  <si>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</si>
  <si>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</si>
  <si>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</si>
  <si>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</si>
  <si>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</si>
  <si>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</si>
  <si>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</si>
  <si>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</si>
  <si>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</si>
  <si>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</si>
  <si>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</si>
  <si>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</si>
  <si>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</si>
  <si>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</si>
  <si>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</si>
  <si>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</si>
  <si>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</si>
  <si>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</si>
  <si>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</si>
  <si>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</si>
  <si>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</si>
  <si>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</si>
  <si>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</si>
  <si>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</si>
  <si>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</si>
  <si>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</si>
  <si>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</si>
  <si>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</si>
  <si>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</si>
  <si>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</si>
  <si>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</si>
  <si>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</si>
  <si>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</si>
  <si>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</si>
  <si>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</si>
  <si>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</si>
  <si>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</si>
  <si>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</si>
  <si>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</si>
  <si>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</si>
  <si>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</si>
  <si>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</si>
  <si>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</si>
  <si>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</si>
  <si>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</si>
  <si>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</si>
  <si>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</si>
  <si>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</si>
  <si>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</si>
  <si>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</si>
  <si>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</si>
  <si>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</si>
  <si>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</si>
  <si>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</si>
  <si>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</si>
  <si>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</si>
  <si>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</si>
  <si>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</si>
  <si>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</si>
  <si>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</si>
  <si>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</si>
  <si>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</si>
  <si>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</si>
  <si>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</si>
  <si>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</si>
  <si>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</si>
  <si>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</si>
  <si>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</si>
  <si>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</si>
  <si>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</si>
  <si>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</si>
  <si>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</si>
  <si>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</si>
  <si>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</si>
  <si>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</si>
  <si>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</si>
  <si>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</si>
  <si>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</si>
  <si>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</si>
  <si>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</si>
  <si>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</si>
  <si>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</si>
  <si>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</si>
  <si>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</si>
  <si>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</si>
  <si>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</si>
  <si>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</si>
  <si>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</si>
  <si>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</si>
  <si>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</si>
  <si>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</si>
  <si>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</si>
  <si>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</si>
  <si>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</si>
  <si>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</si>
  <si>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</si>
  <si>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</si>
  <si>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</si>
  <si>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</si>
  <si>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</si>
  <si>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</si>
  <si>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</si>
  <si>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 xml:space="preserve">Day </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</si>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</sst>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Regression'!$E$2:$E$18</c:f>
              <c:numCache>
                <c:formatCode>0.0000</c:formatCode>
                <c:ptCount val="17"/>
                <c:pt idx="0">
                  <c:v>0.26209677419354843</c:v>
                </c:pt>
                <c:pt idx="1">
                  <c:v>0.46524708484667027</c:v>
                </c:pt>
                <c:pt idx="2">
                  <c:v>0.83080040526849019</c:v>
                </c:pt>
                <c:pt idx="3">
                  <c:v>1.4724472879094703</c:v>
                </c:pt>
                <c:pt idx="4">
                  <c:v>2.7657075981947083</c:v>
                </c:pt>
                <c:pt idx="5">
                  <c:v>4.0742946033389691</c:v>
                </c:pt>
                <c:pt idx="6">
                  <c:v>6.7748079640538288</c:v>
                </c:pt>
                <c:pt idx="7">
                  <c:v>10.026553329522493</c:v>
                </c:pt>
                <c:pt idx="8">
                  <c:v>12.600840417983875</c:v>
                </c:pt>
                <c:pt idx="9">
                  <c:v>15.805498576983187</c:v>
                </c:pt>
                <c:pt idx="10">
                  <c:v>16.772742457527805</c:v>
                </c:pt>
                <c:pt idx="11">
                  <c:v>16.142159017817004</c:v>
                </c:pt>
                <c:pt idx="12">
                  <c:v>16.573087152098125</c:v>
                </c:pt>
                <c:pt idx="13">
                  <c:v>17.053186361914992</c:v>
                </c:pt>
                <c:pt idx="14">
                  <c:v>16.211869419478255</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Regression'!$M$2:$M$22</c:f>
              <c:numCache>
                <c:formatCode>General</c:formatCode>
                <c:ptCount val="21"/>
                <c:pt idx="0">
                  <c:v>0.26312174644284919</c:v>
                </c:pt>
                <c:pt idx="1">
                  <c:v>0.45397453878320843</c:v>
                </c:pt>
                <c:pt idx="2">
                  <c:v>0.92065329127926943</c:v>
                </c:pt>
                <c:pt idx="3">
                  <c:v>1.6184804611919212</c:v>
                </c:pt>
                <c:pt idx="4">
                  <c:v>2.8878112626714771</c:v>
                </c:pt>
                <c:pt idx="5">
                  <c:v>4.4821628769554982</c:v>
                </c:pt>
                <c:pt idx="6">
                  <c:v>7.1246659960472165</c:v>
                </c:pt>
                <c:pt idx="7">
                  <c:v>9.979929171209017</c:v>
                </c:pt>
                <c:pt idx="8">
                  <c:v>12.741369068235198</c:v>
                </c:pt>
                <c:pt idx="9">
                  <c:v>14.845695238494136</c:v>
                </c:pt>
                <c:pt idx="10">
                  <c:v>16.307779021724748</c:v>
                </c:pt>
                <c:pt idx="11">
                  <c:v>17.130221507064192</c:v>
                </c:pt>
                <c:pt idx="12">
                  <c:v>17.590359820200682</c:v>
                </c:pt>
                <c:pt idx="13">
                  <c:v>17.855324453128624</c:v>
                </c:pt>
                <c:pt idx="14">
                  <c:v>18.00029236735109</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Regression'!$L$2:$L$16</c:f>
              <c:numCache>
                <c:formatCode>General</c:formatCode>
                <c:ptCount val="15"/>
                <c:pt idx="0">
                  <c:v>0</c:v>
                </c:pt>
                <c:pt idx="1">
                  <c:v>2.6834957824069076E-2</c:v>
                </c:pt>
                <c:pt idx="2">
                  <c:v>2.062754228994701E-2</c:v>
                </c:pt>
                <c:pt idx="3">
                  <c:v>2.4361174541124284E-2</c:v>
                </c:pt>
                <c:pt idx="4">
                  <c:v>2.4872307264792629E-2</c:v>
                </c:pt>
                <c:pt idx="5">
                  <c:v>1.9186203612854853E-2</c:v>
                </c:pt>
                <c:pt idx="6">
                  <c:v>2.0124180894227961E-2</c:v>
                </c:pt>
                <c:pt idx="7">
                  <c:v>1.675477257443438E-2</c:v>
                </c:pt>
                <c:pt idx="8">
                  <c:v>9.9429606149002946E-3</c:v>
                </c:pt>
                <c:pt idx="9">
                  <c:v>9.4532237602280769E-3</c:v>
                </c:pt>
                <c:pt idx="10">
                  <c:v>1.2016913337084495E-3</c:v>
                </c:pt>
                <c:pt idx="11">
                  <c:v>-1.8789030298561901E-3</c:v>
                </c:pt>
                <c:pt idx="12">
                  <c:v>8.2918680996893392E-5</c:v>
                </c:pt>
                <c:pt idx="13">
                  <c:v>1.1189336595018567E-3</c:v>
                </c:pt>
                <c:pt idx="14">
                  <c:v>-2.4175193017752792E-3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Regression'!$P$2:$P$22</c:f>
              <c:numCache>
                <c:formatCode>General</c:formatCode>
                <c:ptCount val="21"/>
                <c:pt idx="0">
                  <c:v>2.6520367508222929E-2</c:v>
                </c:pt>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Calc.'!$AQ$26:$AQ$42</c:f>
              <c:numCache>
                <c:formatCode>General</c:formatCode>
                <c:ptCount val="17"/>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Calc.'!$AQ$3:$AQ$20</c:f>
              <c:numCache>
                <c:formatCode>General</c:formatCode>
                <c:ptCount val="18"/>
                <c:pt idx="0">
                  <c:v>33.470991807100511</c:v>
                </c:pt>
                <c:pt idx="1">
                  <c:v>32.65349034338319</c:v>
                </c:pt>
                <c:pt idx="2">
                  <c:v>31.498439800292235</c:v>
                </c:pt>
                <c:pt idx="3">
                  <c:v>29.811528870759989</c:v>
                </c:pt>
                <c:pt idx="4">
                  <c:v>27.481964778882755</c:v>
                </c:pt>
                <c:pt idx="5">
                  <c:v>25.135706697479421</c:v>
                </c:pt>
                <c:pt idx="6">
                  <c:v>21.141070577547527</c:v>
                </c:pt>
                <c:pt idx="7">
                  <c:v>16.298559388478697</c:v>
                </c:pt>
                <c:pt idx="8">
                  <c:v>10.32082040619561</c:v>
                </c:pt>
                <c:pt idx="9">
                  <c:v>3.3341630974809684</c:v>
                </c:pt>
                <c:pt idx="10">
                  <c:v>-4.9346494090611612</c:v>
                </c:pt>
                <c:pt idx="11">
                  <c:v>-13.397239794114187</c:v>
                </c:pt>
                <c:pt idx="12">
                  <c:v>-21.5921692477717</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Calc.'!$AR$26:$AR$42</c:f>
              <c:numCache>
                <c:formatCode>General</c:formatCode>
                <c:ptCount val="17"/>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Calc.'!$AR$3:$AR$20</c:f>
              <c:numCache>
                <c:formatCode>General</c:formatCode>
                <c:ptCount val="18"/>
                <c:pt idx="0">
                  <c:v>0</c:v>
                </c:pt>
                <c:pt idx="1">
                  <c:v>0.344875652360913</c:v>
                </c:pt>
                <c:pt idx="2">
                  <c:v>0.27016948198144886</c:v>
                </c:pt>
                <c:pt idx="3">
                  <c:v>0.29537856026777837</c:v>
                </c:pt>
                <c:pt idx="4">
                  <c:v>0.65208312928870238</c:v>
                </c:pt>
                <c:pt idx="5">
                  <c:v>1.2107827720272675</c:v>
                </c:pt>
                <c:pt idx="6">
                  <c:v>2.0688185112662913</c:v>
                </c:pt>
                <c:pt idx="7">
                  <c:v>2.8527272321877097</c:v>
                </c:pt>
                <c:pt idx="8">
                  <c:v>3.4632013297510267</c:v>
                </c:pt>
                <c:pt idx="9">
                  <c:v>3.6781700568503197</c:v>
                </c:pt>
                <c:pt idx="10">
                  <c:v>3.4083611673047156</c:v>
                </c:pt>
                <c:pt idx="11">
                  <c:v>2.9333949460332875</c:v>
                </c:pt>
                <c:pt idx="12">
                  <c:v>2.3040423070785989</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Calc.'!$AW$26:$AW$42</c:f>
              <c:numCache>
                <c:formatCode>General</c:formatCode>
                <c:ptCount val="17"/>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Calc.'!$AW$3:$AW$20</c:f>
              <c:numCache>
                <c:formatCode>General</c:formatCode>
                <c:ptCount val="18"/>
                <c:pt idx="0">
                  <c:v>0.9991119005328597</c:v>
                </c:pt>
                <c:pt idx="1">
                  <c:v>0.80785814534082789</c:v>
                </c:pt>
                <c:pt idx="2">
                  <c:v>-0.18494164676312674</c:v>
                </c:pt>
                <c:pt idx="3">
                  <c:v>-1.6224789333994005</c:v>
                </c:pt>
                <c:pt idx="4">
                  <c:v>-3.630718065625604</c:v>
                </c:pt>
                <c:pt idx="5">
                  <c:v>-5.4483899665501472</c:v>
                </c:pt>
                <c:pt idx="6">
                  <c:v>-7.4223403769198093</c:v>
                </c:pt>
                <c:pt idx="7">
                  <c:v>-8.658598068170809</c:v>
                </c:pt>
                <c:pt idx="8">
                  <c:v>-9.055967252150225</c:v>
                </c:pt>
                <c:pt idx="9">
                  <c:v>-8.2547690847381698</c:v>
                </c:pt>
                <c:pt idx="10">
                  <c:v>-6.1139639407063013</c:v>
                </c:pt>
                <c:pt idx="11">
                  <c:v>-3.5627053565279807</c:v>
                </c:pt>
                <c:pt idx="12">
                  <c:v>-1.0376054456520394</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Calc.'!$AN$26:$AN$42</c:f>
              <c:numCache>
                <c:formatCode>General</c:formatCode>
                <c:ptCount val="17"/>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Calc.'!$AN$3:$AN$20</c:f>
              <c:numCache>
                <c:formatCode>General</c:formatCode>
                <c:ptCount val="18"/>
                <c:pt idx="0">
                  <c:v>5.7690000000000001</c:v>
                </c:pt>
                <c:pt idx="1">
                  <c:v>5.5995907302161516</c:v>
                </c:pt>
                <c:pt idx="2">
                  <c:v>5.6309044549845169</c:v>
                </c:pt>
                <c:pt idx="3">
                  <c:v>5.6228113751954387</c:v>
                </c:pt>
                <c:pt idx="4">
                  <c:v>5.5207771664359466</c:v>
                </c:pt>
                <c:pt idx="5">
                  <c:v>5.3148420951131694</c:v>
                </c:pt>
                <c:pt idx="6">
                  <c:v>4.7630200012819799</c:v>
                </c:pt>
                <c:pt idx="7">
                  <c:v>3.9585958957414462</c:v>
                </c:pt>
                <c:pt idx="8">
                  <c:v>2.9148709200717957</c:v>
                </c:pt>
                <c:pt idx="9">
                  <c:v>1.7151181354077956</c:v>
                </c:pt>
                <c:pt idx="10">
                  <c:v>0.43281582754007175</c:v>
                </c:pt>
                <c:pt idx="11">
                  <c:v>-0.52869601052230664</c:v>
                </c:pt>
                <c:pt idx="12">
                  <c:v>-0.98754622964057803</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Data'!$H$7:$H$79</c:f>
              <c:numCache>
                <c:formatCode>0.0000</c:formatCode>
                <c:ptCount val="73"/>
                <c:pt idx="0">
                  <c:v>0.26</c:v>
                </c:pt>
                <c:pt idx="1">
                  <c:v>0.46319998631477349</c:v>
                </c:pt>
                <c:pt idx="2">
                  <c:v>0.81999999999999984</c:v>
                </c:pt>
                <c:pt idx="3">
                  <c:v>1.4616999460220337</c:v>
                </c:pt>
                <c:pt idx="4">
                  <c:v>2.7349999977111819</c:v>
                </c:pt>
                <c:pt idx="5">
                  <c:v>4.0441001487731931</c:v>
                </c:pt>
                <c:pt idx="6">
                  <c:v>6.7267001701354987</c:v>
                </c:pt>
                <c:pt idx="7">
                  <c:v>9.945699555969238</c:v>
                </c:pt>
                <c:pt idx="8">
                  <c:v>12.503599984741211</c:v>
                </c:pt>
                <c:pt idx="9">
                  <c:v>15.666299684143066</c:v>
                </c:pt>
                <c:pt idx="10">
                  <c:v>16.470799310302734</c:v>
                </c:pt>
                <c:pt idx="11">
                  <c:v>15.796199662780761</c:v>
                </c:pt>
                <c:pt idx="12">
                  <c:v>16.004000527954101</c:v>
                </c:pt>
                <c:pt idx="13" formatCode="General">
                  <c:v>15.927300317382812</c:v>
                </c:pt>
                <c:pt idx="14" formatCode="General">
                  <c:v>13.334700448608398</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Regression!$CH$3:$CH$26</c:f>
              <c:numCache>
                <c:formatCode>0.000</c:formatCode>
                <c:ptCount val="24"/>
                <c:pt idx="0">
                  <c:v>0.77195298061299733</c:v>
                </c:pt>
                <c:pt idx="1">
                  <c:v>1.4102850339589154E-2</c:v>
                </c:pt>
                <c:pt idx="2">
                  <c:v>0.22101946317714158</c:v>
                </c:pt>
                <c:pt idx="3">
                  <c:v>1.2330854748451967</c:v>
                </c:pt>
                <c:pt idx="4">
                  <c:v>2.9910100702788553</c:v>
                </c:pt>
                <c:pt idx="5">
                  <c:v>4.8323131339656378</c:v>
                </c:pt>
                <c:pt idx="6">
                  <c:v>7.3776908022620935</c:v>
                </c:pt>
                <c:pt idx="7">
                  <c:v>9.850315033750384</c:v>
                </c:pt>
                <c:pt idx="8">
                  <c:v>12.27974656666883</c:v>
                </c:pt>
                <c:pt idx="9">
                  <c:v>14.349478109640236</c:v>
                </c:pt>
                <c:pt idx="10">
                  <c:v>15.968908501096609</c:v>
                </c:pt>
                <c:pt idx="11">
                  <c:v>16.780535602227602</c:v>
                </c:pt>
                <c:pt idx="12">
                  <c:v>16.7258656048189</c:v>
                </c:pt>
                <c:pt idx="13">
                  <c:v>15.607693644651452</c:v>
                </c:pt>
                <c:pt idx="14">
                  <c:v>13.155581902503357</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Data'!$K$7:$K$79</c:f>
              <c:numCache>
                <c:formatCode>0.00</c:formatCode>
                <c:ptCount val="73"/>
                <c:pt idx="0">
                  <c:v>99.2</c:v>
                </c:pt>
                <c:pt idx="1">
                  <c:v>99.55999755859375</c:v>
                </c:pt>
                <c:pt idx="2">
                  <c:v>98.7</c:v>
                </c:pt>
                <c:pt idx="3">
                  <c:v>99.270103454589844</c:v>
                </c:pt>
                <c:pt idx="4">
                  <c:v>98.889701843261719</c:v>
                </c:pt>
                <c:pt idx="5">
                  <c:v>99.258903503417969</c:v>
                </c:pt>
                <c:pt idx="6">
                  <c:v>99.289901733398438</c:v>
                </c:pt>
                <c:pt idx="7">
                  <c:v>99.193603515625</c:v>
                </c:pt>
                <c:pt idx="8">
                  <c:v>99.228302001953125</c:v>
                </c:pt>
                <c:pt idx="9">
                  <c:v>99.119300842285156</c:v>
                </c:pt>
                <c:pt idx="10">
                  <c:v>98.199798583984375</c:v>
                </c:pt>
                <c:pt idx="11">
                  <c:v>97.856796264648438</c:v>
                </c:pt>
                <c:pt idx="12">
                  <c:v>96.566200256347656</c:v>
                </c:pt>
                <c:pt idx="13" formatCode="General">
                  <c:v>93.397796630859375</c:v>
                </c:pt>
                <c:pt idx="14" formatCode="General">
                  <c:v>82.252700805664063</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21.116666666697711</c:v>
                </c:pt>
                <c:pt idx="1">
                  <c:v>48.383333333360497</c:v>
                </c:pt>
                <c:pt idx="2">
                  <c:v>70.883333333360497</c:v>
                </c:pt>
                <c:pt idx="3">
                  <c:v>95.366666666697711</c:v>
                </c:pt>
                <c:pt idx="4">
                  <c:v>115.80000000010477</c:v>
                </c:pt>
                <c:pt idx="5">
                  <c:v>141</c:v>
                </c:pt>
                <c:pt idx="6">
                  <c:v>164.65000000008149</c:v>
                </c:pt>
                <c:pt idx="7">
                  <c:v>189.03333333326736</c:v>
                </c:pt>
                <c:pt idx="8">
                  <c:v>212.98333333327901</c:v>
                </c:pt>
                <c:pt idx="9">
                  <c:v>238.10000000009313</c:v>
                </c:pt>
                <c:pt idx="10">
                  <c:v>261.75</c:v>
                </c:pt>
                <c:pt idx="11">
                  <c:v>284.75000000005821</c:v>
                </c:pt>
                <c:pt idx="12">
                  <c:v>308.58333333337214</c:v>
                </c:pt>
                <c:pt idx="13">
                  <c:v>332.93333333329065</c:v>
                </c:pt>
              </c:numCache>
            </c:numRef>
          </c:xVal>
          <c:yVal>
            <c:numRef>
              <c:f>'Measured Data'!$H$8:$H$84</c:f>
              <c:numCache>
                <c:formatCode>0.0000</c:formatCode>
                <c:ptCount val="77"/>
                <c:pt idx="0">
                  <c:v>0.46319998631477349</c:v>
                </c:pt>
                <c:pt idx="1">
                  <c:v>0.81999999999999984</c:v>
                </c:pt>
                <c:pt idx="2">
                  <c:v>1.4616999460220337</c:v>
                </c:pt>
                <c:pt idx="3">
                  <c:v>2.7349999977111819</c:v>
                </c:pt>
                <c:pt idx="4">
                  <c:v>4.0441001487731931</c:v>
                </c:pt>
                <c:pt idx="5">
                  <c:v>6.7267001701354987</c:v>
                </c:pt>
                <c:pt idx="6">
                  <c:v>9.945699555969238</c:v>
                </c:pt>
                <c:pt idx="7">
                  <c:v>12.503599984741211</c:v>
                </c:pt>
                <c:pt idx="8">
                  <c:v>15.666299684143066</c:v>
                </c:pt>
                <c:pt idx="9">
                  <c:v>16.470799310302734</c:v>
                </c:pt>
                <c:pt idx="10">
                  <c:v>15.796199662780761</c:v>
                </c:pt>
                <c:pt idx="11">
                  <c:v>16.004000527954101</c:v>
                </c:pt>
                <c:pt idx="12" formatCode="General">
                  <c:v>15.927300317382812</c:v>
                </c:pt>
                <c:pt idx="13" formatCode="General">
                  <c:v>13.334700448608398</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Data'!$AP$7:$AP$84</c:f>
              <c:numCache>
                <c:formatCode>General</c:formatCode>
                <c:ptCount val="78"/>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Data'!$AD$7:$AD$84</c:f>
              <c:numCache>
                <c:formatCode>General</c:formatCode>
                <c:ptCount val="78"/>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Data'!$AF$7:$AF$84</c:f>
              <c:numCache>
                <c:formatCode>0.0000</c:formatCode>
                <c:ptCount val="78"/>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pt idx="13" formatCode="General">
                  <c:v>1.9982238010657194</c:v>
                </c:pt>
                <c:pt idx="14" formatCode="General">
                  <c:v>3.3303730017761985</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Data'!$AG$7:$AG$84</c:f>
              <c:numCache>
                <c:formatCode>General</c:formatCode>
                <c:ptCount val="78"/>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Data'!$AM$7:$AM$84</c:f>
              <c:numCache>
                <c:formatCode>General</c:formatCode>
                <c:ptCount val="78"/>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Data'!$U$7:$U$84</c:f>
              <c:numCache>
                <c:formatCode>General</c:formatCode>
                <c:ptCount val="78"/>
                <c:pt idx="0">
                  <c:v>5.8999999999999997E-2</c:v>
                </c:pt>
                <c:pt idx="1">
                  <c:v>6.7000000000000004E-2</c:v>
                </c:pt>
                <c:pt idx="2">
                  <c:v>6.6000000000000003E-2</c:v>
                </c:pt>
                <c:pt idx="3">
                  <c:v>0.10299999999999999</c:v>
                </c:pt>
                <c:pt idx="4">
                  <c:v>0.27500000000000002</c:v>
                </c:pt>
                <c:pt idx="5">
                  <c:v>0.59899999999999998</c:v>
                </c:pt>
                <c:pt idx="6">
                  <c:v>1.444</c:v>
                </c:pt>
                <c:pt idx="7">
                  <c:v>2.85</c:v>
                </c:pt>
                <c:pt idx="8">
                  <c:v>4.8929999999999998</c:v>
                </c:pt>
                <c:pt idx="9">
                  <c:v>6.5250000000000004</c:v>
                </c:pt>
                <c:pt idx="10">
                  <c:v>7.3479999999999999</c:v>
                </c:pt>
                <c:pt idx="11">
                  <c:v>6.2030000000000003</c:v>
                </c:pt>
                <c:pt idx="12">
                  <c:v>4.8979999999999997</c:v>
                </c:pt>
                <c:pt idx="13">
                  <c:v>2.9329999999999998</c:v>
                </c:pt>
                <c:pt idx="14">
                  <c:v>2.5499999999999998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 </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Data'!$AJ$7:$AJ$84</c:f>
              <c:numCache>
                <c:formatCode>0.00</c:formatCode>
                <c:ptCount val="78"/>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numRef>
          </c:xVal>
          <c:yVal>
            <c:numRef>
              <c:f>'Measured Data'!$AO$7:$AO$14</c:f>
              <c:numCache>
                <c:formatCode>General</c:formatCode>
                <c:ptCount val="8"/>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Data'!$T$7:$T$48</c:f>
              <c:numCache>
                <c:formatCode>0.0000</c:formatCode>
                <c:ptCount val="4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Data'!$V$7:$V$48</c:f>
              <c:numCache>
                <c:formatCode>General</c:formatCode>
                <c:ptCount val="42"/>
                <c:pt idx="0">
                  <c:v>1.9039999999999999</c:v>
                </c:pt>
                <c:pt idx="1">
                  <c:v>2.012</c:v>
                </c:pt>
                <c:pt idx="2">
                  <c:v>1.772</c:v>
                </c:pt>
                <c:pt idx="3">
                  <c:v>1.6379999999999999</c:v>
                </c:pt>
                <c:pt idx="4">
                  <c:v>2.02</c:v>
                </c:pt>
                <c:pt idx="5">
                  <c:v>2.423</c:v>
                </c:pt>
                <c:pt idx="6">
                  <c:v>2.9140000000000001</c:v>
                </c:pt>
                <c:pt idx="7">
                  <c:v>3.3980000000000001</c:v>
                </c:pt>
                <c:pt idx="8">
                  <c:v>3.0089999999999999</c:v>
                </c:pt>
                <c:pt idx="9">
                  <c:v>2.5329999999999999</c:v>
                </c:pt>
                <c:pt idx="10">
                  <c:v>2.3109999999999999</c:v>
                </c:pt>
                <c:pt idx="11">
                  <c:v>1.97</c:v>
                </c:pt>
                <c:pt idx="12">
                  <c:v>1.6319999999999999</c:v>
                </c:pt>
                <c:pt idx="13">
                  <c:v>1.2270000000000001</c:v>
                </c:pt>
                <c:pt idx="14">
                  <c:v>1.3220000000000001</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Data'!$AA$7:$AA$48</c:f>
              <c:numCache>
                <c:formatCode>General</c:formatCode>
                <c:ptCount val="42"/>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pt idx="13">
                  <c:v>2.2559999999999998</c:v>
                </c:pt>
                <c:pt idx="14">
                  <c:v>1.909</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Data'!$AC$7:$AC$84</c:f>
              <c:numCache>
                <c:formatCode>General</c:formatCode>
                <c:ptCount val="78"/>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Data'!$AH$7:$AH$84</c:f>
              <c:numCache>
                <c:formatCode>General</c:formatCode>
                <c:ptCount val="78"/>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Data'!$AL$7:$AL$84</c:f>
              <c:numCache>
                <c:formatCode>General</c:formatCode>
                <c:ptCount val="78"/>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Data'!$AO$7:$AO$84</c:f>
              <c:numCache>
                <c:formatCode>General</c:formatCode>
                <c:ptCount val="78"/>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Data'!$AB$7:$AB$84</c:f>
              <c:numCache>
                <c:formatCode>General</c:formatCode>
                <c:ptCount val="78"/>
                <c:pt idx="0">
                  <c:v>2.2559999999999998</c:v>
                </c:pt>
                <c:pt idx="1">
                  <c:v>2.3919999999999999</c:v>
                </c:pt>
                <c:pt idx="2">
                  <c:v>2.2530000000000001</c:v>
                </c:pt>
                <c:pt idx="3">
                  <c:v>2.2280000000000002</c:v>
                </c:pt>
                <c:pt idx="4">
                  <c:v>6.4169999999999998</c:v>
                </c:pt>
                <c:pt idx="5">
                  <c:v>9.4480000000000004</c:v>
                </c:pt>
                <c:pt idx="6">
                  <c:v>13.005000000000001</c:v>
                </c:pt>
                <c:pt idx="7">
                  <c:v>15.743</c:v>
                </c:pt>
                <c:pt idx="8">
                  <c:v>14.6</c:v>
                </c:pt>
                <c:pt idx="9">
                  <c:v>11.56</c:v>
                </c:pt>
                <c:pt idx="10">
                  <c:v>8.9469999999999992</c:v>
                </c:pt>
                <c:pt idx="11">
                  <c:v>6.4160000000000004</c:v>
                </c:pt>
                <c:pt idx="12">
                  <c:v>4.1349999999999998</c:v>
                </c:pt>
                <c:pt idx="13">
                  <c:v>2.3570000000000002</c:v>
                </c:pt>
                <c:pt idx="14">
                  <c:v>2.8820000000000001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Data'!$W$7:$W$84</c:f>
              <c:numCache>
                <c:formatCode>General</c:formatCode>
                <c:ptCount val="78"/>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pt idx="13">
                  <c:v>7.0999999999999994E-2</c:v>
                </c:pt>
                <c:pt idx="14">
                  <c:v>8.5999999999999993E-2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Data'!$Y$7:$Y$84</c:f>
              <c:numCache>
                <c:formatCode>General</c:formatCode>
                <c:ptCount val="78"/>
                <c:pt idx="0">
                  <c:v>1.016</c:v>
                </c:pt>
                <c:pt idx="1">
                  <c:v>1.115</c:v>
                </c:pt>
                <c:pt idx="2">
                  <c:v>1.03</c:v>
                </c:pt>
                <c:pt idx="3">
                  <c:v>0.94299999999999995</c:v>
                </c:pt>
                <c:pt idx="4">
                  <c:v>0.86599999999999999</c:v>
                </c:pt>
                <c:pt idx="5">
                  <c:v>0.77700000000000002</c:v>
                </c:pt>
                <c:pt idx="6">
                  <c:v>0.69</c:v>
                </c:pt>
                <c:pt idx="7">
                  <c:v>0.58699999999999997</c:v>
                </c:pt>
                <c:pt idx="8">
                  <c:v>0.41</c:v>
                </c:pt>
                <c:pt idx="9">
                  <c:v>0.23699999999999999</c:v>
                </c:pt>
                <c:pt idx="10">
                  <c:v>0.13400000000000001</c:v>
                </c:pt>
                <c:pt idx="11">
                  <c:v>8.5000000000000006E-2</c:v>
                </c:pt>
                <c:pt idx="12">
                  <c:v>9.7000000000000003E-2</c:v>
                </c:pt>
                <c:pt idx="13">
                  <c:v>0.17199999999999999</c:v>
                </c:pt>
                <c:pt idx="14">
                  <c:v>0.41299999999999998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Data'!$AE$7:$AE$84</c:f>
              <c:numCache>
                <c:formatCode>General</c:formatCode>
                <c:ptCount val="78"/>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Data'!$AI$7:$AI$84</c:f>
              <c:numCache>
                <c:formatCode>General</c:formatCode>
                <c:ptCount val="78"/>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Data'!$R$7:$R$79</c:f>
              <c:numCache>
                <c:formatCode>0.0000</c:formatCode>
                <c:ptCount val="73"/>
                <c:pt idx="0">
                  <c:v>329</c:v>
                </c:pt>
                <c:pt idx="1">
                  <c:v>324</c:v>
                </c:pt>
                <c:pt idx="2">
                  <c:v>325</c:v>
                </c:pt>
                <c:pt idx="3">
                  <c:v>327</c:v>
                </c:pt>
                <c:pt idx="4">
                  <c:v>352</c:v>
                </c:pt>
                <c:pt idx="5">
                  <c:v>373</c:v>
                </c:pt>
                <c:pt idx="6">
                  <c:v>380</c:v>
                </c:pt>
                <c:pt idx="7">
                  <c:v>396</c:v>
                </c:pt>
                <c:pt idx="8">
                  <c:v>376</c:v>
                </c:pt>
                <c:pt idx="9">
                  <c:v>371</c:v>
                </c:pt>
                <c:pt idx="10">
                  <c:v>369</c:v>
                </c:pt>
                <c:pt idx="11">
                  <c:v>395</c:v>
                </c:pt>
                <c:pt idx="12">
                  <c:v>403</c:v>
                </c:pt>
                <c:pt idx="13">
                  <c:v>421</c:v>
                </c:pt>
                <c:pt idx="14">
                  <c:v>460</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Data'!$S$7:$S$84</c:f>
              <c:numCache>
                <c:formatCode>0.0000</c:formatCode>
                <c:ptCount val="78"/>
                <c:pt idx="4">
                  <c:v>25.45</c:v>
                </c:pt>
                <c:pt idx="5">
                  <c:v>82.36</c:v>
                </c:pt>
                <c:pt idx="6">
                  <c:v>209.2</c:v>
                </c:pt>
                <c:pt idx="7">
                  <c:v>410.45</c:v>
                </c:pt>
                <c:pt idx="8">
                  <c:v>741.35</c:v>
                </c:pt>
                <c:pt idx="9">
                  <c:v>1180.8699999999999</c:v>
                </c:pt>
                <c:pt idx="10">
                  <c:v>1585.31</c:v>
                </c:pt>
                <c:pt idx="11">
                  <c:v>2020.63</c:v>
                </c:pt>
                <c:pt idx="12">
                  <c:v>2508.6</c:v>
                </c:pt>
                <c:pt idx="13">
                  <c:v>2885.1</c:v>
                </c:pt>
                <c:pt idx="14">
                  <c:v>3028.8</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Calc.'!$L$3:$L$94</c:f>
              <c:numCache>
                <c:formatCode>0.00</c:formatCode>
                <c:ptCount val="92"/>
                <c:pt idx="0">
                  <c:v>0</c:v>
                </c:pt>
                <c:pt idx="1">
                  <c:v>386.24397372436511</c:v>
                </c:pt>
                <c:pt idx="2">
                  <c:v>1058.9999999999995</c:v>
                </c:pt>
                <c:pt idx="3">
                  <c:v>2239.049098737335</c:v>
                </c:pt>
                <c:pt idx="4">
                  <c:v>4586.7349957405095</c:v>
                </c:pt>
                <c:pt idx="5">
                  <c:v>7069.4026378343078</c:v>
                </c:pt>
                <c:pt idx="6">
                  <c:v>12168.508298275252</c:v>
                </c:pt>
                <c:pt idx="7">
                  <c:v>18352.104561903609</c:v>
                </c:pt>
                <c:pt idx="8">
                  <c:v>23515.852474392137</c:v>
                </c:pt>
                <c:pt idx="9">
                  <c:v>29557.482868931962</c:v>
                </c:pt>
                <c:pt idx="10">
                  <c:v>30178.796459672551</c:v>
                </c:pt>
                <c:pt idx="11">
                  <c:v>28768.135541780684</c:v>
                </c:pt>
                <c:pt idx="12">
                  <c:v>28435.689399102786</c:v>
                </c:pt>
                <c:pt idx="13">
                  <c:v>28204.089122047259</c:v>
                </c:pt>
                <c:pt idx="14">
                  <c:v>23502.324074261476</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Regression!$CI$3:$CI$26</c:f>
              <c:numCache>
                <c:formatCode>0.000</c:formatCode>
                <c:ptCount val="24"/>
                <c:pt idx="0">
                  <c:v>887.15993046496351</c:v>
                </c:pt>
                <c:pt idx="1">
                  <c:v>-497.94518683128467</c:v>
                </c:pt>
                <c:pt idx="2">
                  <c:v>-58.822776650242531</c:v>
                </c:pt>
                <c:pt idx="3">
                  <c:v>1882.7051250567854</c:v>
                </c:pt>
                <c:pt idx="4">
                  <c:v>5224.8561735857929</c:v>
                </c:pt>
                <c:pt idx="5">
                  <c:v>8710.568697374958</c:v>
                </c:pt>
                <c:pt idx="6">
                  <c:v>13511.194223555231</c:v>
                </c:pt>
                <c:pt idx="7">
                  <c:v>18152.539914965884</c:v>
                </c:pt>
                <c:pt idx="8">
                  <c:v>22681.224088615687</c:v>
                </c:pt>
                <c:pt idx="9">
                  <c:v>26492.628219718434</c:v>
                </c:pt>
                <c:pt idx="10">
                  <c:v>29395.46480658582</c:v>
                </c:pt>
                <c:pt idx="11">
                  <c:v>30719.071717507773</c:v>
                </c:pt>
                <c:pt idx="12">
                  <c:v>30340.71195700203</c:v>
                </c:pt>
                <c:pt idx="13">
                  <c:v>27854.121583155124</c:v>
                </c:pt>
                <c:pt idx="14">
                  <c:v>22727.93503229713</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Regression!$CK$3:$CK$26</c:f>
              <c:numCache>
                <c:formatCode>0.000</c:formatCode>
                <c:ptCount val="24"/>
                <c:pt idx="0">
                  <c:v>229.5230596319727</c:v>
                </c:pt>
                <c:pt idx="1">
                  <c:v>-48.963478091507909</c:v>
                </c:pt>
                <c:pt idx="2">
                  <c:v>-219.69541498467464</c:v>
                </c:pt>
                <c:pt idx="3">
                  <c:v>-207.06699490588858</c:v>
                </c:pt>
                <c:pt idx="4">
                  <c:v>-51.866786253212922</c:v>
                </c:pt>
                <c:pt idx="5">
                  <c:v>178.75792333043012</c:v>
                </c:pt>
                <c:pt idx="6">
                  <c:v>574.51781661109226</c:v>
                </c:pt>
                <c:pt idx="7">
                  <c:v>1042.5642423859854</c:v>
                </c:pt>
                <c:pt idx="8">
                  <c:v>1606.7702026225409</c:v>
                </c:pt>
                <c:pt idx="9">
                  <c:v>2225.7974812133589</c:v>
                </c:pt>
                <c:pt idx="10">
                  <c:v>2926.8020904887612</c:v>
                </c:pt>
                <c:pt idx="11">
                  <c:v>3619.4197466074547</c:v>
                </c:pt>
                <c:pt idx="12">
                  <c:v>4308.6353878632572</c:v>
                </c:pt>
                <c:pt idx="13">
                  <c:v>5024.1236699868705</c:v>
                </c:pt>
                <c:pt idx="14">
                  <c:v>5740.6058283083676</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Calc.'!$T$3:$T$94</c:f>
              <c:numCache>
                <c:formatCode>0.0000</c:formatCode>
                <c:ptCount val="9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Calc.'!$U$3:$U$94</c:f>
              <c:numCache>
                <c:formatCode>0.0000</c:formatCode>
                <c:ptCount val="92"/>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Regression!$CQ$3:$CQ$26</c:f>
              <c:numCache>
                <c:formatCode>0.000</c:formatCode>
                <c:ptCount val="24"/>
                <c:pt idx="0">
                  <c:v>-0.42745446146290605</c:v>
                </c:pt>
                <c:pt idx="1">
                  <c:v>0.65234599372360258</c:v>
                </c:pt>
                <c:pt idx="2">
                  <c:v>2.3802406813074923</c:v>
                </c:pt>
                <c:pt idx="3">
                  <c:v>4.6803512478579448</c:v>
                </c:pt>
                <c:pt idx="4">
                  <c:v>8.6034405511582381</c:v>
                </c:pt>
                <c:pt idx="5">
                  <c:v>13.285360510333309</c:v>
                </c:pt>
                <c:pt idx="6">
                  <c:v>21.049183060634345</c:v>
                </c:pt>
                <c:pt idx="7">
                  <c:v>30.425873876786994</c:v>
                </c:pt>
                <c:pt idx="8">
                  <c:v>42.168438584598164</c:v>
                </c:pt>
                <c:pt idx="9">
                  <c:v>55.567282295158634</c:v>
                </c:pt>
                <c:pt idx="10">
                  <c:v>71.246812537099999</c:v>
                </c:pt>
                <c:pt idx="11">
                  <c:v>87.059085752506149</c:v>
                </c:pt>
                <c:pt idx="12">
                  <c:v>102.84538822142818</c:v>
                </c:pt>
                <c:pt idx="13">
                  <c:v>118.91679175706039</c:v>
                </c:pt>
                <c:pt idx="14">
                  <c:v>134.13922355372884</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Regression!$CR$3:$CR$26</c:f>
              <c:numCache>
                <c:formatCode>0.000</c:formatCode>
                <c:ptCount val="24"/>
                <c:pt idx="0">
                  <c:v>0.19093692521423913</c:v>
                </c:pt>
                <c:pt idx="1">
                  <c:v>-0.47639746210412753</c:v>
                </c:pt>
                <c:pt idx="2">
                  <c:v>-0.33813474976097008</c:v>
                </c:pt>
                <c:pt idx="3">
                  <c:v>-0.39399295887388974</c:v>
                </c:pt>
                <c:pt idx="4">
                  <c:v>-1.0676014087611601</c:v>
                </c:pt>
                <c:pt idx="5">
                  <c:v>-2.0998545635243149</c:v>
                </c:pt>
                <c:pt idx="6">
                  <c:v>-3.6928332347553896</c:v>
                </c:pt>
                <c:pt idx="7">
                  <c:v>-5.1446406179903388</c:v>
                </c:pt>
                <c:pt idx="8">
                  <c:v>-6.230245649150266</c:v>
                </c:pt>
                <c:pt idx="9">
                  <c:v>-6.6506641483054487</c:v>
                </c:pt>
                <c:pt idx="10">
                  <c:v>-6.3389308752906857</c:v>
                </c:pt>
                <c:pt idx="11">
                  <c:v>-5.487392680986261</c:v>
                </c:pt>
                <c:pt idx="12">
                  <c:v>-4.4526811503815509</c:v>
                </c:pt>
                <c:pt idx="13">
                  <c:v>-3.6252881877490211</c:v>
                </c:pt>
                <c:pt idx="14">
                  <c:v>-3.5950024320259786</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Calc.'!$Z$3:$Z$94</c:f>
              <c:numCache>
                <c:formatCode>0.0000</c:formatCode>
                <c:ptCount val="92"/>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pt idx="10">
                  <c:v>11.715160597986976</c:v>
                </c:pt>
                <c:pt idx="11">
                  <c:v>8.9694654134596412</c:v>
                </c:pt>
                <c:pt idx="12">
                  <c:v>6.0961244326031192</c:v>
                </c:pt>
                <c:pt idx="13">
                  <c:v>1.6682948490230904</c:v>
                </c:pt>
                <c:pt idx="14">
                  <c:v>4.0621299585553583</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Regression!$CW$3:$CW$26</c:f>
              <c:numCache>
                <c:formatCode>0.000</c:formatCode>
                <c:ptCount val="24"/>
                <c:pt idx="0">
                  <c:v>0.33209359547014722</c:v>
                </c:pt>
                <c:pt idx="1">
                  <c:v>0.68718293325873592</c:v>
                </c:pt>
                <c:pt idx="2">
                  <c:v>2.5812406619182164</c:v>
                </c:pt>
                <c:pt idx="3">
                  <c:v>5.3251125007164486</c:v>
                </c:pt>
                <c:pt idx="4">
                  <c:v>9.1169062967737968</c:v>
                </c:pt>
                <c:pt idx="5">
                  <c:v>12.457907682159412</c:v>
                </c:pt>
                <c:pt idx="6">
                  <c:v>16.092546643539457</c:v>
                </c:pt>
                <c:pt idx="7">
                  <c:v>18.332038423906472</c:v>
                </c:pt>
                <c:pt idx="8">
                  <c:v>18.867629102871895</c:v>
                </c:pt>
                <c:pt idx="9">
                  <c:v>17.348094508110563</c:v>
                </c:pt>
                <c:pt idx="10">
                  <c:v>13.702572773125638</c:v>
                </c:pt>
                <c:pt idx="11">
                  <c:v>9.0096852572813475</c:v>
                </c:pt>
                <c:pt idx="12">
                  <c:v>4.4902627959175163</c:v>
                </c:pt>
                <c:pt idx="13">
                  <c:v>1.8408118300055207</c:v>
                </c:pt>
                <c:pt idx="14">
                  <c:v>4.2926876990429719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Calc.'!$O$3:$O$94</c:f>
              <c:numCache>
                <c:formatCode>0.0000</c:formatCode>
                <c:ptCount val="92"/>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pt idx="10">
                  <c:v>-13.573730222222224</c:v>
                </c:pt>
                <c:pt idx="11">
                  <c:v>-11.380338611111114</c:v>
                </c:pt>
                <c:pt idx="12">
                  <c:v>-8.7425074444444455</c:v>
                </c:pt>
                <c:pt idx="13">
                  <c:v>-5.1722416111111125</c:v>
                </c:pt>
                <c:pt idx="14">
                  <c:v>-4.4764016666666677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Calc.'!$Q$3:$Q$94</c:f>
              <c:numCache>
                <c:formatCode>0.0000</c:formatCode>
                <c:ptCount val="92"/>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pt idx="10">
                  <c:v>11.163015</c:v>
                </c:pt>
                <c:pt idx="11">
                  <c:v>11.037007222222222</c:v>
                </c:pt>
                <c:pt idx="12">
                  <c:v>11.049097</c:v>
                </c:pt>
                <c:pt idx="13">
                  <c:v>11.035045388888889</c:v>
                </c:pt>
                <c:pt idx="14">
                  <c:v>11.008195888888888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Calc.'!$V$3:$V$94</c:f>
              <c:numCache>
                <c:formatCode>0.0000</c:formatCode>
                <c:ptCount val="92"/>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pt idx="10">
                  <c:v>-12.301161305555556</c:v>
                </c:pt>
                <c:pt idx="11">
                  <c:v>-7.5238444444444479</c:v>
                </c:pt>
                <c:pt idx="12">
                  <c:v>-3.1116388888888915</c:v>
                </c:pt>
                <c:pt idx="13">
                  <c:v>0.1171293888888858</c:v>
                </c:pt>
                <c:pt idx="14">
                  <c:v>-0.82288044444444775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Regression!$CL$3:$CL$26</c:f>
              <c:numCache>
                <c:formatCode>0.000</c:formatCode>
                <c:ptCount val="24"/>
                <c:pt idx="0">
                  <c:v>-1.1163387045892685</c:v>
                </c:pt>
                <c:pt idx="1">
                  <c:v>0.60376035056368538</c:v>
                </c:pt>
                <c:pt idx="2">
                  <c:v>1.3283926298995117</c:v>
                </c:pt>
                <c:pt idx="3">
                  <c:v>0.85175217136419779</c:v>
                </c:pt>
                <c:pt idx="4">
                  <c:v>-0.50128232350712087</c:v>
                </c:pt>
                <c:pt idx="5">
                  <c:v>-2.100958552580992</c:v>
                </c:pt>
                <c:pt idx="6">
                  <c:v>-4.4088098408624603</c:v>
                </c:pt>
                <c:pt idx="7">
                  <c:v>-6.6586664568788763</c:v>
                </c:pt>
                <c:pt idx="8">
                  <c:v>-8.7927160385692744</c:v>
                </c:pt>
                <c:pt idx="9">
                  <c:v>-10.44246303410663</c:v>
                </c:pt>
                <c:pt idx="10">
                  <c:v>-11.41168536507319</c:v>
                </c:pt>
                <c:pt idx="11">
                  <c:v>-11.347564936558186</c:v>
                </c:pt>
                <c:pt idx="12">
                  <c:v>-10.13352877044305</c:v>
                </c:pt>
                <c:pt idx="13">
                  <c:v>-7.4291299434911195</c:v>
                </c:pt>
                <c:pt idx="14">
                  <c:v>-2.8822105092412329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Regression!$CN$3:$CN$26</c:f>
              <c:numCache>
                <c:formatCode>0.000</c:formatCode>
                <c:ptCount val="24"/>
                <c:pt idx="0">
                  <c:v>0.31449594517216584</c:v>
                </c:pt>
                <c:pt idx="1">
                  <c:v>0.55576788220391127</c:v>
                </c:pt>
                <c:pt idx="2">
                  <c:v>0.4116516696954079</c:v>
                </c:pt>
                <c:pt idx="3">
                  <c:v>0.26377275749905216</c:v>
                </c:pt>
                <c:pt idx="4">
                  <c:v>0.37084676250392712</c:v>
                </c:pt>
                <c:pt idx="5">
                  <c:v>0.81747863103543583</c:v>
                </c:pt>
                <c:pt idx="6">
                  <c:v>1.9107933138810997</c:v>
                </c:pt>
                <c:pt idx="7">
                  <c:v>3.4834822159707013</c:v>
                </c:pt>
                <c:pt idx="8">
                  <c:v>5.5617428434822145</c:v>
                </c:pt>
                <c:pt idx="9">
                  <c:v>7.8601349434188386</c:v>
                </c:pt>
                <c:pt idx="10">
                  <c:v>10.224577120074301</c:v>
                </c:pt>
                <c:pt idx="11">
                  <c:v>12.011466759430817</c:v>
                </c:pt>
                <c:pt idx="12">
                  <c:v>12.885444911607564</c:v>
                </c:pt>
                <c:pt idx="13">
                  <c:v>12.334909996161088</c:v>
                </c:pt>
                <c:pt idx="14">
                  <c:v>9.552252933048635</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Regression!$CS$3:$CS$26</c:f>
              <c:numCache>
                <c:formatCode>0.000</c:formatCode>
                <c:ptCount val="24"/>
                <c:pt idx="0">
                  <c:v>4.3482593564835677</c:v>
                </c:pt>
                <c:pt idx="1">
                  <c:v>0.7399606267343033</c:v>
                </c:pt>
                <c:pt idx="2">
                  <c:v>-3.8717120392974165</c:v>
                </c:pt>
                <c:pt idx="3">
                  <c:v>-7.4227367113818215</c:v>
                </c:pt>
                <c:pt idx="4">
                  <c:v>-10.888024947234198</c:v>
                </c:pt>
                <c:pt idx="5">
                  <c:v>-13.362429357793637</c:v>
                </c:pt>
                <c:pt idx="6">
                  <c:v>-15.761077855001879</c:v>
                </c:pt>
                <c:pt idx="7">
                  <c:v>-17.227448350130622</c:v>
                </c:pt>
                <c:pt idx="8">
                  <c:v>-17.805799674982985</c:v>
                </c:pt>
                <c:pt idx="9">
                  <c:v>-17.3172411194553</c:v>
                </c:pt>
                <c:pt idx="10">
                  <c:v>-15.534394648268382</c:v>
                </c:pt>
                <c:pt idx="11">
                  <c:v>-12.531795912783107</c:v>
                </c:pt>
                <c:pt idx="12">
                  <c:v>-8.2562923851583676</c:v>
                </c:pt>
                <c:pt idx="13">
                  <c:v>-2.2892984800811575</c:v>
                </c:pt>
                <c:pt idx="14">
                  <c:v>5.556506655758362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Calc.'!$R$3:$R$98</c:f>
              <c:numCache>
                <c:formatCode>0.0000</c:formatCode>
                <c:ptCount val="96"/>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pt idx="10">
                  <c:v>-1.6656349722222223</c:v>
                </c:pt>
                <c:pt idx="11">
                  <c:v>-1.3265433333333343</c:v>
                </c:pt>
                <c:pt idx="12">
                  <c:v>-0.4301398888888901</c:v>
                </c:pt>
                <c:pt idx="13">
                  <c:v>0.62002944444444363</c:v>
                </c:pt>
                <c:pt idx="14">
                  <c:v>-1.1877874444444463</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Calc.'!$S$3:$S$94</c:f>
              <c:numCache>
                <c:formatCode>0.0000</c:formatCode>
                <c:ptCount val="92"/>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Regression!$CO$3:$CO$26</c:f>
              <c:numCache>
                <c:formatCode>0.000</c:formatCode>
                <c:ptCount val="24"/>
                <c:pt idx="0">
                  <c:v>-0.69643954541362907</c:v>
                </c:pt>
                <c:pt idx="1">
                  <c:v>0.43392391196958741</c:v>
                </c:pt>
                <c:pt idx="2">
                  <c:v>0.79023249855156952</c:v>
                </c:pt>
                <c:pt idx="3">
                  <c:v>0.4557741768949708</c:v>
                </c:pt>
                <c:pt idx="4">
                  <c:v>-0.24065663253221359</c:v>
                </c:pt>
                <c:pt idx="5">
                  <c:v>-0.90321398440518386</c:v>
                </c:pt>
                <c:pt idx="6">
                  <c:v>-1.6371939891733538</c:v>
                </c:pt>
                <c:pt idx="7">
                  <c:v>-2.1137678819848569</c:v>
                </c:pt>
                <c:pt idx="8">
                  <c:v>-2.3108100192311216</c:v>
                </c:pt>
                <c:pt idx="9">
                  <c:v>-2.1958889362671083</c:v>
                </c:pt>
                <c:pt idx="10">
                  <c:v>-1.7922355061306519</c:v>
                </c:pt>
                <c:pt idx="11">
                  <c:v>-1.248742749976401</c:v>
                </c:pt>
                <c:pt idx="12">
                  <c:v>-0.71537935457099167</c:v>
                </c:pt>
                <c:pt idx="13">
                  <c:v>-0.36316684230527585</c:v>
                </c:pt>
                <c:pt idx="14">
                  <c:v>-0.49016413616591592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Regression!$CP$3:$CP$26</c:f>
              <c:numCache>
                <c:formatCode>0.000</c:formatCode>
                <c:ptCount val="24"/>
                <c:pt idx="0">
                  <c:v>2.2826212468095618E-3</c:v>
                </c:pt>
                <c:pt idx="1">
                  <c:v>-7.0490567092186707E-2</c:v>
                </c:pt>
                <c:pt idx="2">
                  <c:v>-3.9237699529391219E-2</c:v>
                </c:pt>
                <c:pt idx="3">
                  <c:v>7.5251490278354108E-2</c:v>
                </c:pt>
                <c:pt idx="4">
                  <c:v>0.26893118111539349</c:v>
                </c:pt>
                <c:pt idx="5">
                  <c:v>0.46975062002572587</c:v>
                </c:pt>
                <c:pt idx="6">
                  <c:v>0.74571551334656949</c:v>
                </c:pt>
                <c:pt idx="7">
                  <c:v>1.0124981972974512</c:v>
                </c:pt>
                <c:pt idx="8">
                  <c:v>1.2733371356350103</c:v>
                </c:pt>
                <c:pt idx="9">
                  <c:v>1.494005115382405</c:v>
                </c:pt>
                <c:pt idx="10">
                  <c:v>1.6642513153545506</c:v>
                </c:pt>
                <c:pt idx="11">
                  <c:v>1.7456853192538873</c:v>
                </c:pt>
                <c:pt idx="12">
                  <c:v>1.7316532563893707</c:v>
                </c:pt>
                <c:pt idx="13">
                  <c:v>1.599842492083269</c:v>
                </c:pt>
                <c:pt idx="14">
                  <c:v>1.3203743147683227</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Calc.'!$AM$3:$AM$94</c:f>
              <c:numCache>
                <c:formatCode>0</c:formatCode>
                <c:ptCount val="92"/>
                <c:pt idx="0">
                  <c:v>0</c:v>
                </c:pt>
                <c:pt idx="1">
                  <c:v>-1.8146400000000003</c:v>
                </c:pt>
                <c:pt idx="2">
                  <c:v>2.5257450000000006</c:v>
                </c:pt>
                <c:pt idx="3">
                  <c:v>7.7376319999999978</c:v>
                </c:pt>
                <c:pt idx="4">
                  <c:v>-8.3111480000000029</c:v>
                </c:pt>
                <c:pt idx="5">
                  <c:v>-22.403531185185187</c:v>
                </c:pt>
                <c:pt idx="6">
                  <c:v>-38.140436444444447</c:v>
                </c:pt>
                <c:pt idx="7">
                  <c:v>-51.223273333333339</c:v>
                </c:pt>
                <c:pt idx="8">
                  <c:v>-38.061684000000007</c:v>
                </c:pt>
                <c:pt idx="9">
                  <c:v>-26.130899638888899</c:v>
                </c:pt>
                <c:pt idx="10">
                  <c:v>-17.29681061111112</c:v>
                </c:pt>
                <c:pt idx="11">
                  <c:v>-3.9036919444444553</c:v>
                </c:pt>
                <c:pt idx="12">
                  <c:v>7.4133824444444345</c:v>
                </c:pt>
                <c:pt idx="13">
                  <c:v>18.705362888888878</c:v>
                </c:pt>
                <c:pt idx="14">
                  <c:v>16.318395111111098</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Calc.'!$AN$3:$AN$94</c:f>
              <c:numCache>
                <c:formatCode>0</c:formatCode>
                <c:ptCount val="92"/>
                <c:pt idx="0">
                  <c:v>0</c:v>
                </c:pt>
                <c:pt idx="1">
                  <c:v>-1.8291150000000003</c:v>
                </c:pt>
                <c:pt idx="2">
                  <c:v>2.5141800000000005</c:v>
                </c:pt>
                <c:pt idx="3">
                  <c:v>7.6585689999999982</c:v>
                </c:pt>
                <c:pt idx="4">
                  <c:v>-8.7087580000000031</c:v>
                </c:pt>
                <c:pt idx="5">
                  <c:v>-23.410982592592596</c:v>
                </c:pt>
                <c:pt idx="6">
                  <c:v>-40.746446555555558</c:v>
                </c:pt>
                <c:pt idx="7">
                  <c:v>-56.51218055555556</c:v>
                </c:pt>
                <c:pt idx="8">
                  <c:v>-47.346790777777784</c:v>
                </c:pt>
                <c:pt idx="9">
                  <c:v>-38.5369408888889</c:v>
                </c:pt>
                <c:pt idx="10">
                  <c:v>-30.870540833333344</c:v>
                </c:pt>
                <c:pt idx="11">
                  <c:v>-15.284030555555569</c:v>
                </c:pt>
                <c:pt idx="12">
                  <c:v>-1.329125000000011</c:v>
                </c:pt>
                <c:pt idx="13">
                  <c:v>13.533121277777767</c:v>
                </c:pt>
                <c:pt idx="14">
                  <c:v>11.84199344444443</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Calc.'!$AO$3:$AO$94</c:f>
              <c:numCache>
                <c:formatCode>0</c:formatCode>
                <c:ptCount val="92"/>
                <c:pt idx="0">
                  <c:v>0</c:v>
                </c:pt>
                <c:pt idx="1">
                  <c:v>-4.6636950000000006</c:v>
                </c:pt>
                <c:pt idx="2">
                  <c:v>4.2637350000000005</c:v>
                </c:pt>
                <c:pt idx="3">
                  <c:v>15.217476999999995</c:v>
                </c:pt>
                <c:pt idx="4">
                  <c:v>-37.285191000000012</c:v>
                </c:pt>
                <c:pt idx="5">
                  <c:v>-78.863238148148156</c:v>
                </c:pt>
                <c:pt idx="6">
                  <c:v>-123.53522566666669</c:v>
                </c:pt>
                <c:pt idx="7">
                  <c:v>-154.50312266666668</c:v>
                </c:pt>
                <c:pt idx="8">
                  <c:v>-108.00721825925926</c:v>
                </c:pt>
                <c:pt idx="9">
                  <c:v>-50.739571222222253</c:v>
                </c:pt>
                <c:pt idx="10">
                  <c:v>-8.8017224166666779</c:v>
                </c:pt>
                <c:pt idx="11">
                  <c:v>22.669767222222205</c:v>
                </c:pt>
                <c:pt idx="12">
                  <c:v>46.001520111111105</c:v>
                </c:pt>
                <c:pt idx="13">
                  <c:v>61.16367211111109</c:v>
                </c:pt>
                <c:pt idx="14">
                  <c:v>46.574202111111077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Regression!$DJ$3:$DJ$26</c:f>
              <c:numCache>
                <c:formatCode>0.000</c:formatCode>
                <c:ptCount val="24"/>
                <c:pt idx="0">
                  <c:v>8.3679292700291636</c:v>
                </c:pt>
                <c:pt idx="1">
                  <c:v>2.613399793446447</c:v>
                </c:pt>
                <c:pt idx="2">
                  <c:v>-5.1844431459141891</c:v>
                </c:pt>
                <c:pt idx="3">
                  <c:v>-11.44304370779196</c:v>
                </c:pt>
                <c:pt idx="4">
                  <c:v>-17.691081808210139</c:v>
                </c:pt>
                <c:pt idx="5">
                  <c:v>-22.180681732927983</c:v>
                </c:pt>
                <c:pt idx="6">
                  <c:v>-26.449295697935966</c:v>
                </c:pt>
                <c:pt idx="7">
                  <c:v>-28.823723057979137</c:v>
                </c:pt>
                <c:pt idx="8">
                  <c:v>-29.234666997937573</c:v>
                </c:pt>
                <c:pt idx="9">
                  <c:v>-27.252816973804549</c:v>
                </c:pt>
                <c:pt idx="10">
                  <c:v>-22.23057020438381</c:v>
                </c:pt>
                <c:pt idx="11">
                  <c:v>-14.372091960210923</c:v>
                </c:pt>
                <c:pt idx="12">
                  <c:v>-3.4743616471101291</c:v>
                </c:pt>
                <c:pt idx="13">
                  <c:v>11.555956812125913</c:v>
                </c:pt>
                <c:pt idx="14">
                  <c:v>31.213893345641793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Regression!$DK$3:$DK$26</c:f>
              <c:numCache>
                <c:formatCode>0.000</c:formatCode>
                <c:ptCount val="24"/>
                <c:pt idx="0">
                  <c:v>7.2515905654398987</c:v>
                </c:pt>
                <c:pt idx="1">
                  <c:v>3.2171601440101383</c:v>
                </c:pt>
                <c:pt idx="2">
                  <c:v>-3.8560505160146699</c:v>
                </c:pt>
                <c:pt idx="3">
                  <c:v>-10.591291536427756</c:v>
                </c:pt>
                <c:pt idx="4">
                  <c:v>-18.192364131717259</c:v>
                </c:pt>
                <c:pt idx="5">
                  <c:v>-24.281640285508978</c:v>
                </c:pt>
                <c:pt idx="6">
                  <c:v>-30.858105538798426</c:v>
                </c:pt>
                <c:pt idx="7">
                  <c:v>-35.482389514858006</c:v>
                </c:pt>
                <c:pt idx="8">
                  <c:v>-38.027383036506855</c:v>
                </c:pt>
                <c:pt idx="9">
                  <c:v>-37.69528000791118</c:v>
                </c:pt>
                <c:pt idx="10">
                  <c:v>-33.642255569457006</c:v>
                </c:pt>
                <c:pt idx="11">
                  <c:v>-25.719656896769095</c:v>
                </c:pt>
                <c:pt idx="12">
                  <c:v>-13.607890417553193</c:v>
                </c:pt>
                <c:pt idx="13">
                  <c:v>4.1268268686348506</c:v>
                </c:pt>
                <c:pt idx="14">
                  <c:v>28.331682836400574</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Regression!$DL$3:$DL$26</c:f>
              <c:numCache>
                <c:formatCode>0.000</c:formatCode>
                <c:ptCount val="24"/>
                <c:pt idx="0">
                  <c:v>34.833629135683999</c:v>
                </c:pt>
                <c:pt idx="1">
                  <c:v>4.3428175981952348</c:v>
                </c:pt>
                <c:pt idx="2">
                  <c:v>-28.582332584870816</c:v>
                </c:pt>
                <c:pt idx="3">
                  <c:v>-49.585057108888549</c:v>
                </c:pt>
                <c:pt idx="4">
                  <c:v>-66.202058398401036</c:v>
                </c:pt>
                <c:pt idx="5">
                  <c:v>-75.16475373396915</c:v>
                </c:pt>
                <c:pt idx="6">
                  <c:v>-80.16412948986553</c:v>
                </c:pt>
                <c:pt idx="7">
                  <c:v>-78.865381983600869</c:v>
                </c:pt>
                <c:pt idx="8">
                  <c:v>-71.551431439844109</c:v>
                </c:pt>
                <c:pt idx="9">
                  <c:v>-58.557452001336699</c:v>
                </c:pt>
                <c:pt idx="10">
                  <c:v>-38.84865001196097</c:v>
                </c:pt>
                <c:pt idx="11">
                  <c:v>-14.695042302398335</c:v>
                </c:pt>
                <c:pt idx="12">
                  <c:v>13.912265867155398</c:v>
                </c:pt>
                <c:pt idx="13">
                  <c:v>48.789807379759445</c:v>
                </c:pt>
                <c:pt idx="14">
                  <c:v>89.829158250266943</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Calc.'!$P$3:$P$94</c:f>
              <c:numCache>
                <c:formatCode>0.0000</c:formatCode>
                <c:ptCount val="92"/>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pt idx="10">
                  <c:v>-0.62070363888888924</c:v>
                </c:pt>
                <c:pt idx="11">
                  <c:v>3.3720555555555087E-2</c:v>
                </c:pt>
                <c:pt idx="12">
                  <c:v>0.73322133333333284</c:v>
                </c:pt>
                <c:pt idx="13">
                  <c:v>1.4727088333333325</c:v>
                </c:pt>
                <c:pt idx="14">
                  <c:v>1.3043462222222213</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Regression!$CM$3:$CM$26</c:f>
              <c:numCache>
                <c:formatCode>0.000</c:formatCode>
                <c:ptCount val="24"/>
                <c:pt idx="0">
                  <c:v>0.39944108830973751</c:v>
                </c:pt>
                <c:pt idx="1">
                  <c:v>0.19847758727512943</c:v>
                </c:pt>
                <c:pt idx="2">
                  <c:v>-0.12476451606233363</c:v>
                </c:pt>
                <c:pt idx="3">
                  <c:v>-0.4154735163115042</c:v>
                </c:pt>
                <c:pt idx="4">
                  <c:v>-0.72849498034753846</c:v>
                </c:pt>
                <c:pt idx="5">
                  <c:v>-0.96685097446921586</c:v>
                </c:pt>
                <c:pt idx="6">
                  <c:v>-1.2057565957824896</c:v>
                </c:pt>
                <c:pt idx="7">
                  <c:v>-1.3484716651281414</c:v>
                </c:pt>
                <c:pt idx="8">
                  <c:v>-1.3849332124316911</c:v>
                </c:pt>
                <c:pt idx="9">
                  <c:v>-1.2840953667071622</c:v>
                </c:pt>
                <c:pt idx="10">
                  <c:v>-1.0032494554943074</c:v>
                </c:pt>
                <c:pt idx="11">
                  <c:v>-0.54750278174350342</c:v>
                </c:pt>
                <c:pt idx="12">
                  <c:v>9.8877337165403034E-2</c:v>
                </c:pt>
                <c:pt idx="13">
                  <c:v>1.0057626057845059</c:v>
                </c:pt>
                <c:pt idx="14">
                  <c:v>2.208837908906073</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Calc.'!$C$3:$C$97</c:f>
              <c:numCache>
                <c:formatCode>0.0000000</c:formatCode>
                <c:ptCount val="95"/>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pt idx="16" formatCode="General">
                  <c:v>0</c:v>
                </c:pt>
                <c:pt idx="17" formatCode="0.000">
                  <c:v>0.14168145947515648</c:v>
                </c:pt>
                <c:pt idx="18" formatCode="0.000">
                  <c:v>9.6502611716234005E-2</c:v>
                </c:pt>
                <c:pt idx="19" formatCode="0.000">
                  <c:v>8.8933452765325743E-2</c:v>
                </c:pt>
                <c:pt idx="20" formatCode="0.000">
                  <c:v>7.6048059699223167E-2</c:v>
                </c:pt>
                <c:pt idx="21" formatCode="0.000">
                  <c:v>6.751274483686158E-2</c:v>
                </c:pt>
                <c:pt idx="22" formatCode="0.000">
                  <c:v>5.7172683262818207E-2</c:v>
                </c:pt>
                <c:pt idx="23" formatCode="0.000">
                  <c:v>4.7569789983488348E-2</c:v>
                </c:pt>
                <c:pt idx="24" formatCode="0.000">
                  <c:v>4.2933421169757249E-2</c:v>
                </c:pt>
                <c:pt idx="25" formatCode="0.000">
                  <c:v>3.9759826158421149E-2</c:v>
                </c:pt>
                <c:pt idx="26" formatCode="0.000">
                  <c:v>3.8905966759615829E-2</c:v>
                </c:pt>
                <c:pt idx="27" formatCode="0.000">
                  <c:v>4.1505521235241719E-2</c:v>
                </c:pt>
                <c:pt idx="28" formatCode="0.000">
                  <c:v>4.3242327972520873E-2</c:v>
                </c:pt>
                <c:pt idx="29" formatCode="0.000">
                  <c:v>4.2331157586141574E-2</c:v>
                </c:pt>
                <c:pt idx="30" formatCode="0.000">
                  <c:v>4.2853546043707065E-2</c:v>
                </c:pt>
                <c:pt idx="31" formatCode="0.000">
                  <c:v>4.2577756219971813E-3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Calc.'!$E$3:$E$97</c:f>
              <c:numCache>
                <c:formatCode>0.0000</c:formatCode>
                <c:ptCount val="95"/>
                <c:pt idx="1">
                  <c:v>-22.145526018710882</c:v>
                </c:pt>
                <c:pt idx="2">
                  <c:v>-2.9350247970605818</c:v>
                </c:pt>
                <c:pt idx="3">
                  <c:v>2.3486089279641473</c:v>
                </c:pt>
                <c:pt idx="4">
                  <c:v>3.3385959438154305</c:v>
                </c:pt>
                <c:pt idx="5">
                  <c:v>3.3042979171676086</c:v>
                </c:pt>
                <c:pt idx="6">
                  <c:v>2.6648762780417101</c:v>
                </c:pt>
                <c:pt idx="7">
                  <c:v>2.1666540635460714</c:v>
                </c:pt>
                <c:pt idx="8">
                  <c:v>1.9687155750685648</c:v>
                </c:pt>
                <c:pt idx="9">
                  <c:v>1.7214131266917736</c:v>
                </c:pt>
                <c:pt idx="10">
                  <c:v>1.7444034793051153</c:v>
                </c:pt>
                <c:pt idx="11">
                  <c:v>1.8823653559298608</c:v>
                </c:pt>
                <c:pt idx="12">
                  <c:v>1.8805900397574131</c:v>
                </c:pt>
                <c:pt idx="13">
                  <c:v>1.8732600906828103</c:v>
                </c:pt>
                <c:pt idx="14">
                  <c:v>2.1672696599436696</c:v>
                </c:pt>
                <c:pt idx="16" formatCode="General">
                  <c:v>0</c:v>
                </c:pt>
                <c:pt idx="17" formatCode="General">
                  <c:v>-4.2635321586077531E-2</c:v>
                </c:pt>
                <c:pt idx="18" formatCode="General">
                  <c:v>6.1179004635509874E-3</c:v>
                </c:pt>
                <c:pt idx="19" formatCode="General">
                  <c:v>-8.8274764218137039E-4</c:v>
                </c:pt>
                <c:pt idx="20" formatCode="General">
                  <c:v>-7.0498276647476691E-3</c:v>
                </c:pt>
                <c:pt idx="21" formatCode="General">
                  <c:v>-8.0374712413070325E-3</c:v>
                </c:pt>
                <c:pt idx="22" formatCode="General">
                  <c:v>-6.3188815405761751E-3</c:v>
                </c:pt>
                <c:pt idx="23" formatCode="General">
                  <c:v>-3.9333998407575371E-3</c:v>
                </c:pt>
                <c:pt idx="24" formatCode="General">
                  <c:v>-2.0974193157728346E-3</c:v>
                </c:pt>
                <c:pt idx="25" formatCode="General">
                  <c:v>-6.5328513771699837E-4</c:v>
                </c:pt>
                <c:pt idx="26" formatCode="General">
                  <c:v>4.1782871129268488E-4</c:v>
                </c:pt>
                <c:pt idx="27" formatCode="General">
                  <c:v>1.2205660087457146E-3</c:v>
                </c:pt>
                <c:pt idx="28" formatCode="General">
                  <c:v>1.572698634273976E-3</c:v>
                </c:pt>
                <c:pt idx="29" formatCode="General">
                  <c:v>1.2380669007363977E-3</c:v>
                </c:pt>
                <c:pt idx="30" formatCode="General">
                  <c:v>8.3067224887842001E-5</c:v>
                </c:pt>
                <c:pt idx="31" formatCode="General">
                  <c:v>-5.9460028686340663E-3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Calc.'!$AU$3:$AU$98</c:f>
              <c:numCache>
                <c:formatCode>0.0000</c:formatCode>
                <c:ptCount val="96"/>
                <c:pt idx="1">
                  <c:v>0</c:v>
                </c:pt>
                <c:pt idx="2">
                  <c:v>0</c:v>
                </c:pt>
                <c:pt idx="3">
                  <c:v>0</c:v>
                </c:pt>
                <c:pt idx="4">
                  <c:v>0.49399415832181015</c:v>
                </c:pt>
                <c:pt idx="5">
                  <c:v>0.82598515541732465</c:v>
                </c:pt>
                <c:pt idx="6">
                  <c:v>0.94038218588691924</c:v>
                </c:pt>
                <c:pt idx="7">
                  <c:v>1.0301667916674555</c:v>
                </c:pt>
                <c:pt idx="8">
                  <c:v>1.2358131208728869</c:v>
                </c:pt>
                <c:pt idx="9">
                  <c:v>1.2998005834225068</c:v>
                </c:pt>
                <c:pt idx="10">
                  <c:v>0.90094712015670364</c:v>
                </c:pt>
                <c:pt idx="11">
                  <c:v>1.1160449609330021</c:v>
                </c:pt>
                <c:pt idx="12">
                  <c:v>1.1827734368055296</c:v>
                </c:pt>
                <c:pt idx="13">
                  <c:v>0.96654477918216797</c:v>
                </c:pt>
                <c:pt idx="14">
                  <c:v>0.39334730109104238</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Calc.'!$G$3:$G$97</c:f>
              <c:numCache>
                <c:formatCode>0.0000</c:formatCode>
                <c:ptCount val="95"/>
                <c:pt idx="1">
                  <c:v>-1.2174255144236338E-2</c:v>
                </c:pt>
                <c:pt idx="2">
                  <c:v>-8.0912620435651898E-3</c:v>
                </c:pt>
                <c:pt idx="3">
                  <c:v>-4.7538692755013543E-3</c:v>
                </c:pt>
                <c:pt idx="4">
                  <c:v>-2.424094763239769E-3</c:v>
                </c:pt>
                <c:pt idx="5">
                  <c:v>-1.4335126007701579E-3</c:v>
                </c:pt>
                <c:pt idx="6">
                  <c:v>-6.2326187671923677E-4</c:v>
                </c:pt>
                <c:pt idx="7">
                  <c:v>-2.1151789644756398E-4</c:v>
                </c:pt>
                <c:pt idx="8">
                  <c:v>4.9628592869793582E-5</c:v>
                </c:pt>
                <c:pt idx="9">
                  <c:v>2.4671264554532277E-4</c:v>
                </c:pt>
                <c:pt idx="10">
                  <c:v>4.9388630130191562E-4</c:v>
                </c:pt>
                <c:pt idx="11">
                  <c:v>8.0524652259067236E-4</c:v>
                </c:pt>
                <c:pt idx="12">
                  <c:v>1.1337540677204352E-3</c:v>
                </c:pt>
                <c:pt idx="13">
                  <c:v>1.5145551849792805E-3</c:v>
                </c:pt>
                <c:pt idx="14">
                  <c:v>2.3132511250077438E-3</c:v>
                </c:pt>
                <c:pt idx="16" formatCode="General">
                  <c:v>0</c:v>
                </c:pt>
                <c:pt idx="17" formatCode="General">
                  <c:v>7.778113486920453E-2</c:v>
                </c:pt>
                <c:pt idx="18" formatCode="General">
                  <c:v>9.9977312225397602E-3</c:v>
                </c:pt>
                <c:pt idx="19" formatCode="General">
                  <c:v>-7.1214510274316793E-3</c:v>
                </c:pt>
                <c:pt idx="20" formatCode="General">
                  <c:v>-7.3770227471512129E-3</c:v>
                </c:pt>
                <c:pt idx="21" formatCode="General">
                  <c:v>-5.1594592978489069E-3</c:v>
                </c:pt>
                <c:pt idx="22" formatCode="General">
                  <c:v>-2.9030930592888636E-3</c:v>
                </c:pt>
                <c:pt idx="23" formatCode="General">
                  <c:v>-1.2864779853748109E-3</c:v>
                </c:pt>
                <c:pt idx="24" formatCode="General">
                  <c:v>-3.7844230722389063E-4</c:v>
                </c:pt>
                <c:pt idx="25" formatCode="General">
                  <c:v>1.800795084200868E-4</c:v>
                </c:pt>
                <c:pt idx="26" formatCode="General">
                  <c:v>5.3545626630083806E-4</c:v>
                </c:pt>
                <c:pt idx="27" formatCode="General">
                  <c:v>7.7561129032786846E-4</c:v>
                </c:pt>
                <c:pt idx="28" formatCode="General">
                  <c:v>8.0862168860272978E-4</c:v>
                </c:pt>
                <c:pt idx="29" formatCode="General">
                  <c:v>5.2896110643810474E-4</c:v>
                </c:pt>
                <c:pt idx="30" formatCode="General">
                  <c:v>-1.7537725006085017E-4</c:v>
                </c:pt>
                <c:pt idx="31" formatCode="General">
                  <c:v>6.5457376246324042E-3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Calc.'!$AW$3:$AW$94</c:f>
              <c:numCache>
                <c:formatCode>0.0000</c:formatCode>
                <c:ptCount val="92"/>
                <c:pt idx="1">
                  <c:v>-1.2426514914063826E-2</c:v>
                </c:pt>
                <c:pt idx="2">
                  <c:v>1.4582892628776586E-2</c:v>
                </c:pt>
                <c:pt idx="3">
                  <c:v>6.2526740551706681E-3</c:v>
                </c:pt>
                <c:pt idx="4">
                  <c:v>-7.1584978958927339E-3</c:v>
                </c:pt>
                <c:pt idx="5">
                  <c:v>-6.0123782273619215E-3</c:v>
                </c:pt>
                <c:pt idx="6">
                  <c:v>-3.7334228611692897E-3</c:v>
                </c:pt>
                <c:pt idx="7">
                  <c:v>-2.5553611549152962E-3</c:v>
                </c:pt>
                <c:pt idx="8">
                  <c:v>1.2661024995738097E-3</c:v>
                </c:pt>
                <c:pt idx="9">
                  <c:v>1.4203823713032366E-3</c:v>
                </c:pt>
                <c:pt idx="10">
                  <c:v>7.2807176071529062E-4</c:v>
                </c:pt>
                <c:pt idx="11">
                  <c:v>9.2309483665295087E-4</c:v>
                </c:pt>
                <c:pt idx="12">
                  <c:v>1.0449429398285165E-3</c:v>
                </c:pt>
                <c:pt idx="13">
                  <c:v>1.0764826393254464E-3</c:v>
                </c:pt>
                <c:pt idx="14">
                  <c:v>-2.6233856343209686E-4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Calc.'!$K$3:$K$97</c:f>
              <c:numCache>
                <c:formatCode>0.0000</c:formatCode>
                <c:ptCount val="95"/>
                <c:pt idx="1">
                  <c:v>0.11260218115305266</c:v>
                </c:pt>
                <c:pt idx="2">
                  <c:v>9.8048409829188124E-2</c:v>
                </c:pt>
                <c:pt idx="3">
                  <c:v>8.6970115367674058E-2</c:v>
                </c:pt>
                <c:pt idx="4">
                  <c:v>7.1657987708768633E-2</c:v>
                </c:pt>
                <c:pt idx="5">
                  <c:v>6.5145019234047877E-2</c:v>
                </c:pt>
                <c:pt idx="6">
                  <c:v>5.2549552900225019E-2</c:v>
                </c:pt>
                <c:pt idx="7">
                  <c:v>4.4157204002955426E-2</c:v>
                </c:pt>
                <c:pt idx="8">
                  <c:v>4.1801149985527301E-2</c:v>
                </c:pt>
                <c:pt idx="9">
                  <c:v>3.791441420650872E-2</c:v>
                </c:pt>
                <c:pt idx="10">
                  <c:v>3.9523240928229945E-2</c:v>
                </c:pt>
                <c:pt idx="11">
                  <c:v>4.3179612487732548E-2</c:v>
                </c:pt>
                <c:pt idx="12">
                  <c:v>4.2855703956809273E-2</c:v>
                </c:pt>
                <c:pt idx="13">
                  <c:v>4.1231543662370175E-2</c:v>
                </c:pt>
                <c:pt idx="14">
                  <c:v>4.396342073006148E-2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Calc.'!$Q$3:$Q$97</c:f>
              <c:numCache>
                <c:formatCode>0.0000</c:formatCode>
                <c:ptCount val="95"/>
                <c:pt idx="1">
                  <c:v>4.3263079253742544E-2</c:v>
                </c:pt>
                <c:pt idx="2">
                  <c:v>6.4041090526176458E-2</c:v>
                </c:pt>
                <c:pt idx="3">
                  <c:v>5.1533007128908959E-2</c:v>
                </c:pt>
                <c:pt idx="4">
                  <c:v>3.2183198605669025E-2</c:v>
                </c:pt>
                <c:pt idx="5">
                  <c:v>2.1061226621527995E-2</c:v>
                </c:pt>
                <c:pt idx="6">
                  <c:v>9.741820091299553E-3</c:v>
                </c:pt>
                <c:pt idx="7">
                  <c:v>3.290574235022793E-3</c:v>
                </c:pt>
                <c:pt idx="8">
                  <c:v>-8.4527404757693807E-4</c:v>
                </c:pt>
                <c:pt idx="9">
                  <c:v>-3.5232107501196523E-3</c:v>
                </c:pt>
                <c:pt idx="10">
                  <c:v>-5.8502441791246553E-3</c:v>
                </c:pt>
                <c:pt idx="11">
                  <c:v>-7.1231738177513285E-3</c:v>
                </c:pt>
                <c:pt idx="12">
                  <c:v>-5.9164468412406714E-3</c:v>
                </c:pt>
                <c:pt idx="13">
                  <c:v>-1.0711425420801498E-3</c:v>
                </c:pt>
                <c:pt idx="14">
                  <c:v>1.0867214874817652E-2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Calc.'!$BB$3:$BB$94</c:f>
              <c:numCache>
                <c:formatCode>0.0000</c:formatCode>
                <c:ptCount val="92"/>
                <c:pt idx="1">
                  <c:v>0</c:v>
                </c:pt>
                <c:pt idx="2">
                  <c:v>-1.5674859197957105E-2</c:v>
                </c:pt>
                <c:pt idx="3">
                  <c:v>-3.3608339886532766E-3</c:v>
                </c:pt>
                <c:pt idx="4">
                  <c:v>-5.8046734685210282E-3</c:v>
                </c:pt>
                <c:pt idx="5">
                  <c:v>-4.9515637726571284E-3</c:v>
                </c:pt>
                <c:pt idx="6">
                  <c:v>-5.0738515842508941E-3</c:v>
                </c:pt>
                <c:pt idx="7">
                  <c:v>-5.1143210577165362E-3</c:v>
                </c:pt>
                <c:pt idx="8">
                  <c:v>-3.065379684902132E-3</c:v>
                </c:pt>
                <c:pt idx="9">
                  <c:v>-3.1432660640688816E-4</c:v>
                </c:pt>
                <c:pt idx="10">
                  <c:v>4.9072494838001363E-4</c:v>
                </c:pt>
                <c:pt idx="11">
                  <c:v>2.4920275704379169E-3</c:v>
                </c:pt>
                <c:pt idx="12">
                  <c:v>4.3637128828946106E-4</c:v>
                </c:pt>
                <c:pt idx="13">
                  <c:v>5.6929854265128955E-4</c:v>
                </c:pt>
                <c:pt idx="14">
                  <c:v>9.8097318487689786E-4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Calc.'!$L$3:$L$97</c:f>
              <c:numCache>
                <c:formatCode>0.0000</c:formatCode>
                <c:ptCount val="95"/>
                <c:pt idx="1">
                  <c:v>-6.5099020312279739E-3</c:v>
                </c:pt>
                <c:pt idx="2">
                  <c:v>3.9564734369251127E-3</c:v>
                </c:pt>
                <c:pt idx="3">
                  <c:v>-4.9202861570126263E-3</c:v>
                </c:pt>
                <c:pt idx="4">
                  <c:v>-8.0897615215411237E-3</c:v>
                </c:pt>
                <c:pt idx="5">
                  <c:v>-7.7113372375799466E-3</c:v>
                </c:pt>
                <c:pt idx="6">
                  <c:v>-5.1343090476070278E-3</c:v>
                </c:pt>
                <c:pt idx="7">
                  <c:v>-2.930538987917751E-3</c:v>
                </c:pt>
                <c:pt idx="8">
                  <c:v>-1.3336973026113314E-3</c:v>
                </c:pt>
                <c:pt idx="9">
                  <c:v>-8.7606768564061542E-5</c:v>
                </c:pt>
                <c:pt idx="10">
                  <c:v>8.5858801908902797E-4</c:v>
                </c:pt>
                <c:pt idx="11">
                  <c:v>1.4807072490990378E-3</c:v>
                </c:pt>
                <c:pt idx="12">
                  <c:v>1.5029904364080862E-3</c:v>
                </c:pt>
                <c:pt idx="13">
                  <c:v>7.6880888906818827E-4</c:v>
                </c:pt>
                <c:pt idx="14">
                  <c:v>-9.727627145118239E-4</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Calc.'!$F$3:$F$101</c:f>
              <c:numCache>
                <c:formatCode>0.0000</c:formatCode>
                <c:ptCount val="99"/>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Calc.'!$I$3:$I$101</c:f>
              <c:numCache>
                <c:formatCode>0.0000</c:formatCode>
                <c:ptCount val="99"/>
                <c:pt idx="1">
                  <c:v>7.3584177928993827E-2</c:v>
                </c:pt>
                <c:pt idx="2">
                  <c:v>-5.727602038660763E-3</c:v>
                </c:pt>
                <c:pt idx="3">
                  <c:v>-1.5863210389686681E-2</c:v>
                </c:pt>
                <c:pt idx="4">
                  <c:v>-1.1674545885499031E-2</c:v>
                </c:pt>
                <c:pt idx="5">
                  <c:v>-7.9029694298539364E-3</c:v>
                </c:pt>
                <c:pt idx="6">
                  <c:v>-3.754540503836726E-3</c:v>
                </c:pt>
                <c:pt idx="7">
                  <c:v>-1.4613276959805123E-3</c:v>
                </c:pt>
                <c:pt idx="8">
                  <c:v>-1.2007641469649164E-4</c:v>
                </c:pt>
                <c:pt idx="9">
                  <c:v>6.9029737870183029E-4</c:v>
                </c:pt>
                <c:pt idx="10">
                  <c:v>1.2484241344287452E-3</c:v>
                </c:pt>
                <c:pt idx="11">
                  <c:v>1.5396615856187272E-3</c:v>
                </c:pt>
                <c:pt idx="12">
                  <c:v>1.2920330690850638E-3</c:v>
                </c:pt>
                <c:pt idx="13">
                  <c:v>4.3988780188284834E-4</c:v>
                </c:pt>
                <c:pt idx="14">
                  <c:v>-1.4855981652993732E-3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Calc.'!$J$3:$J$100</c:f>
              <c:numCache>
                <c:formatCode>0.0000</c:formatCode>
                <c:ptCount val="98"/>
                <c:pt idx="1">
                  <c:v>-2.9438385667534053E-3</c:v>
                </c:pt>
                <c:pt idx="2">
                  <c:v>4.2247286694923961E-3</c:v>
                </c:pt>
                <c:pt idx="3">
                  <c:v>4.502982344180971E-3</c:v>
                </c:pt>
                <c:pt idx="4">
                  <c:v>3.321676135659864E-3</c:v>
                </c:pt>
                <c:pt idx="5">
                  <c:v>2.5873804463297555E-3</c:v>
                </c:pt>
                <c:pt idx="6">
                  <c:v>1.6760986073800876E-3</c:v>
                </c:pt>
                <c:pt idx="7">
                  <c:v>1.1202908606640974E-3</c:v>
                </c:pt>
                <c:pt idx="8">
                  <c:v>8.0772592898223589E-4</c:v>
                </c:pt>
                <c:pt idx="9">
                  <c:v>5.221405585821348E-4</c:v>
                </c:pt>
                <c:pt idx="10">
                  <c:v>3.1654602679736979E-4</c:v>
                </c:pt>
                <c:pt idx="11">
                  <c:v>9.6771126895991909E-5</c:v>
                </c:pt>
                <c:pt idx="12">
                  <c:v>-1.8027939555403895E-4</c:v>
                </c:pt>
                <c:pt idx="13">
                  <c:v>-5.2251859398054316E-4</c:v>
                </c:pt>
                <c:pt idx="14">
                  <c:v>-1.1087487352377391E-3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Calc.'!$AY$3:$AY$98</c:f>
              <c:numCache>
                <c:formatCode>0.0000</c:formatCode>
                <c:ptCount val="96"/>
                <c:pt idx="1">
                  <c:v>-1.5042129504616334E-2</c:v>
                </c:pt>
                <c:pt idx="2">
                  <c:v>7.4880272257327567E-3</c:v>
                </c:pt>
                <c:pt idx="3">
                  <c:v>2.4563634114720544E-3</c:v>
                </c:pt>
                <c:pt idx="4">
                  <c:v>8.2433096912862866E-4</c:v>
                </c:pt>
                <c:pt idx="5">
                  <c:v>-1.6365717451355588E-3</c:v>
                </c:pt>
                <c:pt idx="6">
                  <c:v>-3.3119829909783807E-3</c:v>
                </c:pt>
                <c:pt idx="7">
                  <c:v>-3.4165971385053265E-3</c:v>
                </c:pt>
                <c:pt idx="8">
                  <c:v>-2.8047525489370041E-3</c:v>
                </c:pt>
                <c:pt idx="9">
                  <c:v>1.223724465370523E-3</c:v>
                </c:pt>
                <c:pt idx="10">
                  <c:v>1.4503837489276525E-3</c:v>
                </c:pt>
                <c:pt idx="11">
                  <c:v>4.7830404753944659E-4</c:v>
                </c:pt>
                <c:pt idx="12">
                  <c:v>1.3390842158688208E-3</c:v>
                </c:pt>
                <c:pt idx="13">
                  <c:v>1.5287466734533203E-3</c:v>
                </c:pt>
                <c:pt idx="14">
                  <c:v>-2.8168967115056527E-3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Calc.'!$AZ$3:$AZ$93</c:f>
              <c:numCache>
                <c:formatCode>0.0000</c:formatCode>
                <c:ptCount val="91"/>
                <c:pt idx="1">
                  <c:v>-1.2151296798517442E-2</c:v>
                </c:pt>
                <c:pt idx="2">
                  <c:v>5.3453850550513726E-3</c:v>
                </c:pt>
                <c:pt idx="3">
                  <c:v>3.9874189552549892E-3</c:v>
                </c:pt>
                <c:pt idx="4">
                  <c:v>1.6421327079680723E-3</c:v>
                </c:pt>
                <c:pt idx="5">
                  <c:v>1.2113447079242369E-3</c:v>
                </c:pt>
                <c:pt idx="6">
                  <c:v>6.0809941901960305E-4</c:v>
                </c:pt>
                <c:pt idx="7">
                  <c:v>5.0150504953802306E-4</c:v>
                </c:pt>
                <c:pt idx="8">
                  <c:v>6.222381050451888E-4</c:v>
                </c:pt>
                <c:pt idx="9">
                  <c:v>5.1395405542222655E-4</c:v>
                </c:pt>
                <c:pt idx="10">
                  <c:v>2.689229635719225E-4</c:v>
                </c:pt>
                <c:pt idx="11">
                  <c:v>1.2991997985209024E-4</c:v>
                </c:pt>
                <c:pt idx="12">
                  <c:v>-2.6721578794918942E-5</c:v>
                </c:pt>
                <c:pt idx="13">
                  <c:v>-1.9595857449255431E-4</c:v>
                </c:pt>
                <c:pt idx="14">
                  <c:v>-6.7543947504669329E-4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2.3868760813708263E-2</c:v>
                </c:pt>
                <c:pt idx="18" formatCode="General">
                  <c:v>5.6760330276691424E-2</c:v>
                </c:pt>
                <c:pt idx="19" formatCode="General">
                  <c:v>5.6962083011659413E-2</c:v>
                </c:pt>
                <c:pt idx="20" formatCode="General">
                  <c:v>3.9844846263097651E-2</c:v>
                </c:pt>
                <c:pt idx="21" formatCode="General">
                  <c:v>2.5972966531969826E-2</c:v>
                </c:pt>
                <c:pt idx="22" formatCode="General">
                  <c:v>1.4386234443646301E-2</c:v>
                </c:pt>
                <c:pt idx="23" formatCode="General">
                  <c:v>6.0691215806835492E-3</c:v>
                </c:pt>
                <c:pt idx="24" formatCode="General">
                  <c:v>1.0503141586855438E-3</c:v>
                </c:pt>
                <c:pt idx="25" formatCode="General">
                  <c:v>-2.352584080629559E-3</c:v>
                </c:pt>
                <c:pt idx="26" formatCode="General">
                  <c:v>-4.8190449396288615E-3</c:v>
                </c:pt>
                <c:pt idx="27" formatCode="General">
                  <c:v>-6.6933398724203438E-3</c:v>
                </c:pt>
                <c:pt idx="28" formatCode="General">
                  <c:v>-6.8652389860441717E-3</c:v>
                </c:pt>
                <c:pt idx="29" formatCode="General">
                  <c:v>-4.0334080743014318E-3</c:v>
                </c:pt>
                <c:pt idx="30" formatCode="General">
                  <c:v>3.5479888088676306E-3</c:v>
                </c:pt>
                <c:pt idx="31" formatCode="General">
                  <c:v>-2.1238063735241455E-4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Calc.'!$AG$3:$AG$97</c:f>
              <c:numCache>
                <c:formatCode>0.0000</c:formatCode>
                <c:ptCount val="95"/>
                <c:pt idx="1">
                  <c:v>0.38421173382900919</c:v>
                </c:pt>
                <c:pt idx="2">
                  <c:v>0.65315787005361514</c:v>
                </c:pt>
                <c:pt idx="3">
                  <c:v>0.59253695261928185</c:v>
                </c:pt>
                <c:pt idx="4">
                  <c:v>0.44912227700933383</c:v>
                </c:pt>
                <c:pt idx="5">
                  <c:v>0.32329757315537638</c:v>
                </c:pt>
                <c:pt idx="6">
                  <c:v>0.18538350097471215</c:v>
                </c:pt>
                <c:pt idx="7">
                  <c:v>7.451953332014763E-2</c:v>
                </c:pt>
                <c:pt idx="8">
                  <c:v>-2.0221310845983782E-2</c:v>
                </c:pt>
                <c:pt idx="9">
                  <c:v>-9.2925364240886182E-2</c:v>
                </c:pt>
                <c:pt idx="10">
                  <c:v>-0.14802035566233257</c:v>
                </c:pt>
                <c:pt idx="11">
                  <c:v>-0.16496613580714839</c:v>
                </c:pt>
                <c:pt idx="12">
                  <c:v>-0.13805506140334015</c:v>
                </c:pt>
                <c:pt idx="13">
                  <c:v>-2.5978715491501821E-2</c:v>
                </c:pt>
                <c:pt idx="14">
                  <c:v>0.24718765497214429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Calc.'!$F$3:$F$97</c:f>
              <c:numCache>
                <c:formatCode>0.0000</c:formatCode>
                <c:ptCount val="95"/>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Calc.'!$H$3:$H$97</c:f>
              <c:numCache>
                <c:formatCode>0.0000</c:formatCode>
                <c:ptCount val="95"/>
                <c:pt idx="1">
                  <c:v>1.5656502239925847E-3</c:v>
                </c:pt>
                <c:pt idx="2">
                  <c:v>-5.4315354534614398E-3</c:v>
                </c:pt>
                <c:pt idx="3">
                  <c:v>-1.062236925422217E-3</c:v>
                </c:pt>
                <c:pt idx="4">
                  <c:v>2.5607790631026299E-3</c:v>
                </c:pt>
                <c:pt idx="5">
                  <c:v>4.1171193990807891E-3</c:v>
                </c:pt>
                <c:pt idx="6">
                  <c:v>4.3902918478960426E-3</c:v>
                </c:pt>
                <c:pt idx="7">
                  <c:v>4.0691404102983098E-3</c:v>
                </c:pt>
                <c:pt idx="8">
                  <c:v>3.8451364505081302E-3</c:v>
                </c:pt>
                <c:pt idx="9">
                  <c:v>3.24532621318559E-3</c:v>
                </c:pt>
                <c:pt idx="10">
                  <c:v>2.8595167128545669E-3</c:v>
                </c:pt>
                <c:pt idx="11">
                  <c:v>2.0517262868168973E-3</c:v>
                </c:pt>
                <c:pt idx="12">
                  <c:v>4.2136038626518224E-4</c:v>
                </c:pt>
                <c:pt idx="13">
                  <c:v>-2.1971099744361533E-3</c:v>
                </c:pt>
                <c:pt idx="14">
                  <c:v>-7.1264018794326969E-3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Calc.'!$M$3:$M$97</c:f>
              <c:numCache>
                <c:formatCode>0.0000</c:formatCode>
                <c:ptCount val="95"/>
                <c:pt idx="1">
                  <c:v>-0.37380400607284509</c:v>
                </c:pt>
                <c:pt idx="2">
                  <c:v>-0.1999058935372445</c:v>
                </c:pt>
                <c:pt idx="3">
                  <c:v>-0.10324256382109183</c:v>
                </c:pt>
                <c:pt idx="4">
                  <c:v>-4.7970594474886691E-2</c:v>
                </c:pt>
                <c:pt idx="5">
                  <c:v>-2.7279713004821314E-2</c:v>
                </c:pt>
                <c:pt idx="6">
                  <c:v>-1.1748072469746521E-2</c:v>
                </c:pt>
                <c:pt idx="7">
                  <c:v>-4.4321360983902479E-3</c:v>
                </c:pt>
                <c:pt idx="8">
                  <c:v>-1.9205675361797805E-4</c:v>
                </c:pt>
                <c:pt idx="9">
                  <c:v>2.8163690574395223E-3</c:v>
                </c:pt>
                <c:pt idx="10">
                  <c:v>6.0019955543282304E-3</c:v>
                </c:pt>
                <c:pt idx="11">
                  <c:v>9.8733493066436705E-3</c:v>
                </c:pt>
                <c:pt idx="12">
                  <c:v>1.3538631146859709E-2</c:v>
                </c:pt>
                <c:pt idx="13">
                  <c:v>1.7891795965451585E-2</c:v>
                </c:pt>
                <c:pt idx="14">
                  <c:v>2.7027592334932272E-2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Calc.'!$AX$3:$AX$94</c:f>
              <c:numCache>
                <c:formatCode>0.0000</c:formatCode>
                <c:ptCount val="92"/>
                <c:pt idx="1">
                  <c:v>-1.0131988124982052E-2</c:v>
                </c:pt>
                <c:pt idx="2">
                  <c:v>3.7812203652646773E-2</c:v>
                </c:pt>
                <c:pt idx="3">
                  <c:v>3.8994376779993484E-2</c:v>
                </c:pt>
                <c:pt idx="4">
                  <c:v>-2.3485672640397155E-2</c:v>
                </c:pt>
                <c:pt idx="5">
                  <c:v>-1.3306048653778681E-2</c:v>
                </c:pt>
                <c:pt idx="6">
                  <c:v>-7.8169124724098143E-4</c:v>
                </c:pt>
                <c:pt idx="7">
                  <c:v>4.6552873728809199E-3</c:v>
                </c:pt>
                <c:pt idx="8">
                  <c:v>1.6004165330078268E-2</c:v>
                </c:pt>
                <c:pt idx="9">
                  <c:v>3.4408719209068745E-3</c:v>
                </c:pt>
                <c:pt idx="10">
                  <c:v>0</c:v>
                </c:pt>
                <c:pt idx="11">
                  <c:v>-1.7773965270878063E-4</c:v>
                </c:pt>
                <c:pt idx="12">
                  <c:v>1.8060205698581703E-5</c:v>
                </c:pt>
                <c:pt idx="13">
                  <c:v>-2.0455133339864323E-5</c:v>
                </c:pt>
                <c:pt idx="14">
                  <c:v>-4.1836243880904394E-5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Calc.'!$BC$3:$BC$94</c:f>
              <c:numCache>
                <c:formatCode>0.0000</c:formatCode>
                <c:ptCount val="92"/>
                <c:pt idx="1">
                  <c:v>-1.5795851843783109E-2</c:v>
                </c:pt>
                <c:pt idx="2">
                  <c:v>8.9964939906384926E-3</c:v>
                </c:pt>
                <c:pt idx="3">
                  <c:v>2.3178542861631551E-3</c:v>
                </c:pt>
                <c:pt idx="4">
                  <c:v>-8.0961506448437789E-2</c:v>
                </c:pt>
                <c:pt idx="5">
                  <c:v>-4.4440802093695844E-2</c:v>
                </c:pt>
                <c:pt idx="6">
                  <c:v>-2.6687459264413314E-2</c:v>
                </c:pt>
                <c:pt idx="7">
                  <c:v>-1.4343393760787727E-2</c:v>
                </c:pt>
                <c:pt idx="8">
                  <c:v>3.4431371412619914E-3</c:v>
                </c:pt>
                <c:pt idx="9">
                  <c:v>9.0559681579427953E-3</c:v>
                </c:pt>
                <c:pt idx="10">
                  <c:v>7.2295427605755958E-3</c:v>
                </c:pt>
                <c:pt idx="11">
                  <c:v>6.7386208593501438E-3</c:v>
                </c:pt>
                <c:pt idx="12">
                  <c:v>6.5911335495535822E-3</c:v>
                </c:pt>
                <c:pt idx="13">
                  <c:v>4.7001646375800805E-3</c:v>
                </c:pt>
                <c:pt idx="14">
                  <c:v>-1.4647006699484303E-3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Calc.'!$AD$3:$AD$97</c:f>
              <c:numCache>
                <c:formatCode>0.0000</c:formatCode>
                <c:ptCount val="95"/>
                <c:pt idx="1">
                  <c:v>-0.61358370332051748</c:v>
                </c:pt>
                <c:pt idx="2">
                  <c:v>-0.34687445850781834</c:v>
                </c:pt>
                <c:pt idx="3">
                  <c:v>-0.18445809115277201</c:v>
                </c:pt>
                <c:pt idx="4">
                  <c:v>-8.7053760488360749E-2</c:v>
                </c:pt>
                <c:pt idx="5">
                  <c:v>-4.9326766025046154E-2</c:v>
                </c:pt>
                <c:pt idx="6">
                  <c:v>-2.0286438972970292E-2</c:v>
                </c:pt>
                <c:pt idx="7">
                  <c:v>-6.2176465850440118E-3</c:v>
                </c:pt>
                <c:pt idx="8">
                  <c:v>2.462233707252849E-3</c:v>
                </c:pt>
                <c:pt idx="9">
                  <c:v>8.7623461813881361E-3</c:v>
                </c:pt>
                <c:pt idx="10">
                  <c:v>1.6116821080749359E-2</c:v>
                </c:pt>
                <c:pt idx="11">
                  <c:v>2.5424180612525164E-2</c:v>
                </c:pt>
                <c:pt idx="12">
                  <c:v>3.4265525596986562E-2</c:v>
                </c:pt>
                <c:pt idx="13">
                  <c:v>4.4918877405053285E-2</c:v>
                </c:pt>
                <c:pt idx="14">
                  <c:v>6.7630023150586999E-2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Calc.'!$AE$3:$AE$97</c:f>
              <c:numCache>
                <c:formatCode>0.0000</c:formatCode>
                <c:ptCount val="95"/>
                <c:pt idx="1">
                  <c:v>-0.49047216999157184</c:v>
                </c:pt>
                <c:pt idx="2">
                  <c:v>-0.34873722370210308</c:v>
                </c:pt>
                <c:pt idx="3">
                  <c:v>-0.21130554763897488</c:v>
                </c:pt>
                <c:pt idx="4">
                  <c:v>-0.11242573030641966</c:v>
                </c:pt>
                <c:pt idx="5">
                  <c:v>-7.0558977823887814E-2</c:v>
                </c:pt>
                <c:pt idx="6">
                  <c:v>-3.4452897741839461E-2</c:v>
                </c:pt>
                <c:pt idx="7">
                  <c:v>-1.5588939022292563E-2</c:v>
                </c:pt>
                <c:pt idx="8">
                  <c:v>-3.9328287261528013E-3</c:v>
                </c:pt>
                <c:pt idx="9">
                  <c:v>5.1881502682071977E-3</c:v>
                </c:pt>
                <c:pt idx="10">
                  <c:v>1.495158659196558E-2</c:v>
                </c:pt>
                <c:pt idx="11">
                  <c:v>2.7094197873776052E-2</c:v>
                </c:pt>
                <c:pt idx="12">
                  <c:v>3.9317879797734413E-2</c:v>
                </c:pt>
                <c:pt idx="13">
                  <c:v>5.4203394271492809E-2</c:v>
                </c:pt>
                <c:pt idx="14">
                  <c:v>8.4687586143377513E-2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Calc.'!$AF$3:$AF$97</c:f>
              <c:numCache>
                <c:formatCode>0.0000</c:formatCode>
                <c:ptCount val="95"/>
                <c:pt idx="1">
                  <c:v>-2.9344500471975059</c:v>
                </c:pt>
                <c:pt idx="2">
                  <c:v>-1.2886116861448376</c:v>
                </c:pt>
                <c:pt idx="3">
                  <c:v>-0.55471494879952321</c:v>
                </c:pt>
                <c:pt idx="4">
                  <c:v>-0.2000997159789438</c:v>
                </c:pt>
                <c:pt idx="5">
                  <c:v>-8.171593745731133E-2</c:v>
                </c:pt>
                <c:pt idx="6">
                  <c:v>-9.9655701306576583E-3</c:v>
                </c:pt>
                <c:pt idx="7">
                  <c:v>1.7718789302747121E-2</c:v>
                </c:pt>
                <c:pt idx="8">
                  <c:v>3.3830859763016127E-2</c:v>
                </c:pt>
                <c:pt idx="9">
                  <c:v>4.2219800053510538E-2</c:v>
                </c:pt>
                <c:pt idx="10">
                  <c:v>5.5081125289983143E-2</c:v>
                </c:pt>
                <c:pt idx="11">
                  <c:v>7.1834868531479107E-2</c:v>
                </c:pt>
                <c:pt idx="12">
                  <c:v>8.449565442683396E-2</c:v>
                </c:pt>
                <c:pt idx="13">
                  <c:v>9.8815737881976146E-2</c:v>
                </c:pt>
                <c:pt idx="14">
                  <c:v>0.1347043286111074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Calc.'!$BT$3:$BT$94</c:f>
              <c:numCache>
                <c:formatCode>0.0000</c:formatCode>
                <c:ptCount val="92"/>
                <c:pt idx="1">
                  <c:v>-0.11396531966488727</c:v>
                </c:pt>
                <c:pt idx="2">
                  <c:v>0.12452323577992842</c:v>
                </c:pt>
                <c:pt idx="3">
                  <c:v>0.10364548839212612</c:v>
                </c:pt>
                <c:pt idx="4">
                  <c:v>-0.1690321973729485</c:v>
                </c:pt>
                <c:pt idx="5">
                  <c:v>-0.11014481266829153</c:v>
                </c:pt>
                <c:pt idx="6">
                  <c:v>-6.2303114764902703E-2</c:v>
                </c:pt>
                <c:pt idx="7">
                  <c:v>-3.5594522195424291E-2</c:v>
                </c:pt>
                <c:pt idx="8">
                  <c:v>2.4557410294397355E-2</c:v>
                </c:pt>
                <c:pt idx="9">
                  <c:v>1.7909053182869478E-2</c:v>
                </c:pt>
                <c:pt idx="10">
                  <c:v>1.1311842088251572E-2</c:v>
                </c:pt>
                <c:pt idx="11">
                  <c:v>1.8761677844362803E-2</c:v>
                </c:pt>
                <c:pt idx="12">
                  <c:v>1.693263127592529E-2</c:v>
                </c:pt>
                <c:pt idx="13">
                  <c:v>1.6633857676298724E-2</c:v>
                </c:pt>
                <c:pt idx="14">
                  <c:v>-3.0438761951508317E-3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Calc.'!$BU$3:$BU$94</c:f>
              <c:numCache>
                <c:formatCode>0.0000</c:formatCode>
                <c:ptCount val="92"/>
                <c:pt idx="1">
                  <c:v>-0.11295931405313629</c:v>
                </c:pt>
                <c:pt idx="2">
                  <c:v>0.12443616569590828</c:v>
                </c:pt>
                <c:pt idx="3">
                  <c:v>0.10503941845625328</c:v>
                </c:pt>
                <c:pt idx="4">
                  <c:v>-0.16570972657274838</c:v>
                </c:pt>
                <c:pt idx="5">
                  <c:v>-0.10543076689322647</c:v>
                </c:pt>
                <c:pt idx="6">
                  <c:v>-5.6036119944033E-2</c:v>
                </c:pt>
                <c:pt idx="7">
                  <c:v>-2.839799783908745E-2</c:v>
                </c:pt>
                <c:pt idx="8">
                  <c:v>3.2202603986017687E-2</c:v>
                </c:pt>
                <c:pt idx="9">
                  <c:v>2.2728266792948461E-2</c:v>
                </c:pt>
                <c:pt idx="10">
                  <c:v>1.2842586412696359E-2</c:v>
                </c:pt>
                <c:pt idx="11">
                  <c:v>1.5667800068811757E-2</c:v>
                </c:pt>
                <c:pt idx="12">
                  <c:v>1.2992130933917635E-2</c:v>
                </c:pt>
                <c:pt idx="13">
                  <c:v>1.1436570112465485E-2</c:v>
                </c:pt>
                <c:pt idx="14">
                  <c:v>-4.1281172282371771E-3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Calc.'!$BV$3:$BV$94</c:f>
              <c:numCache>
                <c:formatCode>0.0000</c:formatCode>
                <c:ptCount val="92"/>
                <c:pt idx="1">
                  <c:v>-0.33016061684804965</c:v>
                </c:pt>
                <c:pt idx="2">
                  <c:v>0.26763997383195326</c:v>
                </c:pt>
                <c:pt idx="3">
                  <c:v>0.217846830123584</c:v>
                </c:pt>
                <c:pt idx="4">
                  <c:v>-0.56754186979801646</c:v>
                </c:pt>
                <c:pt idx="5">
                  <c:v>-0.34968064936924309</c:v>
                </c:pt>
                <c:pt idx="6">
                  <c:v>-0.21273417631170571</c:v>
                </c:pt>
                <c:pt idx="7">
                  <c:v>-0.12624652285629309</c:v>
                </c:pt>
                <c:pt idx="8">
                  <c:v>4.3080900959217343E-2</c:v>
                </c:pt>
                <c:pt idx="9">
                  <c:v>5.9514971032904949E-2</c:v>
                </c:pt>
                <c:pt idx="10">
                  <c:v>4.5792608912877571E-2</c:v>
                </c:pt>
                <c:pt idx="11">
                  <c:v>6.2955221953946358E-2</c:v>
                </c:pt>
                <c:pt idx="12">
                  <c:v>5.8496931067709375E-2</c:v>
                </c:pt>
                <c:pt idx="13">
                  <c:v>5.3255489142107745E-2</c:v>
                </c:pt>
                <c:pt idx="14">
                  <c:v>-1.6227514378517594E-2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Calc.'!$Z$3:$Z$12</c:f>
              <c:numCache>
                <c:formatCode>0.0000</c:formatCode>
                <c:ptCount val="10"/>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Calc.'!$V$3:$V$12</c:f>
              <c:numCache>
                <c:formatCode>0.0000</c:formatCode>
                <c:ptCount val="10"/>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Calc.'!$R$3:$R$12</c:f>
              <c:numCache>
                <c:formatCode>0.0000</c:formatCode>
                <c:ptCount val="10"/>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Calc.'!$O$3:$O$12</c:f>
              <c:numCache>
                <c:formatCode>0.0000</c:formatCode>
                <c:ptCount val="10"/>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Calc.'!$Q$3:$Q$12</c:f>
              <c:numCache>
                <c:formatCode>0.0000</c:formatCode>
                <c:ptCount val="10"/>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Calc.'!$S$3:$S$93</c:f>
              <c:numCache>
                <c:formatCode>0.0000</c:formatCode>
                <c:ptCount val="91"/>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Calc.'!$P$3:$P$12</c:f>
              <c:numCache>
                <c:formatCode>0.0000</c:formatCode>
                <c:ptCount val="10"/>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defaultColWidth="9.140625" defaultRowHeight="12.75"/>
  <cols>
    <col min="1" max="16384" width="9.140625" style="208"/>
  </cols>
  <sheetData>
    <row r="1" spans="1:11" ht="23.25">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2.5">
      <c r="A23" s="210"/>
      <c r="B23" s="210"/>
      <c r="C23" s="211"/>
      <c r="D23" s="211"/>
      <c r="E23" s="216" t="s">
        <v>437</v>
      </c>
      <c r="F23" s="213" t="s">
        <v>438</v>
      </c>
      <c r="I23" s="217"/>
    </row>
    <row r="24" spans="1:12" ht="21">
      <c r="A24" s="210"/>
      <c r="B24" s="210"/>
      <c r="C24" s="211"/>
      <c r="D24" s="211"/>
      <c r="E24" s="216" t="s">
        <v>129</v>
      </c>
      <c r="F24" s="213" t="s">
        <v>439</v>
      </c>
      <c r="I24" s="217"/>
    </row>
    <row r="25" spans="1:12" ht="22.5">
      <c r="A25" s="210"/>
      <c r="B25" s="210"/>
      <c r="C25" s="211"/>
      <c r="D25" s="211"/>
      <c r="E25" s="216" t="s">
        <v>440</v>
      </c>
      <c r="F25" s="213" t="s">
        <v>441</v>
      </c>
      <c r="I25" s="217"/>
    </row>
    <row r="26" spans="1:12" ht="22.5">
      <c r="A26" s="210"/>
      <c r="B26" s="210"/>
      <c r="C26" s="211"/>
      <c r="D26" s="211"/>
      <c r="E26" s="216" t="s">
        <v>442</v>
      </c>
      <c r="F26" s="213" t="s">
        <v>443</v>
      </c>
      <c r="I26" s="217"/>
    </row>
    <row r="27" spans="1:12" ht="18">
      <c r="A27" s="210"/>
      <c r="B27" s="210"/>
      <c r="C27" s="211"/>
      <c r="D27" s="211"/>
      <c r="E27" s="216" t="s">
        <v>130</v>
      </c>
      <c r="F27" s="213" t="s">
        <v>131</v>
      </c>
      <c r="I27" s="217"/>
    </row>
    <row r="28" spans="1:12" ht="21">
      <c r="A28" s="210"/>
      <c r="B28" s="210"/>
      <c r="C28" s="211"/>
      <c r="D28" s="211"/>
      <c r="E28" s="216" t="s">
        <v>444</v>
      </c>
      <c r="F28" s="213" t="s">
        <v>132</v>
      </c>
      <c r="I28" s="217"/>
    </row>
    <row r="29" spans="1:12" ht="21">
      <c r="A29" s="210"/>
      <c r="B29" s="210"/>
      <c r="C29" s="211"/>
      <c r="D29" s="211"/>
      <c r="E29" s="216" t="s">
        <v>133</v>
      </c>
      <c r="F29" s="213" t="s">
        <v>445</v>
      </c>
      <c r="I29" s="217"/>
    </row>
    <row r="30" spans="1:12" ht="18">
      <c r="A30" s="210"/>
      <c r="B30" s="210"/>
      <c r="C30" s="211"/>
      <c r="D30" s="211"/>
      <c r="E30" s="216" t="s">
        <v>134</v>
      </c>
      <c r="F30" s="213" t="s">
        <v>135</v>
      </c>
      <c r="I30" s="217"/>
    </row>
    <row r="32" spans="1:12" ht="23.25">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1">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1">
      <c r="A36" s="223"/>
      <c r="B36" s="219"/>
      <c r="C36" s="225" t="s">
        <v>447</v>
      </c>
      <c r="D36" s="219"/>
      <c r="E36" s="219"/>
      <c r="F36" s="219"/>
      <c r="G36" s="219"/>
      <c r="H36" s="220"/>
      <c r="I36" s="220"/>
      <c r="J36" s="221"/>
      <c r="K36" s="222"/>
      <c r="L36" s="219"/>
    </row>
    <row r="37" spans="1:12" ht="21">
      <c r="A37" s="219"/>
      <c r="B37" s="219"/>
      <c r="C37" s="225" t="s">
        <v>448</v>
      </c>
      <c r="D37" s="219"/>
      <c r="E37" s="219"/>
      <c r="F37" s="219"/>
      <c r="G37" s="219"/>
      <c r="H37" s="220"/>
      <c r="I37" s="220"/>
      <c r="J37" s="221"/>
      <c r="K37" s="222"/>
      <c r="L37" s="219"/>
    </row>
    <row r="38" spans="1:12" ht="21">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1">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25">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1">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1">
      <c r="A73" s="224" t="s">
        <v>454</v>
      </c>
      <c r="B73" s="224"/>
      <c r="C73" s="224"/>
      <c r="D73" s="224"/>
      <c r="E73" s="224"/>
      <c r="F73" s="224"/>
      <c r="G73" s="224"/>
      <c r="H73" s="224"/>
      <c r="I73" s="224"/>
      <c r="J73" s="224"/>
      <c r="K73" s="224"/>
    </row>
    <row r="74" spans="1:11" ht="21">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19.899999999999999"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defaultRowHeight="12.75"/>
  <cols>
    <col min="2" max="2" width="50.42578125" bestFit="1" customWidth="1"/>
    <col min="3" max="3" width="19.7109375" bestFit="1" customWidth="1"/>
    <col min="4" max="4" width="12.140625" bestFit="1" customWidth="1"/>
    <col min="5" max="8" width="17.42578125" customWidth="1"/>
  </cols>
  <sheetData>
    <row r="1" spans="1:8" s="28" customFormat="1" ht="18">
      <c r="A1" s="26"/>
      <c r="B1" s="26"/>
      <c r="C1" s="26"/>
      <c r="D1" s="27"/>
      <c r="E1" s="523" t="s">
        <v>241</v>
      </c>
      <c r="F1" s="524"/>
      <c r="G1" s="515" t="s">
        <v>327</v>
      </c>
      <c r="H1" s="516"/>
    </row>
    <row r="2" spans="1:8" s="29" customFormat="1" ht="18">
      <c r="A2" s="10"/>
      <c r="B2" s="10"/>
      <c r="C2" s="10"/>
      <c r="D2" s="11"/>
      <c r="E2" s="513"/>
      <c r="F2" s="514"/>
      <c r="G2" s="517"/>
      <c r="H2" s="518"/>
    </row>
    <row r="3" spans="1:8" s="29" customFormat="1" ht="18">
      <c r="A3" s="10"/>
      <c r="B3" s="25" t="s">
        <v>228</v>
      </c>
      <c r="C3" s="10"/>
      <c r="D3" s="11"/>
      <c r="E3" s="525" t="s">
        <v>596</v>
      </c>
      <c r="F3" s="526"/>
      <c r="G3" s="519" t="s">
        <v>597</v>
      </c>
      <c r="H3" s="520"/>
    </row>
    <row r="4" spans="1:8" s="29" customFormat="1" ht="18">
      <c r="A4" s="10"/>
      <c r="B4" s="10" t="s">
        <v>229</v>
      </c>
      <c r="C4" s="10"/>
      <c r="D4" s="11"/>
      <c r="E4" s="521"/>
      <c r="F4" s="522"/>
      <c r="G4" s="521"/>
      <c r="H4" s="522"/>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1">
      <c r="A61" s="20"/>
      <c r="B61" s="20" t="s">
        <v>199</v>
      </c>
      <c r="C61" s="20" t="s">
        <v>213</v>
      </c>
      <c r="D61" s="21">
        <v>142</v>
      </c>
      <c r="E61" s="79"/>
      <c r="F61" s="278">
        <f t="shared" si="3"/>
        <v>0</v>
      </c>
      <c r="G61" s="79"/>
      <c r="H61" s="262">
        <f t="shared" si="4"/>
        <v>0</v>
      </c>
    </row>
    <row r="62" spans="1:8" ht="21">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1">
      <c r="A64" s="20"/>
      <c r="B64" s="20" t="s">
        <v>215</v>
      </c>
      <c r="C64" s="20" t="s">
        <v>216</v>
      </c>
      <c r="D64" s="21">
        <v>120</v>
      </c>
      <c r="E64" s="79"/>
      <c r="F64" s="278">
        <f t="shared" si="3"/>
        <v>0</v>
      </c>
      <c r="G64" s="79"/>
      <c r="H64" s="262">
        <f t="shared" si="4"/>
        <v>0</v>
      </c>
    </row>
    <row r="65" spans="1:8" ht="21">
      <c r="A65" s="20"/>
      <c r="B65" s="20" t="s">
        <v>202</v>
      </c>
      <c r="C65" s="20" t="s">
        <v>217</v>
      </c>
      <c r="D65" s="21">
        <v>111</v>
      </c>
      <c r="E65" s="79"/>
      <c r="F65" s="278">
        <f t="shared" si="3"/>
        <v>0</v>
      </c>
      <c r="G65" s="79"/>
      <c r="H65" s="262">
        <f t="shared" si="4"/>
        <v>0</v>
      </c>
    </row>
    <row r="66" spans="1:8" ht="21">
      <c r="A66" s="20"/>
      <c r="B66" s="20" t="s">
        <v>218</v>
      </c>
      <c r="C66" s="20" t="s">
        <v>233</v>
      </c>
      <c r="D66" s="21">
        <f>40+2*(14+3*16)+4*18</f>
        <v>236</v>
      </c>
      <c r="E66" s="79"/>
      <c r="F66" s="278">
        <f t="shared" si="3"/>
        <v>0</v>
      </c>
      <c r="G66" s="79"/>
      <c r="H66" s="262">
        <f t="shared" si="4"/>
        <v>0</v>
      </c>
    </row>
    <row r="67" spans="1:8" ht="21">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1">
      <c r="A70" s="20"/>
      <c r="B70" s="20" t="s">
        <v>220</v>
      </c>
      <c r="C70" s="20"/>
      <c r="D70" s="21">
        <v>249.7</v>
      </c>
      <c r="E70" s="83"/>
      <c r="F70" s="283">
        <f>E70/$D70</f>
        <v>0</v>
      </c>
      <c r="G70" s="83"/>
      <c r="H70" s="267">
        <f>G70/$D70</f>
        <v>0</v>
      </c>
    </row>
    <row r="71" spans="1:8" ht="21">
      <c r="A71" s="20"/>
      <c r="B71" s="20" t="s">
        <v>221</v>
      </c>
      <c r="C71" s="20"/>
      <c r="D71" s="21">
        <v>278</v>
      </c>
      <c r="E71" s="79"/>
      <c r="F71" s="283">
        <f>E71/$D71</f>
        <v>0</v>
      </c>
      <c r="G71" s="79"/>
      <c r="H71" s="267">
        <f>G71/$D71</f>
        <v>0</v>
      </c>
    </row>
    <row r="72" spans="1:8" ht="21">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1">
      <c r="A74" s="20"/>
      <c r="B74" s="20" t="s">
        <v>223</v>
      </c>
      <c r="C74" s="20"/>
      <c r="D74" s="21"/>
      <c r="E74" s="79"/>
      <c r="F74" s="278"/>
      <c r="G74" s="79"/>
      <c r="H74" s="262"/>
    </row>
    <row r="75" spans="1:8" ht="21">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649999999999999" customHeight="1">
      <c r="A81" s="512" t="s">
        <v>234</v>
      </c>
      <c r="B81" s="512"/>
      <c r="C81" s="28"/>
      <c r="D81" s="28"/>
      <c r="E81" s="41"/>
      <c r="F81" s="287"/>
      <c r="G81" s="44"/>
      <c r="H81" s="271"/>
    </row>
    <row r="82" spans="1:8" ht="17.649999999999999" customHeight="1">
      <c r="A82" s="29"/>
      <c r="B82" s="20" t="s">
        <v>235</v>
      </c>
      <c r="C82" s="29"/>
      <c r="D82" s="29"/>
      <c r="E82" s="42"/>
      <c r="F82" s="288"/>
      <c r="G82" s="85"/>
      <c r="H82" s="272"/>
    </row>
    <row r="83" spans="1:8" ht="17.649999999999999" customHeight="1">
      <c r="A83" s="29"/>
      <c r="B83" s="20" t="s">
        <v>236</v>
      </c>
      <c r="C83" s="29"/>
      <c r="D83" s="29"/>
      <c r="E83" s="42"/>
      <c r="F83" s="288"/>
      <c r="G83" s="85"/>
      <c r="H83" s="273"/>
    </row>
    <row r="84" spans="1:8" ht="17.649999999999999" customHeight="1">
      <c r="A84" s="29"/>
      <c r="B84" s="20" t="s">
        <v>237</v>
      </c>
      <c r="C84" s="29"/>
      <c r="D84" s="29"/>
      <c r="E84" s="42"/>
      <c r="F84" s="288"/>
      <c r="G84" s="85"/>
      <c r="H84" s="272"/>
    </row>
    <row r="85" spans="1:8" ht="17.649999999999999" customHeight="1">
      <c r="A85" s="29"/>
      <c r="B85" s="20" t="s">
        <v>238</v>
      </c>
      <c r="C85" s="29"/>
      <c r="D85" s="29"/>
      <c r="E85" s="42"/>
      <c r="F85" s="288"/>
      <c r="G85" s="85"/>
      <c r="H85" s="272"/>
    </row>
    <row r="86" spans="1:8" ht="17.649999999999999" customHeight="1">
      <c r="A86" s="29"/>
      <c r="B86" s="20" t="s">
        <v>239</v>
      </c>
      <c r="C86" s="29"/>
      <c r="D86" s="29"/>
      <c r="E86" s="42"/>
      <c r="F86" s="288"/>
      <c r="G86" s="85"/>
      <c r="H86" s="272"/>
    </row>
    <row r="87" spans="1:8" ht="17.649999999999999" customHeight="1">
      <c r="A87" s="38"/>
      <c r="B87" s="16" t="s">
        <v>240</v>
      </c>
      <c r="C87" s="38"/>
      <c r="D87" s="38"/>
      <c r="E87" s="43"/>
      <c r="F87" s="289"/>
      <c r="G87" s="45"/>
      <c r="H87" s="274"/>
    </row>
    <row r="88" spans="1:8" ht="17.649999999999999" customHeight="1">
      <c r="B88" s="12"/>
    </row>
    <row r="89" spans="1:8" ht="17.649999999999999" customHeight="1">
      <c r="B89" s="12"/>
    </row>
    <row r="90" spans="1:8" ht="17.649999999999999"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N1" zoomScale="130" zoomScaleNormal="130" workbookViewId="0">
      <pane ySplit="6" topLeftCell="A7" activePane="bottomLeft" state="frozen"/>
      <selection pane="bottomLeft" activeCell="Y16" sqref="Y16"/>
    </sheetView>
  </sheetViews>
  <sheetFormatPr defaultColWidth="9.140625" defaultRowHeight="13.15" customHeight="1"/>
  <cols>
    <col min="1" max="1" width="14.7109375" style="315" customWidth="1"/>
    <col min="2" max="2" width="19.28515625" style="319" customWidth="1"/>
    <col min="3" max="3" width="9.140625" style="320" customWidth="1"/>
    <col min="4" max="4" width="10.42578125" style="251" customWidth="1"/>
    <col min="5" max="6" width="11.5703125" style="251" customWidth="1"/>
    <col min="7" max="7" width="12" style="251" customWidth="1"/>
    <col min="8" max="11" width="10.42578125" style="251" customWidth="1"/>
    <col min="12" max="13" width="7.85546875" style="251" customWidth="1"/>
    <col min="14" max="14" width="13.28515625" style="251" customWidth="1"/>
    <col min="15" max="15" width="16.28515625" style="251" customWidth="1"/>
    <col min="16" max="16" width="12.28515625" style="251" customWidth="1"/>
    <col min="17" max="17" width="7.85546875" style="251" customWidth="1"/>
    <col min="18" max="18" width="12.42578125" style="251" customWidth="1"/>
    <col min="19" max="42" width="7.85546875" style="251" customWidth="1"/>
    <col min="43" max="16384" width="9.140625" style="309"/>
  </cols>
  <sheetData>
    <row r="1" spans="1:68" s="253" customFormat="1" ht="13.15" customHeight="1">
      <c r="A1" s="253" t="s">
        <v>113</v>
      </c>
      <c r="B1" s="86" t="s">
        <v>586</v>
      </c>
      <c r="C1" s="300"/>
    </row>
    <row r="2" spans="1:68" s="253" customFormat="1" ht="13.15" customHeight="1">
      <c r="A2" s="253" t="s">
        <v>114</v>
      </c>
      <c r="B2" s="86" t="s">
        <v>594</v>
      </c>
      <c r="C2" s="300"/>
    </row>
    <row r="3" spans="1:68" s="253" customFormat="1" ht="13.15" customHeight="1">
      <c r="A3" s="253" t="s">
        <v>115</v>
      </c>
      <c r="B3" s="86" t="s">
        <v>702</v>
      </c>
      <c r="C3" s="300"/>
    </row>
    <row r="4" spans="1:68" s="253" customFormat="1" ht="13.15" customHeight="1">
      <c r="A4" s="253" t="s">
        <v>264</v>
      </c>
      <c r="B4" s="87">
        <v>1935</v>
      </c>
      <c r="C4" s="300"/>
    </row>
    <row r="5" spans="1:68" s="254" customFormat="1" ht="13.15" customHeight="1">
      <c r="B5" s="301"/>
      <c r="C5" s="302"/>
      <c r="T5" s="527" t="s">
        <v>483</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45" customHeight="1">
      <c r="A6" s="303" t="s">
        <v>0</v>
      </c>
      <c r="B6" s="304" t="s">
        <v>703</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03" t="s">
        <v>704</v>
      </c>
      <c r="U6" s="258" t="s">
        <v>17</v>
      </c>
      <c r="V6" s="258" t="s">
        <v>37</v>
      </c>
      <c r="W6" s="258" t="s">
        <v>13</v>
      </c>
      <c r="X6" s="258" t="s">
        <v>11</v>
      </c>
      <c r="Y6" s="258" t="s">
        <v>341</v>
      </c>
      <c r="Z6" s="258" t="s">
        <v>7</v>
      </c>
      <c r="AA6" s="258" t="s">
        <v>35</v>
      </c>
      <c r="AB6" s="258" t="s">
        <v>12</v>
      </c>
      <c r="AC6" s="258" t="s">
        <v>16</v>
      </c>
      <c r="AD6" s="258" t="s">
        <v>15</v>
      </c>
      <c r="AE6" s="258" t="s">
        <v>39</v>
      </c>
      <c r="AF6" s="258" t="s">
        <v>8</v>
      </c>
      <c r="AG6" s="258" t="s">
        <v>40</v>
      </c>
      <c r="AH6" s="258" t="s">
        <v>41</v>
      </c>
      <c r="AI6" s="258" t="s">
        <v>19</v>
      </c>
      <c r="AJ6" s="258" t="s">
        <v>490</v>
      </c>
      <c r="AK6" s="258" t="s">
        <v>413</v>
      </c>
      <c r="AL6" s="258" t="s">
        <v>342</v>
      </c>
      <c r="AM6" s="258" t="s">
        <v>14</v>
      </c>
      <c r="AN6" s="258" t="s">
        <v>36</v>
      </c>
      <c r="AO6" s="258" t="s">
        <v>343</v>
      </c>
      <c r="AP6" s="258" t="s">
        <v>18</v>
      </c>
      <c r="AQ6" s="258" t="s">
        <v>38</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15" customHeight="1">
      <c r="A7" s="251">
        <v>0</v>
      </c>
      <c r="B7" s="472">
        <v>1.8750000002910383E-2</v>
      </c>
      <c r="C7">
        <v>0.45000000006984919</v>
      </c>
      <c r="D7" s="413">
        <v>20</v>
      </c>
      <c r="E7" s="64"/>
      <c r="F7" s="299"/>
      <c r="G7"/>
      <c r="H7" s="65">
        <v>0.26</v>
      </c>
      <c r="I7" s="307">
        <v>2.096774193548423E-3</v>
      </c>
      <c r="J7" s="307">
        <v>0.26209677419354843</v>
      </c>
      <c r="K7" s="325">
        <v>99.2</v>
      </c>
      <c r="L7" s="326"/>
      <c r="M7" s="64"/>
      <c r="N7" s="298"/>
      <c r="O7" s="298"/>
      <c r="P7" s="64"/>
      <c r="Q7" s="64"/>
      <c r="R7" s="297">
        <v>329</v>
      </c>
      <c r="S7" s="65"/>
      <c r="T7" s="100">
        <v>0</v>
      </c>
      <c r="U7" s="479">
        <v>5.8999999999999997E-2</v>
      </c>
      <c r="V7" s="479">
        <v>1.9039999999999999</v>
      </c>
      <c r="W7" s="479">
        <v>5.7690000000000001</v>
      </c>
      <c r="X7" s="479">
        <v>1.6990000000000001</v>
      </c>
      <c r="Y7" s="479">
        <v>1.016</v>
      </c>
      <c r="Z7" s="65">
        <v>33.470991807100511</v>
      </c>
      <c r="AA7" s="479">
        <v>0</v>
      </c>
      <c r="AB7" s="479">
        <v>2.2559999999999998</v>
      </c>
      <c r="AC7" s="479"/>
      <c r="AD7" s="479"/>
      <c r="AE7" s="479"/>
      <c r="AF7" s="65">
        <v>0.9991119005328597</v>
      </c>
      <c r="AG7" s="479"/>
      <c r="AH7" s="479"/>
      <c r="AI7" s="479"/>
      <c r="AJ7" s="477"/>
      <c r="AK7" s="479"/>
      <c r="AL7" s="479"/>
      <c r="AM7" s="479"/>
      <c r="AN7" s="479"/>
      <c r="AO7" s="479"/>
      <c r="AP7" s="479"/>
      <c r="AQ7" s="479"/>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15" customHeight="1">
      <c r="A8" s="251">
        <v>1</v>
      </c>
      <c r="B8" s="472">
        <v>0.87986111111240461</v>
      </c>
      <c r="C8">
        <v>21.116666666697711</v>
      </c>
      <c r="D8" s="413">
        <v>20</v>
      </c>
      <c r="E8" s="64"/>
      <c r="F8" s="299"/>
      <c r="G8"/>
      <c r="H8" s="65">
        <v>0.46319998631477349</v>
      </c>
      <c r="I8" s="307">
        <v>2.0470985318967738E-3</v>
      </c>
      <c r="J8" s="307">
        <v>0.46524708484667027</v>
      </c>
      <c r="K8" s="325">
        <v>99.55999755859375</v>
      </c>
      <c r="L8" s="326"/>
      <c r="M8" s="64"/>
      <c r="N8" s="298"/>
      <c r="O8" s="298"/>
      <c r="P8" s="64"/>
      <c r="Q8" s="64"/>
      <c r="R8" s="297">
        <v>324</v>
      </c>
      <c r="S8" s="65"/>
      <c r="T8" s="102">
        <v>-9.3651299855319114E-2</v>
      </c>
      <c r="U8" s="479">
        <v>6.7000000000000004E-2</v>
      </c>
      <c r="V8" s="479">
        <v>2.012</v>
      </c>
      <c r="W8" s="479">
        <v>5.89</v>
      </c>
      <c r="X8" s="479">
        <v>1.825</v>
      </c>
      <c r="Y8" s="479">
        <v>1.115</v>
      </c>
      <c r="Z8" s="65">
        <v>33.91505139989787</v>
      </c>
      <c r="AA8" s="479">
        <v>0</v>
      </c>
      <c r="AB8" s="479">
        <v>2.3919999999999999</v>
      </c>
      <c r="AC8" s="479"/>
      <c r="AD8" s="479"/>
      <c r="AE8" s="479"/>
      <c r="AF8" s="65">
        <v>1.5541740674955598</v>
      </c>
      <c r="AG8" s="479"/>
      <c r="AH8" s="479"/>
      <c r="AI8" s="479"/>
      <c r="AJ8" s="477"/>
      <c r="AK8" s="479"/>
      <c r="AL8" s="479"/>
      <c r="AM8" s="479"/>
      <c r="AN8" s="479"/>
      <c r="AO8" s="479"/>
      <c r="AP8" s="479"/>
      <c r="AQ8" s="479"/>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15" customHeight="1">
      <c r="A9" s="251">
        <v>2</v>
      </c>
      <c r="B9" s="472">
        <v>2.015972222223354</v>
      </c>
      <c r="C9">
        <v>48.383333333360497</v>
      </c>
      <c r="D9" s="413">
        <v>20</v>
      </c>
      <c r="E9" s="64"/>
      <c r="F9" s="299"/>
      <c r="G9"/>
      <c r="H9" s="65">
        <v>0.81999999999999984</v>
      </c>
      <c r="I9" s="307">
        <v>1.0800405268490354E-2</v>
      </c>
      <c r="J9" s="307">
        <v>0.83080040526849019</v>
      </c>
      <c r="K9" s="325">
        <v>98.7</v>
      </c>
      <c r="L9" s="326"/>
      <c r="M9" s="64"/>
      <c r="N9" s="298"/>
      <c r="O9" s="298"/>
      <c r="P9" s="64"/>
      <c r="Q9" s="64"/>
      <c r="R9" s="297">
        <v>325</v>
      </c>
      <c r="S9" s="65"/>
      <c r="T9" s="102">
        <v>2.0986998078639494</v>
      </c>
      <c r="U9" s="479">
        <v>6.6000000000000003E-2</v>
      </c>
      <c r="V9" s="479">
        <v>1.772</v>
      </c>
      <c r="W9" s="479">
        <v>5.2729999999999997</v>
      </c>
      <c r="X9" s="479">
        <v>1.708</v>
      </c>
      <c r="Y9" s="479">
        <v>1.03</v>
      </c>
      <c r="Z9" s="65">
        <v>32.083305579608783</v>
      </c>
      <c r="AA9" s="479">
        <v>0.27500000000000002</v>
      </c>
      <c r="AB9" s="479">
        <v>2.2530000000000001</v>
      </c>
      <c r="AC9" s="479"/>
      <c r="AD9" s="479"/>
      <c r="AE9" s="479"/>
      <c r="AF9" s="65">
        <v>2.6642984014209592</v>
      </c>
      <c r="AG9" s="479"/>
      <c r="AH9" s="479"/>
      <c r="AI9" s="479"/>
      <c r="AJ9" s="477"/>
      <c r="AK9" s="479"/>
      <c r="AL9" s="479"/>
      <c r="AM9" s="479"/>
      <c r="AN9" s="479"/>
      <c r="AO9" s="479"/>
      <c r="AP9" s="479"/>
      <c r="AQ9" s="479"/>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15" customHeight="1">
      <c r="A10" s="251">
        <v>3</v>
      </c>
      <c r="B10" s="472">
        <v>2.953472222223354</v>
      </c>
      <c r="C10">
        <v>70.883333333360497</v>
      </c>
      <c r="D10" s="413">
        <v>20</v>
      </c>
      <c r="E10" s="64"/>
      <c r="F10" s="299"/>
      <c r="G10"/>
      <c r="H10" s="65">
        <v>1.4616999460220337</v>
      </c>
      <c r="I10" s="307">
        <v>1.0747341887436646E-2</v>
      </c>
      <c r="J10" s="307">
        <v>1.4724472879094703</v>
      </c>
      <c r="K10" s="325">
        <v>99.270103454589844</v>
      </c>
      <c r="L10" s="326"/>
      <c r="M10" s="64"/>
      <c r="N10" s="298"/>
      <c r="O10" s="298"/>
      <c r="P10" s="64"/>
      <c r="Q10" s="64"/>
      <c r="R10" s="297">
        <v>327</v>
      </c>
      <c r="S10" s="65"/>
      <c r="T10" s="102">
        <v>5.7751611128562113</v>
      </c>
      <c r="U10" s="479">
        <v>0.10299999999999999</v>
      </c>
      <c r="V10" s="479">
        <v>1.6379999999999999</v>
      </c>
      <c r="W10" s="479">
        <v>4.3479999999999999</v>
      </c>
      <c r="X10" s="479">
        <v>1.671</v>
      </c>
      <c r="Y10" s="479">
        <v>0.94299999999999995</v>
      </c>
      <c r="Z10" s="65">
        <v>28.75285863362863</v>
      </c>
      <c r="AA10" s="479">
        <v>0.36599999999999999</v>
      </c>
      <c r="AB10" s="479">
        <v>2.2280000000000002</v>
      </c>
      <c r="AC10" s="479"/>
      <c r="AD10" s="479"/>
      <c r="AE10" s="479"/>
      <c r="AF10" s="65">
        <v>3.8854351687388986</v>
      </c>
      <c r="AG10" s="479"/>
      <c r="AH10" s="479"/>
      <c r="AI10" s="479"/>
      <c r="AJ10" s="477"/>
      <c r="AK10" s="479"/>
      <c r="AL10" s="479"/>
      <c r="AM10" s="479"/>
      <c r="AN10" s="479"/>
      <c r="AO10" s="479"/>
      <c r="AP10" s="479"/>
      <c r="AQ10" s="479"/>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15" customHeight="1">
      <c r="A11" s="251">
        <v>4</v>
      </c>
      <c r="B11" s="472">
        <v>3.9736111111124046</v>
      </c>
      <c r="C11">
        <v>95.366666666697711</v>
      </c>
      <c r="D11" s="413">
        <v>20</v>
      </c>
      <c r="E11" s="64"/>
      <c r="F11" s="299"/>
      <c r="G11"/>
      <c r="H11" s="65">
        <v>2.7349999977111819</v>
      </c>
      <c r="I11" s="307">
        <v>3.0707600483526498E-2</v>
      </c>
      <c r="J11" s="307">
        <v>2.7657075981947083</v>
      </c>
      <c r="K11" s="325">
        <v>98.889701843261719</v>
      </c>
      <c r="L11" s="326"/>
      <c r="M11" s="64"/>
      <c r="N11" s="298"/>
      <c r="O11" s="298"/>
      <c r="P11" s="64"/>
      <c r="Q11" s="64"/>
      <c r="R11" s="297">
        <v>352</v>
      </c>
      <c r="S11" s="65">
        <v>25.45</v>
      </c>
      <c r="T11" s="102">
        <v>8.3995945045974914</v>
      </c>
      <c r="U11" s="479">
        <v>0.27500000000000002</v>
      </c>
      <c r="V11" s="479">
        <v>2.02</v>
      </c>
      <c r="W11" s="479">
        <v>5.593</v>
      </c>
      <c r="X11" s="479">
        <v>1.6419999999999999</v>
      </c>
      <c r="Y11" s="479">
        <v>0.86599999999999999</v>
      </c>
      <c r="Z11" s="65">
        <v>32.860409867004151</v>
      </c>
      <c r="AA11" s="479">
        <v>0.66800000000000004</v>
      </c>
      <c r="AB11" s="479">
        <v>6.4169999999999998</v>
      </c>
      <c r="AC11" s="479"/>
      <c r="AD11" s="479"/>
      <c r="AE11" s="479"/>
      <c r="AF11" s="65">
        <v>5.5506216696269988</v>
      </c>
      <c r="AG11" s="479"/>
      <c r="AH11" s="479"/>
      <c r="AI11" s="479"/>
      <c r="AJ11" s="477"/>
      <c r="AK11" s="479"/>
      <c r="AL11" s="479"/>
      <c r="AM11" s="479"/>
      <c r="AN11" s="479"/>
      <c r="AO11" s="479"/>
      <c r="AP11" s="479"/>
      <c r="AQ11" s="479"/>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15" customHeight="1">
      <c r="A12" s="251">
        <v>5</v>
      </c>
      <c r="B12" s="481">
        <v>4.8250000000043656</v>
      </c>
      <c r="C12" s="482">
        <v>115.80000000010477</v>
      </c>
      <c r="D12" s="488">
        <v>35</v>
      </c>
      <c r="E12" s="64"/>
      <c r="F12" s="299"/>
      <c r="G12"/>
      <c r="H12" s="65">
        <v>4.0441001487731931</v>
      </c>
      <c r="I12" s="307">
        <v>3.0194454565775963E-2</v>
      </c>
      <c r="J12" s="307">
        <v>4.0742946033389691</v>
      </c>
      <c r="K12" s="325">
        <v>99.258903503417969</v>
      </c>
      <c r="L12" s="326"/>
      <c r="M12" s="64"/>
      <c r="N12" s="298"/>
      <c r="O12" s="298"/>
      <c r="P12" s="64"/>
      <c r="Q12" s="64"/>
      <c r="R12" s="297">
        <v>373</v>
      </c>
      <c r="S12" s="65">
        <v>82.36</v>
      </c>
      <c r="T12" s="102">
        <v>13.105289423155925</v>
      </c>
      <c r="U12" s="479">
        <v>0.59899999999999998</v>
      </c>
      <c r="V12" s="479">
        <v>2.423</v>
      </c>
      <c r="W12" s="479">
        <v>6.4779999999999998</v>
      </c>
      <c r="X12" s="479">
        <v>1.7450000000000001</v>
      </c>
      <c r="Y12" s="479">
        <v>0.77700000000000002</v>
      </c>
      <c r="Z12" s="65">
        <v>34.192588645396214</v>
      </c>
      <c r="AA12" s="479">
        <v>1.006</v>
      </c>
      <c r="AB12" s="479">
        <v>9.4480000000000004</v>
      </c>
      <c r="AC12" s="479"/>
      <c r="AD12" s="479"/>
      <c r="AE12" s="479"/>
      <c r="AF12" s="65">
        <v>7.215808170515098</v>
      </c>
      <c r="AG12" s="479"/>
      <c r="AH12" s="479"/>
      <c r="AI12" s="479"/>
      <c r="AJ12" s="486"/>
      <c r="AK12" s="479"/>
      <c r="AL12" s="479"/>
      <c r="AM12" s="479"/>
      <c r="AN12" s="479"/>
      <c r="AO12" s="479"/>
      <c r="AP12" s="479"/>
      <c r="AQ12" s="479"/>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15" customHeight="1">
      <c r="A13" s="251">
        <v>6</v>
      </c>
      <c r="B13" s="472">
        <v>5.875</v>
      </c>
      <c r="C13">
        <v>141</v>
      </c>
      <c r="D13" s="413">
        <v>20</v>
      </c>
      <c r="E13" s="64"/>
      <c r="F13" s="299"/>
      <c r="G13"/>
      <c r="H13" s="65">
        <v>6.7267001701354987</v>
      </c>
      <c r="I13" s="307">
        <v>4.8107793918330088E-2</v>
      </c>
      <c r="J13" s="307">
        <v>6.7748079640538288</v>
      </c>
      <c r="K13" s="325">
        <v>99.289901733398438</v>
      </c>
      <c r="L13" s="326"/>
      <c r="M13" s="64"/>
      <c r="N13" s="298"/>
      <c r="O13" s="298"/>
      <c r="P13" s="64"/>
      <c r="Q13" s="64"/>
      <c r="R13" s="297">
        <v>380</v>
      </c>
      <c r="S13" s="65">
        <v>209.2</v>
      </c>
      <c r="T13" s="102">
        <v>20.413562680083089</v>
      </c>
      <c r="U13" s="479">
        <v>1.444</v>
      </c>
      <c r="V13" s="479">
        <v>2.9140000000000001</v>
      </c>
      <c r="W13" s="479">
        <v>6.5449999999999999</v>
      </c>
      <c r="X13" s="479">
        <v>2.1829999999999998</v>
      </c>
      <c r="Y13" s="479">
        <v>0.69</v>
      </c>
      <c r="Z13" s="65">
        <v>33.91505139989787</v>
      </c>
      <c r="AA13" s="479">
        <v>1.6870000000000001</v>
      </c>
      <c r="AB13" s="479">
        <v>13.005000000000001</v>
      </c>
      <c r="AC13" s="479"/>
      <c r="AD13" s="479"/>
      <c r="AE13" s="479"/>
      <c r="AF13" s="65">
        <v>9.4360568383658983</v>
      </c>
      <c r="AG13" s="479"/>
      <c r="AH13" s="479"/>
      <c r="AI13" s="479"/>
      <c r="AJ13" s="477"/>
      <c r="AK13" s="479"/>
      <c r="AL13" s="479"/>
      <c r="AM13" s="479"/>
      <c r="AN13" s="479"/>
      <c r="AO13" s="479"/>
      <c r="AP13" s="479"/>
      <c r="AQ13" s="479"/>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15" customHeight="1">
      <c r="A14" s="251">
        <v>7</v>
      </c>
      <c r="B14" s="472">
        <v>6.8604166666700621</v>
      </c>
      <c r="C14">
        <v>164.65000000008149</v>
      </c>
      <c r="D14" s="413">
        <v>20</v>
      </c>
      <c r="E14" s="64"/>
      <c r="F14" s="299"/>
      <c r="G14"/>
      <c r="H14" s="65">
        <v>9.945699555969238</v>
      </c>
      <c r="I14" s="307">
        <v>8.0853773553254626E-2</v>
      </c>
      <c r="J14" s="307">
        <v>10.026553329522493</v>
      </c>
      <c r="K14" s="325">
        <v>99.193603515625</v>
      </c>
      <c r="L14" s="326"/>
      <c r="M14" s="64"/>
      <c r="N14" s="298"/>
      <c r="O14" s="298"/>
      <c r="P14" s="64"/>
      <c r="Q14" s="64"/>
      <c r="R14" s="297">
        <v>396</v>
      </c>
      <c r="S14" s="65">
        <v>410.45</v>
      </c>
      <c r="T14" s="102">
        <v>30.245775927447482</v>
      </c>
      <c r="U14" s="479">
        <v>2.85</v>
      </c>
      <c r="V14" s="479">
        <v>3.3980000000000001</v>
      </c>
      <c r="W14" s="479">
        <v>5.5880000000000001</v>
      </c>
      <c r="X14" s="479">
        <v>2.8410000000000002</v>
      </c>
      <c r="Y14" s="479">
        <v>0.58699999999999997</v>
      </c>
      <c r="Z14" s="65">
        <v>31.250693843113741</v>
      </c>
      <c r="AA14" s="479">
        <v>2.6819999999999999</v>
      </c>
      <c r="AB14" s="479">
        <v>15.743</v>
      </c>
      <c r="AC14" s="479"/>
      <c r="AD14" s="479"/>
      <c r="AE14" s="479"/>
      <c r="AF14" s="65">
        <v>10.990230905861457</v>
      </c>
      <c r="AG14" s="479"/>
      <c r="AH14" s="479"/>
      <c r="AI14" s="479"/>
      <c r="AJ14" s="477"/>
      <c r="AK14" s="479"/>
      <c r="AL14" s="479"/>
      <c r="AM14" s="479"/>
      <c r="AN14" s="479"/>
      <c r="AO14" s="479"/>
      <c r="AP14" s="479"/>
      <c r="AQ14" s="479"/>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15" customHeight="1">
      <c r="A15" s="251">
        <v>8</v>
      </c>
      <c r="B15" s="472">
        <v>7.8763888888861402</v>
      </c>
      <c r="C15">
        <v>189.03333333326736</v>
      </c>
      <c r="D15" s="413">
        <v>20</v>
      </c>
      <c r="E15" s="64"/>
      <c r="F15" s="299"/>
      <c r="G15"/>
      <c r="H15" s="65">
        <v>12.503599984741211</v>
      </c>
      <c r="I15" s="307">
        <v>9.7240433242664182E-2</v>
      </c>
      <c r="J15" s="307">
        <v>12.600840417983875</v>
      </c>
      <c r="K15" s="325">
        <v>99.228302001953125</v>
      </c>
      <c r="L15" s="326"/>
      <c r="M15" s="64"/>
      <c r="N15" s="298"/>
      <c r="O15" s="298"/>
      <c r="P15" s="250"/>
      <c r="Q15" s="250"/>
      <c r="R15" s="297">
        <v>376</v>
      </c>
      <c r="S15" s="65">
        <v>741.35</v>
      </c>
      <c r="T15" s="102">
        <v>43.420829621683531</v>
      </c>
      <c r="U15" s="479">
        <v>4.8929999999999998</v>
      </c>
      <c r="V15" s="479">
        <v>3.0089999999999999</v>
      </c>
      <c r="W15" s="479">
        <v>1.1599999999999999</v>
      </c>
      <c r="X15" s="479">
        <v>3.5670000000000002</v>
      </c>
      <c r="Y15" s="479">
        <v>0.41</v>
      </c>
      <c r="Z15" s="65">
        <v>20.260218921379249</v>
      </c>
      <c r="AA15" s="479">
        <v>3.4809999999999999</v>
      </c>
      <c r="AB15" s="479">
        <v>14.6</v>
      </c>
      <c r="AC15" s="479"/>
      <c r="AD15" s="479"/>
      <c r="AE15" s="479"/>
      <c r="AF15" s="65">
        <v>12.655417406749555</v>
      </c>
      <c r="AG15" s="479"/>
      <c r="AH15" s="479"/>
      <c r="AI15" s="479"/>
      <c r="AJ15" s="477"/>
      <c r="AK15" s="479"/>
      <c r="AL15" s="479"/>
      <c r="AM15" s="479"/>
      <c r="AN15" s="479"/>
      <c r="AO15" s="479"/>
      <c r="AP15" s="479"/>
      <c r="AQ15" s="479"/>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15" customHeight="1">
      <c r="A16" s="251">
        <v>9</v>
      </c>
      <c r="B16" s="472">
        <v>8.8743055555532919</v>
      </c>
      <c r="C16">
        <v>212.98333333327901</v>
      </c>
      <c r="D16" s="413">
        <v>20</v>
      </c>
      <c r="E16" s="64"/>
      <c r="F16" s="299"/>
      <c r="G16"/>
      <c r="H16" s="65">
        <v>15.666299684143066</v>
      </c>
      <c r="I16" s="307">
        <v>0.13919889284012044</v>
      </c>
      <c r="J16" s="307">
        <v>15.805498576983187</v>
      </c>
      <c r="K16" s="325">
        <v>99.119300842285156</v>
      </c>
      <c r="L16" s="326"/>
      <c r="M16" s="64"/>
      <c r="N16" s="298"/>
      <c r="O16" s="298"/>
      <c r="P16" s="250"/>
      <c r="Q16" s="250"/>
      <c r="R16" s="297">
        <v>371</v>
      </c>
      <c r="S16" s="65">
        <v>1180.8699999999999</v>
      </c>
      <c r="T16" s="102">
        <v>56.427587154105098</v>
      </c>
      <c r="U16" s="479">
        <v>6.5250000000000004</v>
      </c>
      <c r="V16" s="479">
        <v>2.5329999999999999</v>
      </c>
      <c r="W16" s="479">
        <v>0</v>
      </c>
      <c r="X16" s="479">
        <v>3.1579999999999999</v>
      </c>
      <c r="Y16" s="479">
        <v>0.23699999999999999</v>
      </c>
      <c r="Z16" s="65">
        <v>9.8803259397411143</v>
      </c>
      <c r="AA16" s="479">
        <v>3.5910000000000002</v>
      </c>
      <c r="AB16" s="479">
        <v>11.56</v>
      </c>
      <c r="AC16" s="479"/>
      <c r="AD16" s="479"/>
      <c r="AE16" s="479"/>
      <c r="AF16" s="65">
        <v>8.9920071047957375</v>
      </c>
      <c r="AG16" s="479"/>
      <c r="AH16" s="479"/>
      <c r="AI16" s="479"/>
      <c r="AJ16" s="477"/>
      <c r="AK16" s="479"/>
      <c r="AL16" s="479"/>
      <c r="AM16" s="479"/>
      <c r="AN16" s="479"/>
      <c r="AO16" s="479"/>
      <c r="AP16" s="479"/>
      <c r="AQ16" s="479"/>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15" customHeight="1">
      <c r="A17" s="251">
        <v>10</v>
      </c>
      <c r="B17" s="472">
        <v>9.9208333333372138</v>
      </c>
      <c r="C17">
        <v>238.10000000009313</v>
      </c>
      <c r="D17" s="413">
        <v>46</v>
      </c>
      <c r="E17" s="64"/>
      <c r="F17" s="299"/>
      <c r="G17"/>
      <c r="H17" s="65">
        <v>16.470799310302734</v>
      </c>
      <c r="I17" s="307">
        <v>0.30194314722507087</v>
      </c>
      <c r="J17" s="307">
        <v>16.772742457527805</v>
      </c>
      <c r="K17" s="325">
        <v>98.199798583984375</v>
      </c>
      <c r="L17" s="326"/>
      <c r="M17" s="64"/>
      <c r="N17" s="298"/>
      <c r="O17" s="298"/>
      <c r="P17" s="250"/>
      <c r="Q17" s="250"/>
      <c r="R17" s="297">
        <v>369</v>
      </c>
      <c r="S17" s="65">
        <v>1585.31</v>
      </c>
      <c r="T17" s="102">
        <v>69.74347642302024</v>
      </c>
      <c r="U17" s="479">
        <v>7.3479999999999999</v>
      </c>
      <c r="V17" s="479">
        <v>2.3109999999999999</v>
      </c>
      <c r="W17" s="479">
        <v>0</v>
      </c>
      <c r="X17" s="479">
        <v>2.6589999999999998</v>
      </c>
      <c r="Y17" s="479">
        <v>0.13400000000000001</v>
      </c>
      <c r="Z17" s="65">
        <v>5.4952374608672478</v>
      </c>
      <c r="AA17" s="479">
        <v>3.4980000000000002</v>
      </c>
      <c r="AB17" s="479">
        <v>8.9469999999999992</v>
      </c>
      <c r="AC17" s="479"/>
      <c r="AD17" s="479"/>
      <c r="AE17" s="479"/>
      <c r="AF17" s="65">
        <v>7.3268206039076382</v>
      </c>
      <c r="AG17" s="479"/>
      <c r="AH17" s="479"/>
      <c r="AI17" s="479"/>
      <c r="AJ17" s="477"/>
      <c r="AK17" s="479"/>
      <c r="AL17" s="479"/>
      <c r="AM17" s="479"/>
      <c r="AN17" s="479"/>
      <c r="AO17" s="479"/>
      <c r="AP17" s="479"/>
      <c r="AQ17" s="479"/>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15" customHeight="1">
      <c r="A18" s="251">
        <v>11</v>
      </c>
      <c r="B18" s="472">
        <v>10.90625</v>
      </c>
      <c r="C18">
        <v>261.75</v>
      </c>
      <c r="D18" s="413">
        <v>20</v>
      </c>
      <c r="E18" s="64"/>
      <c r="F18" s="299"/>
      <c r="G18"/>
      <c r="H18" s="65">
        <v>15.796199662780761</v>
      </c>
      <c r="I18" s="307">
        <v>0.34595935503624275</v>
      </c>
      <c r="J18" s="307">
        <v>16.142159017817004</v>
      </c>
      <c r="K18" s="325">
        <v>97.856796264648438</v>
      </c>
      <c r="L18" s="326"/>
      <c r="M18" s="64"/>
      <c r="N18" s="298"/>
      <c r="O18" s="298"/>
      <c r="P18" s="250"/>
      <c r="Q18" s="250"/>
      <c r="R18" s="297">
        <v>395</v>
      </c>
      <c r="S18" s="65">
        <v>2020.63</v>
      </c>
      <c r="T18" s="102">
        <v>85.905125900117042</v>
      </c>
      <c r="U18" s="479">
        <v>6.2030000000000003</v>
      </c>
      <c r="V18" s="479">
        <v>1.97</v>
      </c>
      <c r="W18" s="479">
        <v>6.8000000000000005E-2</v>
      </c>
      <c r="X18" s="479">
        <v>2.4900000000000002</v>
      </c>
      <c r="Y18" s="479">
        <v>8.5000000000000006E-2</v>
      </c>
      <c r="Z18" s="65">
        <v>7.0494460356579856</v>
      </c>
      <c r="AA18" s="479">
        <v>2.5630000000000002</v>
      </c>
      <c r="AB18" s="479">
        <v>6.4160000000000004</v>
      </c>
      <c r="AC18" s="479"/>
      <c r="AD18" s="479"/>
      <c r="AE18" s="479"/>
      <c r="AF18" s="65">
        <v>5.8836589698046184</v>
      </c>
      <c r="AG18" s="479"/>
      <c r="AH18" s="479"/>
      <c r="AI18" s="479"/>
      <c r="AJ18" s="477"/>
      <c r="AK18" s="479"/>
      <c r="AL18" s="479"/>
      <c r="AM18" s="479"/>
      <c r="AN18" s="479"/>
      <c r="AO18" s="479"/>
      <c r="AP18" s="479"/>
      <c r="AQ18" s="479"/>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15" customHeight="1">
      <c r="A19" s="251">
        <v>12</v>
      </c>
      <c r="B19" s="472">
        <v>11.864583333335759</v>
      </c>
      <c r="C19">
        <v>284.75000000005821</v>
      </c>
      <c r="D19" s="413">
        <v>20</v>
      </c>
      <c r="E19" s="64"/>
      <c r="F19" s="299"/>
      <c r="G19"/>
      <c r="H19" s="65">
        <v>16.004000527954101</v>
      </c>
      <c r="I19" s="307">
        <v>0.569086624144024</v>
      </c>
      <c r="J19" s="307">
        <v>16.573087152098125</v>
      </c>
      <c r="K19" s="325">
        <v>96.566200256347656</v>
      </c>
      <c r="L19" s="326"/>
      <c r="M19" s="64"/>
      <c r="N19" s="298"/>
      <c r="O19" s="298"/>
      <c r="P19" s="250"/>
      <c r="Q19" s="250"/>
      <c r="R19" s="297">
        <v>403</v>
      </c>
      <c r="S19" s="65">
        <v>2508.6</v>
      </c>
      <c r="T19" s="102">
        <v>103.61341164067417</v>
      </c>
      <c r="U19" s="479">
        <v>4.8979999999999997</v>
      </c>
      <c r="V19" s="479">
        <v>1.6319999999999999</v>
      </c>
      <c r="W19" s="479">
        <v>6.3E-2</v>
      </c>
      <c r="X19" s="479">
        <v>2.056</v>
      </c>
      <c r="Y19" s="479">
        <v>9.7000000000000003E-2</v>
      </c>
      <c r="Z19" s="65">
        <v>8.6591620595483914</v>
      </c>
      <c r="AA19" s="479">
        <v>2.4649999999999999</v>
      </c>
      <c r="AB19" s="479">
        <v>4.1349999999999998</v>
      </c>
      <c r="AC19" s="479"/>
      <c r="AD19" s="479"/>
      <c r="AE19" s="479"/>
      <c r="AF19" s="65">
        <v>4.4404973357015995</v>
      </c>
      <c r="AG19" s="479"/>
      <c r="AH19" s="479"/>
      <c r="AI19" s="479"/>
      <c r="AJ19" s="477"/>
      <c r="AK19" s="479"/>
      <c r="AL19" s="479"/>
      <c r="AM19" s="479"/>
      <c r="AN19" s="479"/>
      <c r="AO19" s="479"/>
      <c r="AP19" s="479"/>
      <c r="AQ19" s="479"/>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15" customHeight="1">
      <c r="A20" s="251">
        <v>13</v>
      </c>
      <c r="B20" s="472">
        <v>12.857638888890506</v>
      </c>
      <c r="C20">
        <v>308.58333333337214</v>
      </c>
      <c r="D20" s="413">
        <v>20</v>
      </c>
      <c r="E20" s="290"/>
      <c r="F20" s="290"/>
      <c r="G20" s="250"/>
      <c r="H20" s="250">
        <v>15.927300317382812</v>
      </c>
      <c r="I20" s="307">
        <v>1.1258860445321801</v>
      </c>
      <c r="J20" s="307">
        <v>17.053186361914992</v>
      </c>
      <c r="K20" s="314">
        <v>93.397796630859375</v>
      </c>
      <c r="L20" s="250"/>
      <c r="M20" s="250"/>
      <c r="N20" s="250"/>
      <c r="O20" s="250"/>
      <c r="P20" s="250"/>
      <c r="Q20" s="250"/>
      <c r="R20" s="297">
        <v>421</v>
      </c>
      <c r="S20" s="65">
        <v>2885.1</v>
      </c>
      <c r="T20" s="102">
        <v>120.05977473905473</v>
      </c>
      <c r="U20" s="479">
        <v>2.9329999999999998</v>
      </c>
      <c r="V20" s="479">
        <v>1.2270000000000001</v>
      </c>
      <c r="W20" s="479">
        <v>7.0999999999999994E-2</v>
      </c>
      <c r="X20" s="479">
        <v>1.48</v>
      </c>
      <c r="Y20" s="479">
        <v>0.17199999999999999</v>
      </c>
      <c r="Z20" s="250">
        <v>12.988743089322586</v>
      </c>
      <c r="AA20" s="479">
        <v>2.2559999999999998</v>
      </c>
      <c r="AB20" s="479">
        <v>2.3570000000000002</v>
      </c>
      <c r="AC20" s="479"/>
      <c r="AD20" s="479"/>
      <c r="AE20" s="479"/>
      <c r="AF20" s="250">
        <v>1.9982238010657194</v>
      </c>
      <c r="AG20" s="479"/>
      <c r="AH20" s="479"/>
      <c r="AI20" s="479"/>
      <c r="AJ20" s="477"/>
      <c r="AK20" s="479"/>
      <c r="AL20" s="479"/>
      <c r="AM20" s="479"/>
      <c r="AN20" s="479"/>
      <c r="AO20" s="479"/>
      <c r="AP20" s="479"/>
      <c r="AQ20" s="479"/>
    </row>
    <row r="21" spans="1:68" s="310" customFormat="1" ht="13.15" customHeight="1">
      <c r="A21" s="251">
        <v>14</v>
      </c>
      <c r="B21" s="481">
        <v>13.872222222220444</v>
      </c>
      <c r="C21" s="482">
        <v>332.93333333329065</v>
      </c>
      <c r="D21" s="488">
        <v>20</v>
      </c>
      <c r="E21" s="250"/>
      <c r="F21" s="250"/>
      <c r="G21" s="250"/>
      <c r="H21" s="250">
        <v>13.334700448608398</v>
      </c>
      <c r="I21" s="307">
        <v>2.8771689708698567</v>
      </c>
      <c r="J21" s="307">
        <v>16.211869419478255</v>
      </c>
      <c r="K21" s="314">
        <v>82.252700805664063</v>
      </c>
      <c r="L21" s="250"/>
      <c r="M21" s="250"/>
      <c r="N21" s="250"/>
      <c r="O21" s="250"/>
      <c r="P21" s="250"/>
      <c r="Q21" s="250"/>
      <c r="R21" s="297">
        <v>460</v>
      </c>
      <c r="S21" s="65">
        <v>3028.8</v>
      </c>
      <c r="T21" s="102">
        <v>133.47772652711561</v>
      </c>
      <c r="U21" s="479">
        <v>2.5499999999999998</v>
      </c>
      <c r="V21" s="479">
        <v>1.3220000000000001</v>
      </c>
      <c r="W21" s="479">
        <v>8.5999999999999993E-2</v>
      </c>
      <c r="X21" s="479">
        <v>2.4860000000000002</v>
      </c>
      <c r="Y21" s="479">
        <v>0.41299999999999998</v>
      </c>
      <c r="Z21" s="250">
        <v>14.709474011412331</v>
      </c>
      <c r="AA21" s="479">
        <v>1.909</v>
      </c>
      <c r="AB21" s="479">
        <v>2.8820000000000001</v>
      </c>
      <c r="AC21" s="479"/>
      <c r="AD21" s="479"/>
      <c r="AE21" s="479"/>
      <c r="AF21" s="250">
        <v>3.3303730017761985</v>
      </c>
      <c r="AG21" s="479"/>
      <c r="AH21" s="479"/>
      <c r="AI21" s="479"/>
      <c r="AJ21" s="486"/>
      <c r="AK21" s="479"/>
      <c r="AL21" s="479"/>
      <c r="AM21" s="479"/>
      <c r="AN21" s="479"/>
      <c r="AO21" s="479"/>
      <c r="AP21" s="479"/>
      <c r="AQ21" s="479"/>
    </row>
    <row r="22" spans="1:68" s="310" customFormat="1" ht="13.1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1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1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1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1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1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1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1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1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1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1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1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1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1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1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1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1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1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1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1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1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1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1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1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1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1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1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1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1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1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1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1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1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1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1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1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1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1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1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1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1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1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1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1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1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1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1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1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1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1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1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1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1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1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1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1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1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1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1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1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1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1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1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1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1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defaultRowHeight="12.75"/>
  <cols>
    <col min="1" max="1" width="10.28515625" bestFit="1" customWidth="1"/>
    <col min="2" max="2" width="8.140625" customWidth="1"/>
    <col min="3" max="3" width="8.5703125" bestFit="1" customWidth="1"/>
    <col min="4" max="4" width="6.140625" bestFit="1" customWidth="1"/>
    <col min="5" max="5" width="6.140625" customWidth="1"/>
    <col min="6" max="6" width="20.28515625" customWidth="1"/>
    <col min="7" max="7" width="11.5703125" bestFit="1" customWidth="1"/>
    <col min="8" max="8" width="11.5703125" customWidth="1"/>
    <col min="9" max="9" width="13.5703125" bestFit="1" customWidth="1"/>
    <col min="10" max="10" width="12.140625" bestFit="1" customWidth="1"/>
    <col min="11" max="11" width="12.85546875" bestFit="1" customWidth="1"/>
    <col min="12" max="12" width="12.28515625" bestFit="1" customWidth="1"/>
    <col min="13" max="14" width="12.28515625" customWidth="1"/>
    <col min="15" max="15" width="12.5703125" bestFit="1" customWidth="1"/>
    <col min="16" max="16" width="9.7109375" bestFit="1" customWidth="1"/>
    <col min="17" max="20" width="9.7109375" customWidth="1"/>
    <col min="21" max="21" width="10.5703125" customWidth="1"/>
    <col min="22" max="22" width="13.7109375" bestFit="1" customWidth="1"/>
    <col min="23" max="25" width="13.7109375" customWidth="1"/>
    <col min="26" max="26" width="13.7109375" bestFit="1" customWidth="1"/>
    <col min="27" max="33" width="13.7109375" customWidth="1"/>
    <col min="257" max="257" width="10.28515625" bestFit="1" customWidth="1"/>
    <col min="258" max="258" width="8.140625" customWidth="1"/>
    <col min="259" max="259" width="8.5703125" bestFit="1" customWidth="1"/>
    <col min="260" max="260" width="6.140625" bestFit="1" customWidth="1"/>
    <col min="261" max="261" width="6.140625" customWidth="1"/>
    <col min="262" max="262" width="20.28515625" customWidth="1"/>
    <col min="263" max="263" width="11.5703125" bestFit="1" customWidth="1"/>
    <col min="264" max="264" width="11.5703125" customWidth="1"/>
    <col min="265" max="265" width="13.5703125" bestFit="1" customWidth="1"/>
    <col min="266" max="266" width="12.140625" bestFit="1" customWidth="1"/>
    <col min="267" max="267" width="12.85546875" bestFit="1" customWidth="1"/>
    <col min="268" max="268" width="12.28515625" bestFit="1" customWidth="1"/>
    <col min="269" max="270" width="12.28515625" customWidth="1"/>
    <col min="271" max="271" width="12.5703125" bestFit="1" customWidth="1"/>
    <col min="272" max="272" width="9.7109375" bestFit="1" customWidth="1"/>
    <col min="273" max="276" width="9.7109375" customWidth="1"/>
    <col min="277" max="277" width="10.5703125" customWidth="1"/>
    <col min="278" max="278" width="13.7109375" bestFit="1" customWidth="1"/>
    <col min="279" max="281" width="13.7109375" customWidth="1"/>
    <col min="282" max="282" width="13.7109375" bestFit="1" customWidth="1"/>
    <col min="283" max="289" width="13.7109375" customWidth="1"/>
    <col min="513" max="513" width="10.28515625" bestFit="1" customWidth="1"/>
    <col min="514" max="514" width="8.140625" customWidth="1"/>
    <col min="515" max="515" width="8.5703125" bestFit="1" customWidth="1"/>
    <col min="516" max="516" width="6.140625" bestFit="1" customWidth="1"/>
    <col min="517" max="517" width="6.140625" customWidth="1"/>
    <col min="518" max="518" width="20.28515625" customWidth="1"/>
    <col min="519" max="519" width="11.5703125" bestFit="1" customWidth="1"/>
    <col min="520" max="520" width="11.5703125" customWidth="1"/>
    <col min="521" max="521" width="13.5703125" bestFit="1" customWidth="1"/>
    <col min="522" max="522" width="12.140625" bestFit="1" customWidth="1"/>
    <col min="523" max="523" width="12.85546875" bestFit="1" customWidth="1"/>
    <col min="524" max="524" width="12.28515625" bestFit="1" customWidth="1"/>
    <col min="525" max="526" width="12.28515625" customWidth="1"/>
    <col min="527" max="527" width="12.5703125" bestFit="1" customWidth="1"/>
    <col min="528" max="528" width="9.7109375" bestFit="1" customWidth="1"/>
    <col min="529" max="532" width="9.7109375" customWidth="1"/>
    <col min="533" max="533" width="10.5703125" customWidth="1"/>
    <col min="534" max="534" width="13.7109375" bestFit="1" customWidth="1"/>
    <col min="535" max="537" width="13.7109375" customWidth="1"/>
    <col min="538" max="538" width="13.7109375" bestFit="1" customWidth="1"/>
    <col min="539" max="545" width="13.7109375" customWidth="1"/>
    <col min="769" max="769" width="10.28515625" bestFit="1" customWidth="1"/>
    <col min="770" max="770" width="8.140625" customWidth="1"/>
    <col min="771" max="771" width="8.5703125" bestFit="1" customWidth="1"/>
    <col min="772" max="772" width="6.140625" bestFit="1" customWidth="1"/>
    <col min="773" max="773" width="6.140625" customWidth="1"/>
    <col min="774" max="774" width="20.28515625" customWidth="1"/>
    <col min="775" max="775" width="11.5703125" bestFit="1" customWidth="1"/>
    <col min="776" max="776" width="11.5703125" customWidth="1"/>
    <col min="777" max="777" width="13.5703125" bestFit="1" customWidth="1"/>
    <col min="778" max="778" width="12.140625" bestFit="1" customWidth="1"/>
    <col min="779" max="779" width="12.85546875" bestFit="1" customWidth="1"/>
    <col min="780" max="780" width="12.28515625" bestFit="1" customWidth="1"/>
    <col min="781" max="782" width="12.28515625" customWidth="1"/>
    <col min="783" max="783" width="12.5703125" bestFit="1" customWidth="1"/>
    <col min="784" max="784" width="9.7109375" bestFit="1" customWidth="1"/>
    <col min="785" max="788" width="9.7109375" customWidth="1"/>
    <col min="789" max="789" width="10.5703125" customWidth="1"/>
    <col min="790" max="790" width="13.7109375" bestFit="1" customWidth="1"/>
    <col min="791" max="793" width="13.7109375" customWidth="1"/>
    <col min="794" max="794" width="13.7109375" bestFit="1" customWidth="1"/>
    <col min="795" max="801" width="13.7109375" customWidth="1"/>
    <col min="1025" max="1025" width="10.28515625" bestFit="1" customWidth="1"/>
    <col min="1026" max="1026" width="8.140625" customWidth="1"/>
    <col min="1027" max="1027" width="8.5703125" bestFit="1" customWidth="1"/>
    <col min="1028" max="1028" width="6.140625" bestFit="1" customWidth="1"/>
    <col min="1029" max="1029" width="6.140625" customWidth="1"/>
    <col min="1030" max="1030" width="20.28515625" customWidth="1"/>
    <col min="1031" max="1031" width="11.5703125" bestFit="1" customWidth="1"/>
    <col min="1032" max="1032" width="11.5703125" customWidth="1"/>
    <col min="1033" max="1033" width="13.5703125" bestFit="1" customWidth="1"/>
    <col min="1034" max="1034" width="12.140625" bestFit="1" customWidth="1"/>
    <col min="1035" max="1035" width="12.85546875" bestFit="1" customWidth="1"/>
    <col min="1036" max="1036" width="12.28515625" bestFit="1" customWidth="1"/>
    <col min="1037" max="1038" width="12.28515625" customWidth="1"/>
    <col min="1039" max="1039" width="12.5703125" bestFit="1" customWidth="1"/>
    <col min="1040" max="1040" width="9.7109375" bestFit="1" customWidth="1"/>
    <col min="1041" max="1044" width="9.7109375" customWidth="1"/>
    <col min="1045" max="1045" width="10.5703125" customWidth="1"/>
    <col min="1046" max="1046" width="13.7109375" bestFit="1" customWidth="1"/>
    <col min="1047" max="1049" width="13.7109375" customWidth="1"/>
    <col min="1050" max="1050" width="13.7109375" bestFit="1" customWidth="1"/>
    <col min="1051" max="1057" width="13.7109375" customWidth="1"/>
    <col min="1281" max="1281" width="10.28515625" bestFit="1" customWidth="1"/>
    <col min="1282" max="1282" width="8.140625" customWidth="1"/>
    <col min="1283" max="1283" width="8.5703125" bestFit="1" customWidth="1"/>
    <col min="1284" max="1284" width="6.140625" bestFit="1" customWidth="1"/>
    <col min="1285" max="1285" width="6.140625" customWidth="1"/>
    <col min="1286" max="1286" width="20.28515625" customWidth="1"/>
    <col min="1287" max="1287" width="11.5703125" bestFit="1" customWidth="1"/>
    <col min="1288" max="1288" width="11.5703125" customWidth="1"/>
    <col min="1289" max="1289" width="13.5703125" bestFit="1" customWidth="1"/>
    <col min="1290" max="1290" width="12.140625" bestFit="1" customWidth="1"/>
    <col min="1291" max="1291" width="12.85546875" bestFit="1" customWidth="1"/>
    <col min="1292" max="1292" width="12.28515625" bestFit="1" customWidth="1"/>
    <col min="1293" max="1294" width="12.28515625" customWidth="1"/>
    <col min="1295" max="1295" width="12.5703125" bestFit="1" customWidth="1"/>
    <col min="1296" max="1296" width="9.7109375" bestFit="1" customWidth="1"/>
    <col min="1297" max="1300" width="9.7109375" customWidth="1"/>
    <col min="1301" max="1301" width="10.5703125" customWidth="1"/>
    <col min="1302" max="1302" width="13.7109375" bestFit="1" customWidth="1"/>
    <col min="1303" max="1305" width="13.7109375" customWidth="1"/>
    <col min="1306" max="1306" width="13.7109375" bestFit="1" customWidth="1"/>
    <col min="1307" max="1313" width="13.7109375" customWidth="1"/>
    <col min="1537" max="1537" width="10.28515625" bestFit="1" customWidth="1"/>
    <col min="1538" max="1538" width="8.140625" customWidth="1"/>
    <col min="1539" max="1539" width="8.5703125" bestFit="1" customWidth="1"/>
    <col min="1540" max="1540" width="6.140625" bestFit="1" customWidth="1"/>
    <col min="1541" max="1541" width="6.140625" customWidth="1"/>
    <col min="1542" max="1542" width="20.28515625" customWidth="1"/>
    <col min="1543" max="1543" width="11.5703125" bestFit="1" customWidth="1"/>
    <col min="1544" max="1544" width="11.5703125" customWidth="1"/>
    <col min="1545" max="1545" width="13.5703125" bestFit="1" customWidth="1"/>
    <col min="1546" max="1546" width="12.140625" bestFit="1" customWidth="1"/>
    <col min="1547" max="1547" width="12.85546875" bestFit="1" customWidth="1"/>
    <col min="1548" max="1548" width="12.28515625" bestFit="1" customWidth="1"/>
    <col min="1549" max="1550" width="12.28515625" customWidth="1"/>
    <col min="1551" max="1551" width="12.5703125" bestFit="1" customWidth="1"/>
    <col min="1552" max="1552" width="9.7109375" bestFit="1" customWidth="1"/>
    <col min="1553" max="1556" width="9.7109375" customWidth="1"/>
    <col min="1557" max="1557" width="10.5703125" customWidth="1"/>
    <col min="1558" max="1558" width="13.7109375" bestFit="1" customWidth="1"/>
    <col min="1559" max="1561" width="13.7109375" customWidth="1"/>
    <col min="1562" max="1562" width="13.7109375" bestFit="1" customWidth="1"/>
    <col min="1563" max="1569" width="13.7109375" customWidth="1"/>
    <col min="1793" max="1793" width="10.28515625" bestFit="1" customWidth="1"/>
    <col min="1794" max="1794" width="8.140625" customWidth="1"/>
    <col min="1795" max="1795" width="8.5703125" bestFit="1" customWidth="1"/>
    <col min="1796" max="1796" width="6.140625" bestFit="1" customWidth="1"/>
    <col min="1797" max="1797" width="6.140625" customWidth="1"/>
    <col min="1798" max="1798" width="20.28515625" customWidth="1"/>
    <col min="1799" max="1799" width="11.5703125" bestFit="1" customWidth="1"/>
    <col min="1800" max="1800" width="11.5703125" customWidth="1"/>
    <col min="1801" max="1801" width="13.5703125" bestFit="1" customWidth="1"/>
    <col min="1802" max="1802" width="12.140625" bestFit="1" customWidth="1"/>
    <col min="1803" max="1803" width="12.85546875" bestFit="1" customWidth="1"/>
    <col min="1804" max="1804" width="12.28515625" bestFit="1" customWidth="1"/>
    <col min="1805" max="1806" width="12.28515625" customWidth="1"/>
    <col min="1807" max="1807" width="12.5703125" bestFit="1" customWidth="1"/>
    <col min="1808" max="1808" width="9.7109375" bestFit="1" customWidth="1"/>
    <col min="1809" max="1812" width="9.7109375" customWidth="1"/>
    <col min="1813" max="1813" width="10.5703125" customWidth="1"/>
    <col min="1814" max="1814" width="13.7109375" bestFit="1" customWidth="1"/>
    <col min="1815" max="1817" width="13.7109375" customWidth="1"/>
    <col min="1818" max="1818" width="13.7109375" bestFit="1" customWidth="1"/>
    <col min="1819" max="1825" width="13.7109375" customWidth="1"/>
    <col min="2049" max="2049" width="10.28515625" bestFit="1" customWidth="1"/>
    <col min="2050" max="2050" width="8.140625" customWidth="1"/>
    <col min="2051" max="2051" width="8.5703125" bestFit="1" customWidth="1"/>
    <col min="2052" max="2052" width="6.140625" bestFit="1" customWidth="1"/>
    <col min="2053" max="2053" width="6.140625" customWidth="1"/>
    <col min="2054" max="2054" width="20.28515625" customWidth="1"/>
    <col min="2055" max="2055" width="11.5703125" bestFit="1" customWidth="1"/>
    <col min="2056" max="2056" width="11.5703125" customWidth="1"/>
    <col min="2057" max="2057" width="13.5703125" bestFit="1" customWidth="1"/>
    <col min="2058" max="2058" width="12.140625" bestFit="1" customWidth="1"/>
    <col min="2059" max="2059" width="12.85546875" bestFit="1" customWidth="1"/>
    <col min="2060" max="2060" width="12.28515625" bestFit="1" customWidth="1"/>
    <col min="2061" max="2062" width="12.28515625" customWidth="1"/>
    <col min="2063" max="2063" width="12.5703125" bestFit="1" customWidth="1"/>
    <col min="2064" max="2064" width="9.7109375" bestFit="1" customWidth="1"/>
    <col min="2065" max="2068" width="9.7109375" customWidth="1"/>
    <col min="2069" max="2069" width="10.5703125" customWidth="1"/>
    <col min="2070" max="2070" width="13.7109375" bestFit="1" customWidth="1"/>
    <col min="2071" max="2073" width="13.7109375" customWidth="1"/>
    <col min="2074" max="2074" width="13.7109375" bestFit="1" customWidth="1"/>
    <col min="2075" max="2081" width="13.7109375" customWidth="1"/>
    <col min="2305" max="2305" width="10.28515625" bestFit="1" customWidth="1"/>
    <col min="2306" max="2306" width="8.140625" customWidth="1"/>
    <col min="2307" max="2307" width="8.5703125" bestFit="1" customWidth="1"/>
    <col min="2308" max="2308" width="6.140625" bestFit="1" customWidth="1"/>
    <col min="2309" max="2309" width="6.140625" customWidth="1"/>
    <col min="2310" max="2310" width="20.28515625" customWidth="1"/>
    <col min="2311" max="2311" width="11.5703125" bestFit="1" customWidth="1"/>
    <col min="2312" max="2312" width="11.5703125" customWidth="1"/>
    <col min="2313" max="2313" width="13.5703125" bestFit="1" customWidth="1"/>
    <col min="2314" max="2314" width="12.140625" bestFit="1" customWidth="1"/>
    <col min="2315" max="2315" width="12.85546875" bestFit="1" customWidth="1"/>
    <col min="2316" max="2316" width="12.28515625" bestFit="1" customWidth="1"/>
    <col min="2317" max="2318" width="12.28515625" customWidth="1"/>
    <col min="2319" max="2319" width="12.5703125" bestFit="1" customWidth="1"/>
    <col min="2320" max="2320" width="9.7109375" bestFit="1" customWidth="1"/>
    <col min="2321" max="2324" width="9.7109375" customWidth="1"/>
    <col min="2325" max="2325" width="10.5703125" customWidth="1"/>
    <col min="2326" max="2326" width="13.7109375" bestFit="1" customWidth="1"/>
    <col min="2327" max="2329" width="13.7109375" customWidth="1"/>
    <col min="2330" max="2330" width="13.7109375" bestFit="1" customWidth="1"/>
    <col min="2331" max="2337" width="13.7109375" customWidth="1"/>
    <col min="2561" max="2561" width="10.28515625" bestFit="1" customWidth="1"/>
    <col min="2562" max="2562" width="8.140625" customWidth="1"/>
    <col min="2563" max="2563" width="8.5703125" bestFit="1" customWidth="1"/>
    <col min="2564" max="2564" width="6.140625" bestFit="1" customWidth="1"/>
    <col min="2565" max="2565" width="6.140625" customWidth="1"/>
    <col min="2566" max="2566" width="20.28515625" customWidth="1"/>
    <col min="2567" max="2567" width="11.5703125" bestFit="1" customWidth="1"/>
    <col min="2568" max="2568" width="11.5703125" customWidth="1"/>
    <col min="2569" max="2569" width="13.5703125" bestFit="1" customWidth="1"/>
    <col min="2570" max="2570" width="12.140625" bestFit="1" customWidth="1"/>
    <col min="2571" max="2571" width="12.85546875" bestFit="1" customWidth="1"/>
    <col min="2572" max="2572" width="12.28515625" bestFit="1" customWidth="1"/>
    <col min="2573" max="2574" width="12.28515625" customWidth="1"/>
    <col min="2575" max="2575" width="12.5703125" bestFit="1" customWidth="1"/>
    <col min="2576" max="2576" width="9.7109375" bestFit="1" customWidth="1"/>
    <col min="2577" max="2580" width="9.7109375" customWidth="1"/>
    <col min="2581" max="2581" width="10.5703125" customWidth="1"/>
    <col min="2582" max="2582" width="13.7109375" bestFit="1" customWidth="1"/>
    <col min="2583" max="2585" width="13.7109375" customWidth="1"/>
    <col min="2586" max="2586" width="13.7109375" bestFit="1" customWidth="1"/>
    <col min="2587" max="2593" width="13.7109375" customWidth="1"/>
    <col min="2817" max="2817" width="10.28515625" bestFit="1" customWidth="1"/>
    <col min="2818" max="2818" width="8.140625" customWidth="1"/>
    <col min="2819" max="2819" width="8.5703125" bestFit="1" customWidth="1"/>
    <col min="2820" max="2820" width="6.140625" bestFit="1" customWidth="1"/>
    <col min="2821" max="2821" width="6.140625" customWidth="1"/>
    <col min="2822" max="2822" width="20.28515625" customWidth="1"/>
    <col min="2823" max="2823" width="11.5703125" bestFit="1" customWidth="1"/>
    <col min="2824" max="2824" width="11.5703125" customWidth="1"/>
    <col min="2825" max="2825" width="13.5703125" bestFit="1" customWidth="1"/>
    <col min="2826" max="2826" width="12.140625" bestFit="1" customWidth="1"/>
    <col min="2827" max="2827" width="12.85546875" bestFit="1" customWidth="1"/>
    <col min="2828" max="2828" width="12.28515625" bestFit="1" customWidth="1"/>
    <col min="2829" max="2830" width="12.28515625" customWidth="1"/>
    <col min="2831" max="2831" width="12.5703125" bestFit="1" customWidth="1"/>
    <col min="2832" max="2832" width="9.7109375" bestFit="1" customWidth="1"/>
    <col min="2833" max="2836" width="9.7109375" customWidth="1"/>
    <col min="2837" max="2837" width="10.5703125" customWidth="1"/>
    <col min="2838" max="2838" width="13.7109375" bestFit="1" customWidth="1"/>
    <col min="2839" max="2841" width="13.7109375" customWidth="1"/>
    <col min="2842" max="2842" width="13.7109375" bestFit="1" customWidth="1"/>
    <col min="2843" max="2849" width="13.7109375" customWidth="1"/>
    <col min="3073" max="3073" width="10.28515625" bestFit="1" customWidth="1"/>
    <col min="3074" max="3074" width="8.140625" customWidth="1"/>
    <col min="3075" max="3075" width="8.5703125" bestFit="1" customWidth="1"/>
    <col min="3076" max="3076" width="6.140625" bestFit="1" customWidth="1"/>
    <col min="3077" max="3077" width="6.140625" customWidth="1"/>
    <col min="3078" max="3078" width="20.28515625" customWidth="1"/>
    <col min="3079" max="3079" width="11.5703125" bestFit="1" customWidth="1"/>
    <col min="3080" max="3080" width="11.5703125" customWidth="1"/>
    <col min="3081" max="3081" width="13.5703125" bestFit="1" customWidth="1"/>
    <col min="3082" max="3082" width="12.140625" bestFit="1" customWidth="1"/>
    <col min="3083" max="3083" width="12.85546875" bestFit="1" customWidth="1"/>
    <col min="3084" max="3084" width="12.28515625" bestFit="1" customWidth="1"/>
    <col min="3085" max="3086" width="12.28515625" customWidth="1"/>
    <col min="3087" max="3087" width="12.5703125" bestFit="1" customWidth="1"/>
    <col min="3088" max="3088" width="9.7109375" bestFit="1" customWidth="1"/>
    <col min="3089" max="3092" width="9.7109375" customWidth="1"/>
    <col min="3093" max="3093" width="10.5703125" customWidth="1"/>
    <col min="3094" max="3094" width="13.7109375" bestFit="1" customWidth="1"/>
    <col min="3095" max="3097" width="13.7109375" customWidth="1"/>
    <col min="3098" max="3098" width="13.7109375" bestFit="1" customWidth="1"/>
    <col min="3099" max="3105" width="13.7109375" customWidth="1"/>
    <col min="3329" max="3329" width="10.28515625" bestFit="1" customWidth="1"/>
    <col min="3330" max="3330" width="8.140625" customWidth="1"/>
    <col min="3331" max="3331" width="8.5703125" bestFit="1" customWidth="1"/>
    <col min="3332" max="3332" width="6.140625" bestFit="1" customWidth="1"/>
    <col min="3333" max="3333" width="6.140625" customWidth="1"/>
    <col min="3334" max="3334" width="20.28515625" customWidth="1"/>
    <col min="3335" max="3335" width="11.5703125" bestFit="1" customWidth="1"/>
    <col min="3336" max="3336" width="11.5703125" customWidth="1"/>
    <col min="3337" max="3337" width="13.5703125" bestFit="1" customWidth="1"/>
    <col min="3338" max="3338" width="12.140625" bestFit="1" customWidth="1"/>
    <col min="3339" max="3339" width="12.85546875" bestFit="1" customWidth="1"/>
    <col min="3340" max="3340" width="12.28515625" bestFit="1" customWidth="1"/>
    <col min="3341" max="3342" width="12.28515625" customWidth="1"/>
    <col min="3343" max="3343" width="12.5703125" bestFit="1" customWidth="1"/>
    <col min="3344" max="3344" width="9.7109375" bestFit="1" customWidth="1"/>
    <col min="3345" max="3348" width="9.7109375" customWidth="1"/>
    <col min="3349" max="3349" width="10.5703125" customWidth="1"/>
    <col min="3350" max="3350" width="13.7109375" bestFit="1" customWidth="1"/>
    <col min="3351" max="3353" width="13.7109375" customWidth="1"/>
    <col min="3354" max="3354" width="13.7109375" bestFit="1" customWidth="1"/>
    <col min="3355" max="3361" width="13.7109375" customWidth="1"/>
    <col min="3585" max="3585" width="10.28515625" bestFit="1" customWidth="1"/>
    <col min="3586" max="3586" width="8.140625" customWidth="1"/>
    <col min="3587" max="3587" width="8.5703125" bestFit="1" customWidth="1"/>
    <col min="3588" max="3588" width="6.140625" bestFit="1" customWidth="1"/>
    <col min="3589" max="3589" width="6.140625" customWidth="1"/>
    <col min="3590" max="3590" width="20.28515625" customWidth="1"/>
    <col min="3591" max="3591" width="11.5703125" bestFit="1" customWidth="1"/>
    <col min="3592" max="3592" width="11.5703125" customWidth="1"/>
    <col min="3593" max="3593" width="13.5703125" bestFit="1" customWidth="1"/>
    <col min="3594" max="3594" width="12.140625" bestFit="1" customWidth="1"/>
    <col min="3595" max="3595" width="12.85546875" bestFit="1" customWidth="1"/>
    <col min="3596" max="3596" width="12.28515625" bestFit="1" customWidth="1"/>
    <col min="3597" max="3598" width="12.28515625" customWidth="1"/>
    <col min="3599" max="3599" width="12.5703125" bestFit="1" customWidth="1"/>
    <col min="3600" max="3600" width="9.7109375" bestFit="1" customWidth="1"/>
    <col min="3601" max="3604" width="9.7109375" customWidth="1"/>
    <col min="3605" max="3605" width="10.5703125" customWidth="1"/>
    <col min="3606" max="3606" width="13.7109375" bestFit="1" customWidth="1"/>
    <col min="3607" max="3609" width="13.7109375" customWidth="1"/>
    <col min="3610" max="3610" width="13.7109375" bestFit="1" customWidth="1"/>
    <col min="3611" max="3617" width="13.7109375" customWidth="1"/>
    <col min="3841" max="3841" width="10.28515625" bestFit="1" customWidth="1"/>
    <col min="3842" max="3842" width="8.140625" customWidth="1"/>
    <col min="3843" max="3843" width="8.5703125" bestFit="1" customWidth="1"/>
    <col min="3844" max="3844" width="6.140625" bestFit="1" customWidth="1"/>
    <col min="3845" max="3845" width="6.140625" customWidth="1"/>
    <col min="3846" max="3846" width="20.28515625" customWidth="1"/>
    <col min="3847" max="3847" width="11.5703125" bestFit="1" customWidth="1"/>
    <col min="3848" max="3848" width="11.5703125" customWidth="1"/>
    <col min="3849" max="3849" width="13.5703125" bestFit="1" customWidth="1"/>
    <col min="3850" max="3850" width="12.140625" bestFit="1" customWidth="1"/>
    <col min="3851" max="3851" width="12.85546875" bestFit="1" customWidth="1"/>
    <col min="3852" max="3852" width="12.28515625" bestFit="1" customWidth="1"/>
    <col min="3853" max="3854" width="12.28515625" customWidth="1"/>
    <col min="3855" max="3855" width="12.5703125" bestFit="1" customWidth="1"/>
    <col min="3856" max="3856" width="9.7109375" bestFit="1" customWidth="1"/>
    <col min="3857" max="3860" width="9.7109375" customWidth="1"/>
    <col min="3861" max="3861" width="10.5703125" customWidth="1"/>
    <col min="3862" max="3862" width="13.7109375" bestFit="1" customWidth="1"/>
    <col min="3863" max="3865" width="13.7109375" customWidth="1"/>
    <col min="3866" max="3866" width="13.7109375" bestFit="1" customWidth="1"/>
    <col min="3867" max="3873" width="13.7109375" customWidth="1"/>
    <col min="4097" max="4097" width="10.28515625" bestFit="1" customWidth="1"/>
    <col min="4098" max="4098" width="8.140625" customWidth="1"/>
    <col min="4099" max="4099" width="8.5703125" bestFit="1" customWidth="1"/>
    <col min="4100" max="4100" width="6.140625" bestFit="1" customWidth="1"/>
    <col min="4101" max="4101" width="6.140625" customWidth="1"/>
    <col min="4102" max="4102" width="20.28515625" customWidth="1"/>
    <col min="4103" max="4103" width="11.5703125" bestFit="1" customWidth="1"/>
    <col min="4104" max="4104" width="11.5703125" customWidth="1"/>
    <col min="4105" max="4105" width="13.5703125" bestFit="1" customWidth="1"/>
    <col min="4106" max="4106" width="12.140625" bestFit="1" customWidth="1"/>
    <col min="4107" max="4107" width="12.85546875" bestFit="1" customWidth="1"/>
    <col min="4108" max="4108" width="12.28515625" bestFit="1" customWidth="1"/>
    <col min="4109" max="4110" width="12.28515625" customWidth="1"/>
    <col min="4111" max="4111" width="12.5703125" bestFit="1" customWidth="1"/>
    <col min="4112" max="4112" width="9.7109375" bestFit="1" customWidth="1"/>
    <col min="4113" max="4116" width="9.7109375" customWidth="1"/>
    <col min="4117" max="4117" width="10.5703125" customWidth="1"/>
    <col min="4118" max="4118" width="13.7109375" bestFit="1" customWidth="1"/>
    <col min="4119" max="4121" width="13.7109375" customWidth="1"/>
    <col min="4122" max="4122" width="13.7109375" bestFit="1" customWidth="1"/>
    <col min="4123" max="4129" width="13.7109375" customWidth="1"/>
    <col min="4353" max="4353" width="10.28515625" bestFit="1" customWidth="1"/>
    <col min="4354" max="4354" width="8.140625" customWidth="1"/>
    <col min="4355" max="4355" width="8.5703125" bestFit="1" customWidth="1"/>
    <col min="4356" max="4356" width="6.140625" bestFit="1" customWidth="1"/>
    <col min="4357" max="4357" width="6.140625" customWidth="1"/>
    <col min="4358" max="4358" width="20.28515625" customWidth="1"/>
    <col min="4359" max="4359" width="11.5703125" bestFit="1" customWidth="1"/>
    <col min="4360" max="4360" width="11.5703125" customWidth="1"/>
    <col min="4361" max="4361" width="13.5703125" bestFit="1" customWidth="1"/>
    <col min="4362" max="4362" width="12.140625" bestFit="1" customWidth="1"/>
    <col min="4363" max="4363" width="12.85546875" bestFit="1" customWidth="1"/>
    <col min="4364" max="4364" width="12.28515625" bestFit="1" customWidth="1"/>
    <col min="4365" max="4366" width="12.28515625" customWidth="1"/>
    <col min="4367" max="4367" width="12.5703125" bestFit="1" customWidth="1"/>
    <col min="4368" max="4368" width="9.7109375" bestFit="1" customWidth="1"/>
    <col min="4369" max="4372" width="9.7109375" customWidth="1"/>
    <col min="4373" max="4373" width="10.5703125" customWidth="1"/>
    <col min="4374" max="4374" width="13.7109375" bestFit="1" customWidth="1"/>
    <col min="4375" max="4377" width="13.7109375" customWidth="1"/>
    <col min="4378" max="4378" width="13.7109375" bestFit="1" customWidth="1"/>
    <col min="4379" max="4385" width="13.7109375" customWidth="1"/>
    <col min="4609" max="4609" width="10.28515625" bestFit="1" customWidth="1"/>
    <col min="4610" max="4610" width="8.140625" customWidth="1"/>
    <col min="4611" max="4611" width="8.5703125" bestFit="1" customWidth="1"/>
    <col min="4612" max="4612" width="6.140625" bestFit="1" customWidth="1"/>
    <col min="4613" max="4613" width="6.140625" customWidth="1"/>
    <col min="4614" max="4614" width="20.28515625" customWidth="1"/>
    <col min="4615" max="4615" width="11.5703125" bestFit="1" customWidth="1"/>
    <col min="4616" max="4616" width="11.5703125" customWidth="1"/>
    <col min="4617" max="4617" width="13.5703125" bestFit="1" customWidth="1"/>
    <col min="4618" max="4618" width="12.140625" bestFit="1" customWidth="1"/>
    <col min="4619" max="4619" width="12.85546875" bestFit="1" customWidth="1"/>
    <col min="4620" max="4620" width="12.28515625" bestFit="1" customWidth="1"/>
    <col min="4621" max="4622" width="12.28515625" customWidth="1"/>
    <col min="4623" max="4623" width="12.5703125" bestFit="1" customWidth="1"/>
    <col min="4624" max="4624" width="9.7109375" bestFit="1" customWidth="1"/>
    <col min="4625" max="4628" width="9.7109375" customWidth="1"/>
    <col min="4629" max="4629" width="10.5703125" customWidth="1"/>
    <col min="4630" max="4630" width="13.7109375" bestFit="1" customWidth="1"/>
    <col min="4631" max="4633" width="13.7109375" customWidth="1"/>
    <col min="4634" max="4634" width="13.7109375" bestFit="1" customWidth="1"/>
    <col min="4635" max="4641" width="13.7109375" customWidth="1"/>
    <col min="4865" max="4865" width="10.28515625" bestFit="1" customWidth="1"/>
    <col min="4866" max="4866" width="8.140625" customWidth="1"/>
    <col min="4867" max="4867" width="8.5703125" bestFit="1" customWidth="1"/>
    <col min="4868" max="4868" width="6.140625" bestFit="1" customWidth="1"/>
    <col min="4869" max="4869" width="6.140625" customWidth="1"/>
    <col min="4870" max="4870" width="20.28515625" customWidth="1"/>
    <col min="4871" max="4871" width="11.5703125" bestFit="1" customWidth="1"/>
    <col min="4872" max="4872" width="11.5703125" customWidth="1"/>
    <col min="4873" max="4873" width="13.5703125" bestFit="1" customWidth="1"/>
    <col min="4874" max="4874" width="12.140625" bestFit="1" customWidth="1"/>
    <col min="4875" max="4875" width="12.85546875" bestFit="1" customWidth="1"/>
    <col min="4876" max="4876" width="12.28515625" bestFit="1" customWidth="1"/>
    <col min="4877" max="4878" width="12.28515625" customWidth="1"/>
    <col min="4879" max="4879" width="12.5703125" bestFit="1" customWidth="1"/>
    <col min="4880" max="4880" width="9.7109375" bestFit="1" customWidth="1"/>
    <col min="4881" max="4884" width="9.7109375" customWidth="1"/>
    <col min="4885" max="4885" width="10.5703125" customWidth="1"/>
    <col min="4886" max="4886" width="13.7109375" bestFit="1" customWidth="1"/>
    <col min="4887" max="4889" width="13.7109375" customWidth="1"/>
    <col min="4890" max="4890" width="13.7109375" bestFit="1" customWidth="1"/>
    <col min="4891" max="4897" width="13.7109375" customWidth="1"/>
    <col min="5121" max="5121" width="10.28515625" bestFit="1" customWidth="1"/>
    <col min="5122" max="5122" width="8.140625" customWidth="1"/>
    <col min="5123" max="5123" width="8.5703125" bestFit="1" customWidth="1"/>
    <col min="5124" max="5124" width="6.140625" bestFit="1" customWidth="1"/>
    <col min="5125" max="5125" width="6.140625" customWidth="1"/>
    <col min="5126" max="5126" width="20.28515625" customWidth="1"/>
    <col min="5127" max="5127" width="11.5703125" bestFit="1" customWidth="1"/>
    <col min="5128" max="5128" width="11.5703125" customWidth="1"/>
    <col min="5129" max="5129" width="13.5703125" bestFit="1" customWidth="1"/>
    <col min="5130" max="5130" width="12.140625" bestFit="1" customWidth="1"/>
    <col min="5131" max="5131" width="12.85546875" bestFit="1" customWidth="1"/>
    <col min="5132" max="5132" width="12.28515625" bestFit="1" customWidth="1"/>
    <col min="5133" max="5134" width="12.28515625" customWidth="1"/>
    <col min="5135" max="5135" width="12.5703125" bestFit="1" customWidth="1"/>
    <col min="5136" max="5136" width="9.7109375" bestFit="1" customWidth="1"/>
    <col min="5137" max="5140" width="9.7109375" customWidth="1"/>
    <col min="5141" max="5141" width="10.5703125" customWidth="1"/>
    <col min="5142" max="5142" width="13.7109375" bestFit="1" customWidth="1"/>
    <col min="5143" max="5145" width="13.7109375" customWidth="1"/>
    <col min="5146" max="5146" width="13.7109375" bestFit="1" customWidth="1"/>
    <col min="5147" max="5153" width="13.7109375" customWidth="1"/>
    <col min="5377" max="5377" width="10.28515625" bestFit="1" customWidth="1"/>
    <col min="5378" max="5378" width="8.140625" customWidth="1"/>
    <col min="5379" max="5379" width="8.5703125" bestFit="1" customWidth="1"/>
    <col min="5380" max="5380" width="6.140625" bestFit="1" customWidth="1"/>
    <col min="5381" max="5381" width="6.140625" customWidth="1"/>
    <col min="5382" max="5382" width="20.28515625" customWidth="1"/>
    <col min="5383" max="5383" width="11.5703125" bestFit="1" customWidth="1"/>
    <col min="5384" max="5384" width="11.5703125" customWidth="1"/>
    <col min="5385" max="5385" width="13.5703125" bestFit="1" customWidth="1"/>
    <col min="5386" max="5386" width="12.140625" bestFit="1" customWidth="1"/>
    <col min="5387" max="5387" width="12.85546875" bestFit="1" customWidth="1"/>
    <col min="5388" max="5388" width="12.28515625" bestFit="1" customWidth="1"/>
    <col min="5389" max="5390" width="12.28515625" customWidth="1"/>
    <col min="5391" max="5391" width="12.5703125" bestFit="1" customWidth="1"/>
    <col min="5392" max="5392" width="9.7109375" bestFit="1" customWidth="1"/>
    <col min="5393" max="5396" width="9.7109375" customWidth="1"/>
    <col min="5397" max="5397" width="10.5703125" customWidth="1"/>
    <col min="5398" max="5398" width="13.7109375" bestFit="1" customWidth="1"/>
    <col min="5399" max="5401" width="13.7109375" customWidth="1"/>
    <col min="5402" max="5402" width="13.7109375" bestFit="1" customWidth="1"/>
    <col min="5403" max="5409" width="13.7109375" customWidth="1"/>
    <col min="5633" max="5633" width="10.28515625" bestFit="1" customWidth="1"/>
    <col min="5634" max="5634" width="8.140625" customWidth="1"/>
    <col min="5635" max="5635" width="8.5703125" bestFit="1" customWidth="1"/>
    <col min="5636" max="5636" width="6.140625" bestFit="1" customWidth="1"/>
    <col min="5637" max="5637" width="6.140625" customWidth="1"/>
    <col min="5638" max="5638" width="20.28515625" customWidth="1"/>
    <col min="5639" max="5639" width="11.5703125" bestFit="1" customWidth="1"/>
    <col min="5640" max="5640" width="11.5703125" customWidth="1"/>
    <col min="5641" max="5641" width="13.5703125" bestFit="1" customWidth="1"/>
    <col min="5642" max="5642" width="12.140625" bestFit="1" customWidth="1"/>
    <col min="5643" max="5643" width="12.85546875" bestFit="1" customWidth="1"/>
    <col min="5644" max="5644" width="12.28515625" bestFit="1" customWidth="1"/>
    <col min="5645" max="5646" width="12.28515625" customWidth="1"/>
    <col min="5647" max="5647" width="12.5703125" bestFit="1" customWidth="1"/>
    <col min="5648" max="5648" width="9.7109375" bestFit="1" customWidth="1"/>
    <col min="5649" max="5652" width="9.7109375" customWidth="1"/>
    <col min="5653" max="5653" width="10.5703125" customWidth="1"/>
    <col min="5654" max="5654" width="13.7109375" bestFit="1" customWidth="1"/>
    <col min="5655" max="5657" width="13.7109375" customWidth="1"/>
    <col min="5658" max="5658" width="13.7109375" bestFit="1" customWidth="1"/>
    <col min="5659" max="5665" width="13.7109375" customWidth="1"/>
    <col min="5889" max="5889" width="10.28515625" bestFit="1" customWidth="1"/>
    <col min="5890" max="5890" width="8.140625" customWidth="1"/>
    <col min="5891" max="5891" width="8.5703125" bestFit="1" customWidth="1"/>
    <col min="5892" max="5892" width="6.140625" bestFit="1" customWidth="1"/>
    <col min="5893" max="5893" width="6.140625" customWidth="1"/>
    <col min="5894" max="5894" width="20.28515625" customWidth="1"/>
    <col min="5895" max="5895" width="11.5703125" bestFit="1" customWidth="1"/>
    <col min="5896" max="5896" width="11.5703125" customWidth="1"/>
    <col min="5897" max="5897" width="13.5703125" bestFit="1" customWidth="1"/>
    <col min="5898" max="5898" width="12.140625" bestFit="1" customWidth="1"/>
    <col min="5899" max="5899" width="12.85546875" bestFit="1" customWidth="1"/>
    <col min="5900" max="5900" width="12.28515625" bestFit="1" customWidth="1"/>
    <col min="5901" max="5902" width="12.28515625" customWidth="1"/>
    <col min="5903" max="5903" width="12.5703125" bestFit="1" customWidth="1"/>
    <col min="5904" max="5904" width="9.7109375" bestFit="1" customWidth="1"/>
    <col min="5905" max="5908" width="9.7109375" customWidth="1"/>
    <col min="5909" max="5909" width="10.5703125" customWidth="1"/>
    <col min="5910" max="5910" width="13.7109375" bestFit="1" customWidth="1"/>
    <col min="5911" max="5913" width="13.7109375" customWidth="1"/>
    <col min="5914" max="5914" width="13.7109375" bestFit="1" customWidth="1"/>
    <col min="5915" max="5921" width="13.7109375" customWidth="1"/>
    <col min="6145" max="6145" width="10.28515625" bestFit="1" customWidth="1"/>
    <col min="6146" max="6146" width="8.140625" customWidth="1"/>
    <col min="6147" max="6147" width="8.5703125" bestFit="1" customWidth="1"/>
    <col min="6148" max="6148" width="6.140625" bestFit="1" customWidth="1"/>
    <col min="6149" max="6149" width="6.140625" customWidth="1"/>
    <col min="6150" max="6150" width="20.28515625" customWidth="1"/>
    <col min="6151" max="6151" width="11.5703125" bestFit="1" customWidth="1"/>
    <col min="6152" max="6152" width="11.5703125" customWidth="1"/>
    <col min="6153" max="6153" width="13.5703125" bestFit="1" customWidth="1"/>
    <col min="6154" max="6154" width="12.140625" bestFit="1" customWidth="1"/>
    <col min="6155" max="6155" width="12.85546875" bestFit="1" customWidth="1"/>
    <col min="6156" max="6156" width="12.28515625" bestFit="1" customWidth="1"/>
    <col min="6157" max="6158" width="12.28515625" customWidth="1"/>
    <col min="6159" max="6159" width="12.5703125" bestFit="1" customWidth="1"/>
    <col min="6160" max="6160" width="9.7109375" bestFit="1" customWidth="1"/>
    <col min="6161" max="6164" width="9.7109375" customWidth="1"/>
    <col min="6165" max="6165" width="10.5703125" customWidth="1"/>
    <col min="6166" max="6166" width="13.7109375" bestFit="1" customWidth="1"/>
    <col min="6167" max="6169" width="13.7109375" customWidth="1"/>
    <col min="6170" max="6170" width="13.7109375" bestFit="1" customWidth="1"/>
    <col min="6171" max="6177" width="13.7109375" customWidth="1"/>
    <col min="6401" max="6401" width="10.28515625" bestFit="1" customWidth="1"/>
    <col min="6402" max="6402" width="8.140625" customWidth="1"/>
    <col min="6403" max="6403" width="8.5703125" bestFit="1" customWidth="1"/>
    <col min="6404" max="6404" width="6.140625" bestFit="1" customWidth="1"/>
    <col min="6405" max="6405" width="6.140625" customWidth="1"/>
    <col min="6406" max="6406" width="20.28515625" customWidth="1"/>
    <col min="6407" max="6407" width="11.5703125" bestFit="1" customWidth="1"/>
    <col min="6408" max="6408" width="11.5703125" customWidth="1"/>
    <col min="6409" max="6409" width="13.5703125" bestFit="1" customWidth="1"/>
    <col min="6410" max="6410" width="12.140625" bestFit="1" customWidth="1"/>
    <col min="6411" max="6411" width="12.85546875" bestFit="1" customWidth="1"/>
    <col min="6412" max="6412" width="12.28515625" bestFit="1" customWidth="1"/>
    <col min="6413" max="6414" width="12.28515625" customWidth="1"/>
    <col min="6415" max="6415" width="12.5703125" bestFit="1" customWidth="1"/>
    <col min="6416" max="6416" width="9.7109375" bestFit="1" customWidth="1"/>
    <col min="6417" max="6420" width="9.7109375" customWidth="1"/>
    <col min="6421" max="6421" width="10.5703125" customWidth="1"/>
    <col min="6422" max="6422" width="13.7109375" bestFit="1" customWidth="1"/>
    <col min="6423" max="6425" width="13.7109375" customWidth="1"/>
    <col min="6426" max="6426" width="13.7109375" bestFit="1" customWidth="1"/>
    <col min="6427" max="6433" width="13.7109375" customWidth="1"/>
    <col min="6657" max="6657" width="10.28515625" bestFit="1" customWidth="1"/>
    <col min="6658" max="6658" width="8.140625" customWidth="1"/>
    <col min="6659" max="6659" width="8.5703125" bestFit="1" customWidth="1"/>
    <col min="6660" max="6660" width="6.140625" bestFit="1" customWidth="1"/>
    <col min="6661" max="6661" width="6.140625" customWidth="1"/>
    <col min="6662" max="6662" width="20.28515625" customWidth="1"/>
    <col min="6663" max="6663" width="11.5703125" bestFit="1" customWidth="1"/>
    <col min="6664" max="6664" width="11.5703125" customWidth="1"/>
    <col min="6665" max="6665" width="13.5703125" bestFit="1" customWidth="1"/>
    <col min="6666" max="6666" width="12.140625" bestFit="1" customWidth="1"/>
    <col min="6667" max="6667" width="12.85546875" bestFit="1" customWidth="1"/>
    <col min="6668" max="6668" width="12.28515625" bestFit="1" customWidth="1"/>
    <col min="6669" max="6670" width="12.28515625" customWidth="1"/>
    <col min="6671" max="6671" width="12.5703125" bestFit="1" customWidth="1"/>
    <col min="6672" max="6672" width="9.7109375" bestFit="1" customWidth="1"/>
    <col min="6673" max="6676" width="9.7109375" customWidth="1"/>
    <col min="6677" max="6677" width="10.5703125" customWidth="1"/>
    <col min="6678" max="6678" width="13.7109375" bestFit="1" customWidth="1"/>
    <col min="6679" max="6681" width="13.7109375" customWidth="1"/>
    <col min="6682" max="6682" width="13.7109375" bestFit="1" customWidth="1"/>
    <col min="6683" max="6689" width="13.7109375" customWidth="1"/>
    <col min="6913" max="6913" width="10.28515625" bestFit="1" customWidth="1"/>
    <col min="6914" max="6914" width="8.140625" customWidth="1"/>
    <col min="6915" max="6915" width="8.5703125" bestFit="1" customWidth="1"/>
    <col min="6916" max="6916" width="6.140625" bestFit="1" customWidth="1"/>
    <col min="6917" max="6917" width="6.140625" customWidth="1"/>
    <col min="6918" max="6918" width="20.28515625" customWidth="1"/>
    <col min="6919" max="6919" width="11.5703125" bestFit="1" customWidth="1"/>
    <col min="6920" max="6920" width="11.5703125" customWidth="1"/>
    <col min="6921" max="6921" width="13.5703125" bestFit="1" customWidth="1"/>
    <col min="6922" max="6922" width="12.140625" bestFit="1" customWidth="1"/>
    <col min="6923" max="6923" width="12.85546875" bestFit="1" customWidth="1"/>
    <col min="6924" max="6924" width="12.28515625" bestFit="1" customWidth="1"/>
    <col min="6925" max="6926" width="12.28515625" customWidth="1"/>
    <col min="6927" max="6927" width="12.5703125" bestFit="1" customWidth="1"/>
    <col min="6928" max="6928" width="9.7109375" bestFit="1" customWidth="1"/>
    <col min="6929" max="6932" width="9.7109375" customWidth="1"/>
    <col min="6933" max="6933" width="10.5703125" customWidth="1"/>
    <col min="6934" max="6934" width="13.7109375" bestFit="1" customWidth="1"/>
    <col min="6935" max="6937" width="13.7109375" customWidth="1"/>
    <col min="6938" max="6938" width="13.7109375" bestFit="1" customWidth="1"/>
    <col min="6939" max="6945" width="13.7109375" customWidth="1"/>
    <col min="7169" max="7169" width="10.28515625" bestFit="1" customWidth="1"/>
    <col min="7170" max="7170" width="8.140625" customWidth="1"/>
    <col min="7171" max="7171" width="8.5703125" bestFit="1" customWidth="1"/>
    <col min="7172" max="7172" width="6.140625" bestFit="1" customWidth="1"/>
    <col min="7173" max="7173" width="6.140625" customWidth="1"/>
    <col min="7174" max="7174" width="20.28515625" customWidth="1"/>
    <col min="7175" max="7175" width="11.5703125" bestFit="1" customWidth="1"/>
    <col min="7176" max="7176" width="11.5703125" customWidth="1"/>
    <col min="7177" max="7177" width="13.5703125" bestFit="1" customWidth="1"/>
    <col min="7178" max="7178" width="12.140625" bestFit="1" customWidth="1"/>
    <col min="7179" max="7179" width="12.85546875" bestFit="1" customWidth="1"/>
    <col min="7180" max="7180" width="12.28515625" bestFit="1" customWidth="1"/>
    <col min="7181" max="7182" width="12.28515625" customWidth="1"/>
    <col min="7183" max="7183" width="12.5703125" bestFit="1" customWidth="1"/>
    <col min="7184" max="7184" width="9.7109375" bestFit="1" customWidth="1"/>
    <col min="7185" max="7188" width="9.7109375" customWidth="1"/>
    <col min="7189" max="7189" width="10.5703125" customWidth="1"/>
    <col min="7190" max="7190" width="13.7109375" bestFit="1" customWidth="1"/>
    <col min="7191" max="7193" width="13.7109375" customWidth="1"/>
    <col min="7194" max="7194" width="13.7109375" bestFit="1" customWidth="1"/>
    <col min="7195" max="7201" width="13.7109375" customWidth="1"/>
    <col min="7425" max="7425" width="10.28515625" bestFit="1" customWidth="1"/>
    <col min="7426" max="7426" width="8.140625" customWidth="1"/>
    <col min="7427" max="7427" width="8.5703125" bestFit="1" customWidth="1"/>
    <col min="7428" max="7428" width="6.140625" bestFit="1" customWidth="1"/>
    <col min="7429" max="7429" width="6.140625" customWidth="1"/>
    <col min="7430" max="7430" width="20.28515625" customWidth="1"/>
    <col min="7431" max="7431" width="11.5703125" bestFit="1" customWidth="1"/>
    <col min="7432" max="7432" width="11.5703125" customWidth="1"/>
    <col min="7433" max="7433" width="13.5703125" bestFit="1" customWidth="1"/>
    <col min="7434" max="7434" width="12.140625" bestFit="1" customWidth="1"/>
    <col min="7435" max="7435" width="12.85546875" bestFit="1" customWidth="1"/>
    <col min="7436" max="7436" width="12.28515625" bestFit="1" customWidth="1"/>
    <col min="7437" max="7438" width="12.28515625" customWidth="1"/>
    <col min="7439" max="7439" width="12.5703125" bestFit="1" customWidth="1"/>
    <col min="7440" max="7440" width="9.7109375" bestFit="1" customWidth="1"/>
    <col min="7441" max="7444" width="9.7109375" customWidth="1"/>
    <col min="7445" max="7445" width="10.5703125" customWidth="1"/>
    <col min="7446" max="7446" width="13.7109375" bestFit="1" customWidth="1"/>
    <col min="7447" max="7449" width="13.7109375" customWidth="1"/>
    <col min="7450" max="7450" width="13.7109375" bestFit="1" customWidth="1"/>
    <col min="7451" max="7457" width="13.7109375" customWidth="1"/>
    <col min="7681" max="7681" width="10.28515625" bestFit="1" customWidth="1"/>
    <col min="7682" max="7682" width="8.140625" customWidth="1"/>
    <col min="7683" max="7683" width="8.5703125" bestFit="1" customWidth="1"/>
    <col min="7684" max="7684" width="6.140625" bestFit="1" customWidth="1"/>
    <col min="7685" max="7685" width="6.140625" customWidth="1"/>
    <col min="7686" max="7686" width="20.28515625" customWidth="1"/>
    <col min="7687" max="7687" width="11.5703125" bestFit="1" customWidth="1"/>
    <col min="7688" max="7688" width="11.5703125" customWidth="1"/>
    <col min="7689" max="7689" width="13.5703125" bestFit="1" customWidth="1"/>
    <col min="7690" max="7690" width="12.140625" bestFit="1" customWidth="1"/>
    <col min="7691" max="7691" width="12.85546875" bestFit="1" customWidth="1"/>
    <col min="7692" max="7692" width="12.28515625" bestFit="1" customWidth="1"/>
    <col min="7693" max="7694" width="12.28515625" customWidth="1"/>
    <col min="7695" max="7695" width="12.5703125" bestFit="1" customWidth="1"/>
    <col min="7696" max="7696" width="9.7109375" bestFit="1" customWidth="1"/>
    <col min="7697" max="7700" width="9.7109375" customWidth="1"/>
    <col min="7701" max="7701" width="10.5703125" customWidth="1"/>
    <col min="7702" max="7702" width="13.7109375" bestFit="1" customWidth="1"/>
    <col min="7703" max="7705" width="13.7109375" customWidth="1"/>
    <col min="7706" max="7706" width="13.7109375" bestFit="1" customWidth="1"/>
    <col min="7707" max="7713" width="13.7109375" customWidth="1"/>
    <col min="7937" max="7937" width="10.28515625" bestFit="1" customWidth="1"/>
    <col min="7938" max="7938" width="8.140625" customWidth="1"/>
    <col min="7939" max="7939" width="8.5703125" bestFit="1" customWidth="1"/>
    <col min="7940" max="7940" width="6.140625" bestFit="1" customWidth="1"/>
    <col min="7941" max="7941" width="6.140625" customWidth="1"/>
    <col min="7942" max="7942" width="20.28515625" customWidth="1"/>
    <col min="7943" max="7943" width="11.5703125" bestFit="1" customWidth="1"/>
    <col min="7944" max="7944" width="11.5703125" customWidth="1"/>
    <col min="7945" max="7945" width="13.5703125" bestFit="1" customWidth="1"/>
    <col min="7946" max="7946" width="12.140625" bestFit="1" customWidth="1"/>
    <col min="7947" max="7947" width="12.85546875" bestFit="1" customWidth="1"/>
    <col min="7948" max="7948" width="12.28515625" bestFit="1" customWidth="1"/>
    <col min="7949" max="7950" width="12.28515625" customWidth="1"/>
    <col min="7951" max="7951" width="12.5703125" bestFit="1" customWidth="1"/>
    <col min="7952" max="7952" width="9.7109375" bestFit="1" customWidth="1"/>
    <col min="7953" max="7956" width="9.7109375" customWidth="1"/>
    <col min="7957" max="7957" width="10.5703125" customWidth="1"/>
    <col min="7958" max="7958" width="13.7109375" bestFit="1" customWidth="1"/>
    <col min="7959" max="7961" width="13.7109375" customWidth="1"/>
    <col min="7962" max="7962" width="13.7109375" bestFit="1" customWidth="1"/>
    <col min="7963" max="7969" width="13.7109375" customWidth="1"/>
    <col min="8193" max="8193" width="10.28515625" bestFit="1" customWidth="1"/>
    <col min="8194" max="8194" width="8.140625" customWidth="1"/>
    <col min="8195" max="8195" width="8.5703125" bestFit="1" customWidth="1"/>
    <col min="8196" max="8196" width="6.140625" bestFit="1" customWidth="1"/>
    <col min="8197" max="8197" width="6.140625" customWidth="1"/>
    <col min="8198" max="8198" width="20.28515625" customWidth="1"/>
    <col min="8199" max="8199" width="11.5703125" bestFit="1" customWidth="1"/>
    <col min="8200" max="8200" width="11.5703125" customWidth="1"/>
    <col min="8201" max="8201" width="13.5703125" bestFit="1" customWidth="1"/>
    <col min="8202" max="8202" width="12.140625" bestFit="1" customWidth="1"/>
    <col min="8203" max="8203" width="12.85546875" bestFit="1" customWidth="1"/>
    <col min="8204" max="8204" width="12.28515625" bestFit="1" customWidth="1"/>
    <col min="8205" max="8206" width="12.28515625" customWidth="1"/>
    <col min="8207" max="8207" width="12.5703125" bestFit="1" customWidth="1"/>
    <col min="8208" max="8208" width="9.7109375" bestFit="1" customWidth="1"/>
    <col min="8209" max="8212" width="9.7109375" customWidth="1"/>
    <col min="8213" max="8213" width="10.5703125" customWidth="1"/>
    <col min="8214" max="8214" width="13.7109375" bestFit="1" customWidth="1"/>
    <col min="8215" max="8217" width="13.7109375" customWidth="1"/>
    <col min="8218" max="8218" width="13.7109375" bestFit="1" customWidth="1"/>
    <col min="8219" max="8225" width="13.7109375" customWidth="1"/>
    <col min="8449" max="8449" width="10.28515625" bestFit="1" customWidth="1"/>
    <col min="8450" max="8450" width="8.140625" customWidth="1"/>
    <col min="8451" max="8451" width="8.5703125" bestFit="1" customWidth="1"/>
    <col min="8452" max="8452" width="6.140625" bestFit="1" customWidth="1"/>
    <col min="8453" max="8453" width="6.140625" customWidth="1"/>
    <col min="8454" max="8454" width="20.28515625" customWidth="1"/>
    <col min="8455" max="8455" width="11.5703125" bestFit="1" customWidth="1"/>
    <col min="8456" max="8456" width="11.5703125" customWidth="1"/>
    <col min="8457" max="8457" width="13.5703125" bestFit="1" customWidth="1"/>
    <col min="8458" max="8458" width="12.140625" bestFit="1" customWidth="1"/>
    <col min="8459" max="8459" width="12.85546875" bestFit="1" customWidth="1"/>
    <col min="8460" max="8460" width="12.28515625" bestFit="1" customWidth="1"/>
    <col min="8461" max="8462" width="12.28515625" customWidth="1"/>
    <col min="8463" max="8463" width="12.5703125" bestFit="1" customWidth="1"/>
    <col min="8464" max="8464" width="9.7109375" bestFit="1" customWidth="1"/>
    <col min="8465" max="8468" width="9.7109375" customWidth="1"/>
    <col min="8469" max="8469" width="10.5703125" customWidth="1"/>
    <col min="8470" max="8470" width="13.7109375" bestFit="1" customWidth="1"/>
    <col min="8471" max="8473" width="13.7109375" customWidth="1"/>
    <col min="8474" max="8474" width="13.7109375" bestFit="1" customWidth="1"/>
    <col min="8475" max="8481" width="13.7109375" customWidth="1"/>
    <col min="8705" max="8705" width="10.28515625" bestFit="1" customWidth="1"/>
    <col min="8706" max="8706" width="8.140625" customWidth="1"/>
    <col min="8707" max="8707" width="8.5703125" bestFit="1" customWidth="1"/>
    <col min="8708" max="8708" width="6.140625" bestFit="1" customWidth="1"/>
    <col min="8709" max="8709" width="6.140625" customWidth="1"/>
    <col min="8710" max="8710" width="20.28515625" customWidth="1"/>
    <col min="8711" max="8711" width="11.5703125" bestFit="1" customWidth="1"/>
    <col min="8712" max="8712" width="11.5703125" customWidth="1"/>
    <col min="8713" max="8713" width="13.5703125" bestFit="1" customWidth="1"/>
    <col min="8714" max="8714" width="12.140625" bestFit="1" customWidth="1"/>
    <col min="8715" max="8715" width="12.85546875" bestFit="1" customWidth="1"/>
    <col min="8716" max="8716" width="12.28515625" bestFit="1" customWidth="1"/>
    <col min="8717" max="8718" width="12.28515625" customWidth="1"/>
    <col min="8719" max="8719" width="12.5703125" bestFit="1" customWidth="1"/>
    <col min="8720" max="8720" width="9.7109375" bestFit="1" customWidth="1"/>
    <col min="8721" max="8724" width="9.7109375" customWidth="1"/>
    <col min="8725" max="8725" width="10.5703125" customWidth="1"/>
    <col min="8726" max="8726" width="13.7109375" bestFit="1" customWidth="1"/>
    <col min="8727" max="8729" width="13.7109375" customWidth="1"/>
    <col min="8730" max="8730" width="13.7109375" bestFit="1" customWidth="1"/>
    <col min="8731" max="8737" width="13.7109375" customWidth="1"/>
    <col min="8961" max="8961" width="10.28515625" bestFit="1" customWidth="1"/>
    <col min="8962" max="8962" width="8.140625" customWidth="1"/>
    <col min="8963" max="8963" width="8.5703125" bestFit="1" customWidth="1"/>
    <col min="8964" max="8964" width="6.140625" bestFit="1" customWidth="1"/>
    <col min="8965" max="8965" width="6.140625" customWidth="1"/>
    <col min="8966" max="8966" width="20.28515625" customWidth="1"/>
    <col min="8967" max="8967" width="11.5703125" bestFit="1" customWidth="1"/>
    <col min="8968" max="8968" width="11.5703125" customWidth="1"/>
    <col min="8969" max="8969" width="13.5703125" bestFit="1" customWidth="1"/>
    <col min="8970" max="8970" width="12.140625" bestFit="1" customWidth="1"/>
    <col min="8971" max="8971" width="12.85546875" bestFit="1" customWidth="1"/>
    <col min="8972" max="8972" width="12.28515625" bestFit="1" customWidth="1"/>
    <col min="8973" max="8974" width="12.28515625" customWidth="1"/>
    <col min="8975" max="8975" width="12.5703125" bestFit="1" customWidth="1"/>
    <col min="8976" max="8976" width="9.7109375" bestFit="1" customWidth="1"/>
    <col min="8977" max="8980" width="9.7109375" customWidth="1"/>
    <col min="8981" max="8981" width="10.5703125" customWidth="1"/>
    <col min="8982" max="8982" width="13.7109375" bestFit="1" customWidth="1"/>
    <col min="8983" max="8985" width="13.7109375" customWidth="1"/>
    <col min="8986" max="8986" width="13.7109375" bestFit="1" customWidth="1"/>
    <col min="8987" max="8993" width="13.7109375" customWidth="1"/>
    <col min="9217" max="9217" width="10.28515625" bestFit="1" customWidth="1"/>
    <col min="9218" max="9218" width="8.140625" customWidth="1"/>
    <col min="9219" max="9219" width="8.5703125" bestFit="1" customWidth="1"/>
    <col min="9220" max="9220" width="6.140625" bestFit="1" customWidth="1"/>
    <col min="9221" max="9221" width="6.140625" customWidth="1"/>
    <col min="9222" max="9222" width="20.28515625" customWidth="1"/>
    <col min="9223" max="9223" width="11.5703125" bestFit="1" customWidth="1"/>
    <col min="9224" max="9224" width="11.5703125" customWidth="1"/>
    <col min="9225" max="9225" width="13.5703125" bestFit="1" customWidth="1"/>
    <col min="9226" max="9226" width="12.140625" bestFit="1" customWidth="1"/>
    <col min="9227" max="9227" width="12.85546875" bestFit="1" customWidth="1"/>
    <col min="9228" max="9228" width="12.28515625" bestFit="1" customWidth="1"/>
    <col min="9229" max="9230" width="12.28515625" customWidth="1"/>
    <col min="9231" max="9231" width="12.5703125" bestFit="1" customWidth="1"/>
    <col min="9232" max="9232" width="9.7109375" bestFit="1" customWidth="1"/>
    <col min="9233" max="9236" width="9.7109375" customWidth="1"/>
    <col min="9237" max="9237" width="10.5703125" customWidth="1"/>
    <col min="9238" max="9238" width="13.7109375" bestFit="1" customWidth="1"/>
    <col min="9239" max="9241" width="13.7109375" customWidth="1"/>
    <col min="9242" max="9242" width="13.7109375" bestFit="1" customWidth="1"/>
    <col min="9243" max="9249" width="13.7109375" customWidth="1"/>
    <col min="9473" max="9473" width="10.28515625" bestFit="1" customWidth="1"/>
    <col min="9474" max="9474" width="8.140625" customWidth="1"/>
    <col min="9475" max="9475" width="8.5703125" bestFit="1" customWidth="1"/>
    <col min="9476" max="9476" width="6.140625" bestFit="1" customWidth="1"/>
    <col min="9477" max="9477" width="6.140625" customWidth="1"/>
    <col min="9478" max="9478" width="20.28515625" customWidth="1"/>
    <col min="9479" max="9479" width="11.5703125" bestFit="1" customWidth="1"/>
    <col min="9480" max="9480" width="11.5703125" customWidth="1"/>
    <col min="9481" max="9481" width="13.5703125" bestFit="1" customWidth="1"/>
    <col min="9482" max="9482" width="12.140625" bestFit="1" customWidth="1"/>
    <col min="9483" max="9483" width="12.85546875" bestFit="1" customWidth="1"/>
    <col min="9484" max="9484" width="12.28515625" bestFit="1" customWidth="1"/>
    <col min="9485" max="9486" width="12.28515625" customWidth="1"/>
    <col min="9487" max="9487" width="12.5703125" bestFit="1" customWidth="1"/>
    <col min="9488" max="9488" width="9.7109375" bestFit="1" customWidth="1"/>
    <col min="9489" max="9492" width="9.7109375" customWidth="1"/>
    <col min="9493" max="9493" width="10.5703125" customWidth="1"/>
    <col min="9494" max="9494" width="13.7109375" bestFit="1" customWidth="1"/>
    <col min="9495" max="9497" width="13.7109375" customWidth="1"/>
    <col min="9498" max="9498" width="13.7109375" bestFit="1" customWidth="1"/>
    <col min="9499" max="9505" width="13.7109375" customWidth="1"/>
    <col min="9729" max="9729" width="10.28515625" bestFit="1" customWidth="1"/>
    <col min="9730" max="9730" width="8.140625" customWidth="1"/>
    <col min="9731" max="9731" width="8.5703125" bestFit="1" customWidth="1"/>
    <col min="9732" max="9732" width="6.140625" bestFit="1" customWidth="1"/>
    <col min="9733" max="9733" width="6.140625" customWidth="1"/>
    <col min="9734" max="9734" width="20.28515625" customWidth="1"/>
    <col min="9735" max="9735" width="11.5703125" bestFit="1" customWidth="1"/>
    <col min="9736" max="9736" width="11.5703125" customWidth="1"/>
    <col min="9737" max="9737" width="13.5703125" bestFit="1" customWidth="1"/>
    <col min="9738" max="9738" width="12.140625" bestFit="1" customWidth="1"/>
    <col min="9739" max="9739" width="12.85546875" bestFit="1" customWidth="1"/>
    <col min="9740" max="9740" width="12.28515625" bestFit="1" customWidth="1"/>
    <col min="9741" max="9742" width="12.28515625" customWidth="1"/>
    <col min="9743" max="9743" width="12.5703125" bestFit="1" customWidth="1"/>
    <col min="9744" max="9744" width="9.7109375" bestFit="1" customWidth="1"/>
    <col min="9745" max="9748" width="9.7109375" customWidth="1"/>
    <col min="9749" max="9749" width="10.5703125" customWidth="1"/>
    <col min="9750" max="9750" width="13.7109375" bestFit="1" customWidth="1"/>
    <col min="9751" max="9753" width="13.7109375" customWidth="1"/>
    <col min="9754" max="9754" width="13.7109375" bestFit="1" customWidth="1"/>
    <col min="9755" max="9761" width="13.7109375" customWidth="1"/>
    <col min="9985" max="9985" width="10.28515625" bestFit="1" customWidth="1"/>
    <col min="9986" max="9986" width="8.140625" customWidth="1"/>
    <col min="9987" max="9987" width="8.5703125" bestFit="1" customWidth="1"/>
    <col min="9988" max="9988" width="6.140625" bestFit="1" customWidth="1"/>
    <col min="9989" max="9989" width="6.140625" customWidth="1"/>
    <col min="9990" max="9990" width="20.28515625" customWidth="1"/>
    <col min="9991" max="9991" width="11.5703125" bestFit="1" customWidth="1"/>
    <col min="9992" max="9992" width="11.5703125" customWidth="1"/>
    <col min="9993" max="9993" width="13.5703125" bestFit="1" customWidth="1"/>
    <col min="9994" max="9994" width="12.140625" bestFit="1" customWidth="1"/>
    <col min="9995" max="9995" width="12.85546875" bestFit="1" customWidth="1"/>
    <col min="9996" max="9996" width="12.28515625" bestFit="1" customWidth="1"/>
    <col min="9997" max="9998" width="12.28515625" customWidth="1"/>
    <col min="9999" max="9999" width="12.5703125" bestFit="1" customWidth="1"/>
    <col min="10000" max="10000" width="9.7109375" bestFit="1" customWidth="1"/>
    <col min="10001" max="10004" width="9.7109375" customWidth="1"/>
    <col min="10005" max="10005" width="10.5703125" customWidth="1"/>
    <col min="10006" max="10006" width="13.7109375" bestFit="1" customWidth="1"/>
    <col min="10007" max="10009" width="13.7109375" customWidth="1"/>
    <col min="10010" max="10010" width="13.7109375" bestFit="1" customWidth="1"/>
    <col min="10011" max="10017" width="13.7109375" customWidth="1"/>
    <col min="10241" max="10241" width="10.28515625" bestFit="1" customWidth="1"/>
    <col min="10242" max="10242" width="8.140625" customWidth="1"/>
    <col min="10243" max="10243" width="8.5703125" bestFit="1" customWidth="1"/>
    <col min="10244" max="10244" width="6.140625" bestFit="1" customWidth="1"/>
    <col min="10245" max="10245" width="6.140625" customWidth="1"/>
    <col min="10246" max="10246" width="20.28515625" customWidth="1"/>
    <col min="10247" max="10247" width="11.5703125" bestFit="1" customWidth="1"/>
    <col min="10248" max="10248" width="11.5703125" customWidth="1"/>
    <col min="10249" max="10249" width="13.5703125" bestFit="1" customWidth="1"/>
    <col min="10250" max="10250" width="12.140625" bestFit="1" customWidth="1"/>
    <col min="10251" max="10251" width="12.85546875" bestFit="1" customWidth="1"/>
    <col min="10252" max="10252" width="12.28515625" bestFit="1" customWidth="1"/>
    <col min="10253" max="10254" width="12.28515625" customWidth="1"/>
    <col min="10255" max="10255" width="12.5703125" bestFit="1" customWidth="1"/>
    <col min="10256" max="10256" width="9.7109375" bestFit="1" customWidth="1"/>
    <col min="10257" max="10260" width="9.7109375" customWidth="1"/>
    <col min="10261" max="10261" width="10.5703125" customWidth="1"/>
    <col min="10262" max="10262" width="13.7109375" bestFit="1" customWidth="1"/>
    <col min="10263" max="10265" width="13.7109375" customWidth="1"/>
    <col min="10266" max="10266" width="13.7109375" bestFit="1" customWidth="1"/>
    <col min="10267" max="10273" width="13.7109375" customWidth="1"/>
    <col min="10497" max="10497" width="10.28515625" bestFit="1" customWidth="1"/>
    <col min="10498" max="10498" width="8.140625" customWidth="1"/>
    <col min="10499" max="10499" width="8.5703125" bestFit="1" customWidth="1"/>
    <col min="10500" max="10500" width="6.140625" bestFit="1" customWidth="1"/>
    <col min="10501" max="10501" width="6.140625" customWidth="1"/>
    <col min="10502" max="10502" width="20.28515625" customWidth="1"/>
    <col min="10503" max="10503" width="11.5703125" bestFit="1" customWidth="1"/>
    <col min="10504" max="10504" width="11.5703125" customWidth="1"/>
    <col min="10505" max="10505" width="13.5703125" bestFit="1" customWidth="1"/>
    <col min="10506" max="10506" width="12.140625" bestFit="1" customWidth="1"/>
    <col min="10507" max="10507" width="12.85546875" bestFit="1" customWidth="1"/>
    <col min="10508" max="10508" width="12.28515625" bestFit="1" customWidth="1"/>
    <col min="10509" max="10510" width="12.28515625" customWidth="1"/>
    <col min="10511" max="10511" width="12.5703125" bestFit="1" customWidth="1"/>
    <col min="10512" max="10512" width="9.7109375" bestFit="1" customWidth="1"/>
    <col min="10513" max="10516" width="9.7109375" customWidth="1"/>
    <col min="10517" max="10517" width="10.5703125" customWidth="1"/>
    <col min="10518" max="10518" width="13.7109375" bestFit="1" customWidth="1"/>
    <col min="10519" max="10521" width="13.7109375" customWidth="1"/>
    <col min="10522" max="10522" width="13.7109375" bestFit="1" customWidth="1"/>
    <col min="10523" max="10529" width="13.7109375" customWidth="1"/>
    <col min="10753" max="10753" width="10.28515625" bestFit="1" customWidth="1"/>
    <col min="10754" max="10754" width="8.140625" customWidth="1"/>
    <col min="10755" max="10755" width="8.5703125" bestFit="1" customWidth="1"/>
    <col min="10756" max="10756" width="6.140625" bestFit="1" customWidth="1"/>
    <col min="10757" max="10757" width="6.140625" customWidth="1"/>
    <col min="10758" max="10758" width="20.28515625" customWidth="1"/>
    <col min="10759" max="10759" width="11.5703125" bestFit="1" customWidth="1"/>
    <col min="10760" max="10760" width="11.5703125" customWidth="1"/>
    <col min="10761" max="10761" width="13.5703125" bestFit="1" customWidth="1"/>
    <col min="10762" max="10762" width="12.140625" bestFit="1" customWidth="1"/>
    <col min="10763" max="10763" width="12.85546875" bestFit="1" customWidth="1"/>
    <col min="10764" max="10764" width="12.28515625" bestFit="1" customWidth="1"/>
    <col min="10765" max="10766" width="12.28515625" customWidth="1"/>
    <col min="10767" max="10767" width="12.5703125" bestFit="1" customWidth="1"/>
    <col min="10768" max="10768" width="9.7109375" bestFit="1" customWidth="1"/>
    <col min="10769" max="10772" width="9.7109375" customWidth="1"/>
    <col min="10773" max="10773" width="10.5703125" customWidth="1"/>
    <col min="10774" max="10774" width="13.7109375" bestFit="1" customWidth="1"/>
    <col min="10775" max="10777" width="13.7109375" customWidth="1"/>
    <col min="10778" max="10778" width="13.7109375" bestFit="1" customWidth="1"/>
    <col min="10779" max="10785" width="13.7109375" customWidth="1"/>
    <col min="11009" max="11009" width="10.28515625" bestFit="1" customWidth="1"/>
    <col min="11010" max="11010" width="8.140625" customWidth="1"/>
    <col min="11011" max="11011" width="8.5703125" bestFit="1" customWidth="1"/>
    <col min="11012" max="11012" width="6.140625" bestFit="1" customWidth="1"/>
    <col min="11013" max="11013" width="6.140625" customWidth="1"/>
    <col min="11014" max="11014" width="20.28515625" customWidth="1"/>
    <col min="11015" max="11015" width="11.5703125" bestFit="1" customWidth="1"/>
    <col min="11016" max="11016" width="11.5703125" customWidth="1"/>
    <col min="11017" max="11017" width="13.5703125" bestFit="1" customWidth="1"/>
    <col min="11018" max="11018" width="12.140625" bestFit="1" customWidth="1"/>
    <col min="11019" max="11019" width="12.85546875" bestFit="1" customWidth="1"/>
    <col min="11020" max="11020" width="12.28515625" bestFit="1" customWidth="1"/>
    <col min="11021" max="11022" width="12.28515625" customWidth="1"/>
    <col min="11023" max="11023" width="12.5703125" bestFit="1" customWidth="1"/>
    <col min="11024" max="11024" width="9.7109375" bestFit="1" customWidth="1"/>
    <col min="11025" max="11028" width="9.7109375" customWidth="1"/>
    <col min="11029" max="11029" width="10.5703125" customWidth="1"/>
    <col min="11030" max="11030" width="13.7109375" bestFit="1" customWidth="1"/>
    <col min="11031" max="11033" width="13.7109375" customWidth="1"/>
    <col min="11034" max="11034" width="13.7109375" bestFit="1" customWidth="1"/>
    <col min="11035" max="11041" width="13.7109375" customWidth="1"/>
    <col min="11265" max="11265" width="10.28515625" bestFit="1" customWidth="1"/>
    <col min="11266" max="11266" width="8.140625" customWidth="1"/>
    <col min="11267" max="11267" width="8.5703125" bestFit="1" customWidth="1"/>
    <col min="11268" max="11268" width="6.140625" bestFit="1" customWidth="1"/>
    <col min="11269" max="11269" width="6.140625" customWidth="1"/>
    <col min="11270" max="11270" width="20.28515625" customWidth="1"/>
    <col min="11271" max="11271" width="11.5703125" bestFit="1" customWidth="1"/>
    <col min="11272" max="11272" width="11.5703125" customWidth="1"/>
    <col min="11273" max="11273" width="13.5703125" bestFit="1" customWidth="1"/>
    <col min="11274" max="11274" width="12.140625" bestFit="1" customWidth="1"/>
    <col min="11275" max="11275" width="12.85546875" bestFit="1" customWidth="1"/>
    <col min="11276" max="11276" width="12.28515625" bestFit="1" customWidth="1"/>
    <col min="11277" max="11278" width="12.28515625" customWidth="1"/>
    <col min="11279" max="11279" width="12.5703125" bestFit="1" customWidth="1"/>
    <col min="11280" max="11280" width="9.7109375" bestFit="1" customWidth="1"/>
    <col min="11281" max="11284" width="9.7109375" customWidth="1"/>
    <col min="11285" max="11285" width="10.5703125" customWidth="1"/>
    <col min="11286" max="11286" width="13.7109375" bestFit="1" customWidth="1"/>
    <col min="11287" max="11289" width="13.7109375" customWidth="1"/>
    <col min="11290" max="11290" width="13.7109375" bestFit="1" customWidth="1"/>
    <col min="11291" max="11297" width="13.7109375" customWidth="1"/>
    <col min="11521" max="11521" width="10.28515625" bestFit="1" customWidth="1"/>
    <col min="11522" max="11522" width="8.140625" customWidth="1"/>
    <col min="11523" max="11523" width="8.5703125" bestFit="1" customWidth="1"/>
    <col min="11524" max="11524" width="6.140625" bestFit="1" customWidth="1"/>
    <col min="11525" max="11525" width="6.140625" customWidth="1"/>
    <col min="11526" max="11526" width="20.28515625" customWidth="1"/>
    <col min="11527" max="11527" width="11.5703125" bestFit="1" customWidth="1"/>
    <col min="11528" max="11528" width="11.5703125" customWidth="1"/>
    <col min="11529" max="11529" width="13.5703125" bestFit="1" customWidth="1"/>
    <col min="11530" max="11530" width="12.140625" bestFit="1" customWidth="1"/>
    <col min="11531" max="11531" width="12.85546875" bestFit="1" customWidth="1"/>
    <col min="11532" max="11532" width="12.28515625" bestFit="1" customWidth="1"/>
    <col min="11533" max="11534" width="12.28515625" customWidth="1"/>
    <col min="11535" max="11535" width="12.5703125" bestFit="1" customWidth="1"/>
    <col min="11536" max="11536" width="9.7109375" bestFit="1" customWidth="1"/>
    <col min="11537" max="11540" width="9.7109375" customWidth="1"/>
    <col min="11541" max="11541" width="10.5703125" customWidth="1"/>
    <col min="11542" max="11542" width="13.7109375" bestFit="1" customWidth="1"/>
    <col min="11543" max="11545" width="13.7109375" customWidth="1"/>
    <col min="11546" max="11546" width="13.7109375" bestFit="1" customWidth="1"/>
    <col min="11547" max="11553" width="13.7109375" customWidth="1"/>
    <col min="11777" max="11777" width="10.28515625" bestFit="1" customWidth="1"/>
    <col min="11778" max="11778" width="8.140625" customWidth="1"/>
    <col min="11779" max="11779" width="8.5703125" bestFit="1" customWidth="1"/>
    <col min="11780" max="11780" width="6.140625" bestFit="1" customWidth="1"/>
    <col min="11781" max="11781" width="6.140625" customWidth="1"/>
    <col min="11782" max="11782" width="20.28515625" customWidth="1"/>
    <col min="11783" max="11783" width="11.5703125" bestFit="1" customWidth="1"/>
    <col min="11784" max="11784" width="11.5703125" customWidth="1"/>
    <col min="11785" max="11785" width="13.5703125" bestFit="1" customWidth="1"/>
    <col min="11786" max="11786" width="12.140625" bestFit="1" customWidth="1"/>
    <col min="11787" max="11787" width="12.85546875" bestFit="1" customWidth="1"/>
    <col min="11788" max="11788" width="12.28515625" bestFit="1" customWidth="1"/>
    <col min="11789" max="11790" width="12.28515625" customWidth="1"/>
    <col min="11791" max="11791" width="12.5703125" bestFit="1" customWidth="1"/>
    <col min="11792" max="11792" width="9.7109375" bestFit="1" customWidth="1"/>
    <col min="11793" max="11796" width="9.7109375" customWidth="1"/>
    <col min="11797" max="11797" width="10.5703125" customWidth="1"/>
    <col min="11798" max="11798" width="13.7109375" bestFit="1" customWidth="1"/>
    <col min="11799" max="11801" width="13.7109375" customWidth="1"/>
    <col min="11802" max="11802" width="13.7109375" bestFit="1" customWidth="1"/>
    <col min="11803" max="11809" width="13.7109375" customWidth="1"/>
    <col min="12033" max="12033" width="10.28515625" bestFit="1" customWidth="1"/>
    <col min="12034" max="12034" width="8.140625" customWidth="1"/>
    <col min="12035" max="12035" width="8.5703125" bestFit="1" customWidth="1"/>
    <col min="12036" max="12036" width="6.140625" bestFit="1" customWidth="1"/>
    <col min="12037" max="12037" width="6.140625" customWidth="1"/>
    <col min="12038" max="12038" width="20.28515625" customWidth="1"/>
    <col min="12039" max="12039" width="11.5703125" bestFit="1" customWidth="1"/>
    <col min="12040" max="12040" width="11.5703125" customWidth="1"/>
    <col min="12041" max="12041" width="13.5703125" bestFit="1" customWidth="1"/>
    <col min="12042" max="12042" width="12.140625" bestFit="1" customWidth="1"/>
    <col min="12043" max="12043" width="12.85546875" bestFit="1" customWidth="1"/>
    <col min="12044" max="12044" width="12.28515625" bestFit="1" customWidth="1"/>
    <col min="12045" max="12046" width="12.28515625" customWidth="1"/>
    <col min="12047" max="12047" width="12.5703125" bestFit="1" customWidth="1"/>
    <col min="12048" max="12048" width="9.7109375" bestFit="1" customWidth="1"/>
    <col min="12049" max="12052" width="9.7109375" customWidth="1"/>
    <col min="12053" max="12053" width="10.5703125" customWidth="1"/>
    <col min="12054" max="12054" width="13.7109375" bestFit="1" customWidth="1"/>
    <col min="12055" max="12057" width="13.7109375" customWidth="1"/>
    <col min="12058" max="12058" width="13.7109375" bestFit="1" customWidth="1"/>
    <col min="12059" max="12065" width="13.7109375" customWidth="1"/>
    <col min="12289" max="12289" width="10.28515625" bestFit="1" customWidth="1"/>
    <col min="12290" max="12290" width="8.140625" customWidth="1"/>
    <col min="12291" max="12291" width="8.5703125" bestFit="1" customWidth="1"/>
    <col min="12292" max="12292" width="6.140625" bestFit="1" customWidth="1"/>
    <col min="12293" max="12293" width="6.140625" customWidth="1"/>
    <col min="12294" max="12294" width="20.28515625" customWidth="1"/>
    <col min="12295" max="12295" width="11.5703125" bestFit="1" customWidth="1"/>
    <col min="12296" max="12296" width="11.5703125" customWidth="1"/>
    <col min="12297" max="12297" width="13.5703125" bestFit="1" customWidth="1"/>
    <col min="12298" max="12298" width="12.140625" bestFit="1" customWidth="1"/>
    <col min="12299" max="12299" width="12.85546875" bestFit="1" customWidth="1"/>
    <col min="12300" max="12300" width="12.28515625" bestFit="1" customWidth="1"/>
    <col min="12301" max="12302" width="12.28515625" customWidth="1"/>
    <col min="12303" max="12303" width="12.5703125" bestFit="1" customWidth="1"/>
    <col min="12304" max="12304" width="9.7109375" bestFit="1" customWidth="1"/>
    <col min="12305" max="12308" width="9.7109375" customWidth="1"/>
    <col min="12309" max="12309" width="10.5703125" customWidth="1"/>
    <col min="12310" max="12310" width="13.7109375" bestFit="1" customWidth="1"/>
    <col min="12311" max="12313" width="13.7109375" customWidth="1"/>
    <col min="12314" max="12314" width="13.7109375" bestFit="1" customWidth="1"/>
    <col min="12315" max="12321" width="13.7109375" customWidth="1"/>
    <col min="12545" max="12545" width="10.28515625" bestFit="1" customWidth="1"/>
    <col min="12546" max="12546" width="8.140625" customWidth="1"/>
    <col min="12547" max="12547" width="8.5703125" bestFit="1" customWidth="1"/>
    <col min="12548" max="12548" width="6.140625" bestFit="1" customWidth="1"/>
    <col min="12549" max="12549" width="6.140625" customWidth="1"/>
    <col min="12550" max="12550" width="20.28515625" customWidth="1"/>
    <col min="12551" max="12551" width="11.5703125" bestFit="1" customWidth="1"/>
    <col min="12552" max="12552" width="11.5703125" customWidth="1"/>
    <col min="12553" max="12553" width="13.5703125" bestFit="1" customWidth="1"/>
    <col min="12554" max="12554" width="12.140625" bestFit="1" customWidth="1"/>
    <col min="12555" max="12555" width="12.85546875" bestFit="1" customWidth="1"/>
    <col min="12556" max="12556" width="12.28515625" bestFit="1" customWidth="1"/>
    <col min="12557" max="12558" width="12.28515625" customWidth="1"/>
    <col min="12559" max="12559" width="12.5703125" bestFit="1" customWidth="1"/>
    <col min="12560" max="12560" width="9.7109375" bestFit="1" customWidth="1"/>
    <col min="12561" max="12564" width="9.7109375" customWidth="1"/>
    <col min="12565" max="12565" width="10.5703125" customWidth="1"/>
    <col min="12566" max="12566" width="13.7109375" bestFit="1" customWidth="1"/>
    <col min="12567" max="12569" width="13.7109375" customWidth="1"/>
    <col min="12570" max="12570" width="13.7109375" bestFit="1" customWidth="1"/>
    <col min="12571" max="12577" width="13.7109375" customWidth="1"/>
    <col min="12801" max="12801" width="10.28515625" bestFit="1" customWidth="1"/>
    <col min="12802" max="12802" width="8.140625" customWidth="1"/>
    <col min="12803" max="12803" width="8.5703125" bestFit="1" customWidth="1"/>
    <col min="12804" max="12804" width="6.140625" bestFit="1" customWidth="1"/>
    <col min="12805" max="12805" width="6.140625" customWidth="1"/>
    <col min="12806" max="12806" width="20.28515625" customWidth="1"/>
    <col min="12807" max="12807" width="11.5703125" bestFit="1" customWidth="1"/>
    <col min="12808" max="12808" width="11.5703125" customWidth="1"/>
    <col min="12809" max="12809" width="13.5703125" bestFit="1" customWidth="1"/>
    <col min="12810" max="12810" width="12.140625" bestFit="1" customWidth="1"/>
    <col min="12811" max="12811" width="12.85546875" bestFit="1" customWidth="1"/>
    <col min="12812" max="12812" width="12.28515625" bestFit="1" customWidth="1"/>
    <col min="12813" max="12814" width="12.28515625" customWidth="1"/>
    <col min="12815" max="12815" width="12.5703125" bestFit="1" customWidth="1"/>
    <col min="12816" max="12816" width="9.7109375" bestFit="1" customWidth="1"/>
    <col min="12817" max="12820" width="9.7109375" customWidth="1"/>
    <col min="12821" max="12821" width="10.5703125" customWidth="1"/>
    <col min="12822" max="12822" width="13.7109375" bestFit="1" customWidth="1"/>
    <col min="12823" max="12825" width="13.7109375" customWidth="1"/>
    <col min="12826" max="12826" width="13.7109375" bestFit="1" customWidth="1"/>
    <col min="12827" max="12833" width="13.7109375" customWidth="1"/>
    <col min="13057" max="13057" width="10.28515625" bestFit="1" customWidth="1"/>
    <col min="13058" max="13058" width="8.140625" customWidth="1"/>
    <col min="13059" max="13059" width="8.5703125" bestFit="1" customWidth="1"/>
    <col min="13060" max="13060" width="6.140625" bestFit="1" customWidth="1"/>
    <col min="13061" max="13061" width="6.140625" customWidth="1"/>
    <col min="13062" max="13062" width="20.28515625" customWidth="1"/>
    <col min="13063" max="13063" width="11.5703125" bestFit="1" customWidth="1"/>
    <col min="13064" max="13064" width="11.5703125" customWidth="1"/>
    <col min="13065" max="13065" width="13.5703125" bestFit="1" customWidth="1"/>
    <col min="13066" max="13066" width="12.140625" bestFit="1" customWidth="1"/>
    <col min="13067" max="13067" width="12.85546875" bestFit="1" customWidth="1"/>
    <col min="13068" max="13068" width="12.28515625" bestFit="1" customWidth="1"/>
    <col min="13069" max="13070" width="12.28515625" customWidth="1"/>
    <col min="13071" max="13071" width="12.5703125" bestFit="1" customWidth="1"/>
    <col min="13072" max="13072" width="9.7109375" bestFit="1" customWidth="1"/>
    <col min="13073" max="13076" width="9.7109375" customWidth="1"/>
    <col min="13077" max="13077" width="10.5703125" customWidth="1"/>
    <col min="13078" max="13078" width="13.7109375" bestFit="1" customWidth="1"/>
    <col min="13079" max="13081" width="13.7109375" customWidth="1"/>
    <col min="13082" max="13082" width="13.7109375" bestFit="1" customWidth="1"/>
    <col min="13083" max="13089" width="13.7109375" customWidth="1"/>
    <col min="13313" max="13313" width="10.28515625" bestFit="1" customWidth="1"/>
    <col min="13314" max="13314" width="8.140625" customWidth="1"/>
    <col min="13315" max="13315" width="8.5703125" bestFit="1" customWidth="1"/>
    <col min="13316" max="13316" width="6.140625" bestFit="1" customWidth="1"/>
    <col min="13317" max="13317" width="6.140625" customWidth="1"/>
    <col min="13318" max="13318" width="20.28515625" customWidth="1"/>
    <col min="13319" max="13319" width="11.5703125" bestFit="1" customWidth="1"/>
    <col min="13320" max="13320" width="11.5703125" customWidth="1"/>
    <col min="13321" max="13321" width="13.5703125" bestFit="1" customWidth="1"/>
    <col min="13322" max="13322" width="12.140625" bestFit="1" customWidth="1"/>
    <col min="13323" max="13323" width="12.85546875" bestFit="1" customWidth="1"/>
    <col min="13324" max="13324" width="12.28515625" bestFit="1" customWidth="1"/>
    <col min="13325" max="13326" width="12.28515625" customWidth="1"/>
    <col min="13327" max="13327" width="12.5703125" bestFit="1" customWidth="1"/>
    <col min="13328" max="13328" width="9.7109375" bestFit="1" customWidth="1"/>
    <col min="13329" max="13332" width="9.7109375" customWidth="1"/>
    <col min="13333" max="13333" width="10.5703125" customWidth="1"/>
    <col min="13334" max="13334" width="13.7109375" bestFit="1" customWidth="1"/>
    <col min="13335" max="13337" width="13.7109375" customWidth="1"/>
    <col min="13338" max="13338" width="13.7109375" bestFit="1" customWidth="1"/>
    <col min="13339" max="13345" width="13.7109375" customWidth="1"/>
    <col min="13569" max="13569" width="10.28515625" bestFit="1" customWidth="1"/>
    <col min="13570" max="13570" width="8.140625" customWidth="1"/>
    <col min="13571" max="13571" width="8.5703125" bestFit="1" customWidth="1"/>
    <col min="13572" max="13572" width="6.140625" bestFit="1" customWidth="1"/>
    <col min="13573" max="13573" width="6.140625" customWidth="1"/>
    <col min="13574" max="13574" width="20.28515625" customWidth="1"/>
    <col min="13575" max="13575" width="11.5703125" bestFit="1" customWidth="1"/>
    <col min="13576" max="13576" width="11.5703125" customWidth="1"/>
    <col min="13577" max="13577" width="13.5703125" bestFit="1" customWidth="1"/>
    <col min="13578" max="13578" width="12.140625" bestFit="1" customWidth="1"/>
    <col min="13579" max="13579" width="12.85546875" bestFit="1" customWidth="1"/>
    <col min="13580" max="13580" width="12.28515625" bestFit="1" customWidth="1"/>
    <col min="13581" max="13582" width="12.28515625" customWidth="1"/>
    <col min="13583" max="13583" width="12.5703125" bestFit="1" customWidth="1"/>
    <col min="13584" max="13584" width="9.7109375" bestFit="1" customWidth="1"/>
    <col min="13585" max="13588" width="9.7109375" customWidth="1"/>
    <col min="13589" max="13589" width="10.5703125" customWidth="1"/>
    <col min="13590" max="13590" width="13.7109375" bestFit="1" customWidth="1"/>
    <col min="13591" max="13593" width="13.7109375" customWidth="1"/>
    <col min="13594" max="13594" width="13.7109375" bestFit="1" customWidth="1"/>
    <col min="13595" max="13601" width="13.7109375" customWidth="1"/>
    <col min="13825" max="13825" width="10.28515625" bestFit="1" customWidth="1"/>
    <col min="13826" max="13826" width="8.140625" customWidth="1"/>
    <col min="13827" max="13827" width="8.5703125" bestFit="1" customWidth="1"/>
    <col min="13828" max="13828" width="6.140625" bestFit="1" customWidth="1"/>
    <col min="13829" max="13829" width="6.140625" customWidth="1"/>
    <col min="13830" max="13830" width="20.28515625" customWidth="1"/>
    <col min="13831" max="13831" width="11.5703125" bestFit="1" customWidth="1"/>
    <col min="13832" max="13832" width="11.5703125" customWidth="1"/>
    <col min="13833" max="13833" width="13.5703125" bestFit="1" customWidth="1"/>
    <col min="13834" max="13834" width="12.140625" bestFit="1" customWidth="1"/>
    <col min="13835" max="13835" width="12.85546875" bestFit="1" customWidth="1"/>
    <col min="13836" max="13836" width="12.28515625" bestFit="1" customWidth="1"/>
    <col min="13837" max="13838" width="12.28515625" customWidth="1"/>
    <col min="13839" max="13839" width="12.5703125" bestFit="1" customWidth="1"/>
    <col min="13840" max="13840" width="9.7109375" bestFit="1" customWidth="1"/>
    <col min="13841" max="13844" width="9.7109375" customWidth="1"/>
    <col min="13845" max="13845" width="10.5703125" customWidth="1"/>
    <col min="13846" max="13846" width="13.7109375" bestFit="1" customWidth="1"/>
    <col min="13847" max="13849" width="13.7109375" customWidth="1"/>
    <col min="13850" max="13850" width="13.7109375" bestFit="1" customWidth="1"/>
    <col min="13851" max="13857" width="13.7109375" customWidth="1"/>
    <col min="14081" max="14081" width="10.28515625" bestFit="1" customWidth="1"/>
    <col min="14082" max="14082" width="8.140625" customWidth="1"/>
    <col min="14083" max="14083" width="8.5703125" bestFit="1" customWidth="1"/>
    <col min="14084" max="14084" width="6.140625" bestFit="1" customWidth="1"/>
    <col min="14085" max="14085" width="6.140625" customWidth="1"/>
    <col min="14086" max="14086" width="20.28515625" customWidth="1"/>
    <col min="14087" max="14087" width="11.5703125" bestFit="1" customWidth="1"/>
    <col min="14088" max="14088" width="11.5703125" customWidth="1"/>
    <col min="14089" max="14089" width="13.5703125" bestFit="1" customWidth="1"/>
    <col min="14090" max="14090" width="12.140625" bestFit="1" customWidth="1"/>
    <col min="14091" max="14091" width="12.85546875" bestFit="1" customWidth="1"/>
    <col min="14092" max="14092" width="12.28515625" bestFit="1" customWidth="1"/>
    <col min="14093" max="14094" width="12.28515625" customWidth="1"/>
    <col min="14095" max="14095" width="12.5703125" bestFit="1" customWidth="1"/>
    <col min="14096" max="14096" width="9.7109375" bestFit="1" customWidth="1"/>
    <col min="14097" max="14100" width="9.7109375" customWidth="1"/>
    <col min="14101" max="14101" width="10.5703125" customWidth="1"/>
    <col min="14102" max="14102" width="13.7109375" bestFit="1" customWidth="1"/>
    <col min="14103" max="14105" width="13.7109375" customWidth="1"/>
    <col min="14106" max="14106" width="13.7109375" bestFit="1" customWidth="1"/>
    <col min="14107" max="14113" width="13.7109375" customWidth="1"/>
    <col min="14337" max="14337" width="10.28515625" bestFit="1" customWidth="1"/>
    <col min="14338" max="14338" width="8.140625" customWidth="1"/>
    <col min="14339" max="14339" width="8.5703125" bestFit="1" customWidth="1"/>
    <col min="14340" max="14340" width="6.140625" bestFit="1" customWidth="1"/>
    <col min="14341" max="14341" width="6.140625" customWidth="1"/>
    <col min="14342" max="14342" width="20.28515625" customWidth="1"/>
    <col min="14343" max="14343" width="11.5703125" bestFit="1" customWidth="1"/>
    <col min="14344" max="14344" width="11.5703125" customWidth="1"/>
    <col min="14345" max="14345" width="13.5703125" bestFit="1" customWidth="1"/>
    <col min="14346" max="14346" width="12.140625" bestFit="1" customWidth="1"/>
    <col min="14347" max="14347" width="12.85546875" bestFit="1" customWidth="1"/>
    <col min="14348" max="14348" width="12.28515625" bestFit="1" customWidth="1"/>
    <col min="14349" max="14350" width="12.28515625" customWidth="1"/>
    <col min="14351" max="14351" width="12.5703125" bestFit="1" customWidth="1"/>
    <col min="14352" max="14352" width="9.7109375" bestFit="1" customWidth="1"/>
    <col min="14353" max="14356" width="9.7109375" customWidth="1"/>
    <col min="14357" max="14357" width="10.5703125" customWidth="1"/>
    <col min="14358" max="14358" width="13.7109375" bestFit="1" customWidth="1"/>
    <col min="14359" max="14361" width="13.7109375" customWidth="1"/>
    <col min="14362" max="14362" width="13.7109375" bestFit="1" customWidth="1"/>
    <col min="14363" max="14369" width="13.7109375" customWidth="1"/>
    <col min="14593" max="14593" width="10.28515625" bestFit="1" customWidth="1"/>
    <col min="14594" max="14594" width="8.140625" customWidth="1"/>
    <col min="14595" max="14595" width="8.5703125" bestFit="1" customWidth="1"/>
    <col min="14596" max="14596" width="6.140625" bestFit="1" customWidth="1"/>
    <col min="14597" max="14597" width="6.140625" customWidth="1"/>
    <col min="14598" max="14598" width="20.28515625" customWidth="1"/>
    <col min="14599" max="14599" width="11.5703125" bestFit="1" customWidth="1"/>
    <col min="14600" max="14600" width="11.5703125" customWidth="1"/>
    <col min="14601" max="14601" width="13.5703125" bestFit="1" customWidth="1"/>
    <col min="14602" max="14602" width="12.140625" bestFit="1" customWidth="1"/>
    <col min="14603" max="14603" width="12.85546875" bestFit="1" customWidth="1"/>
    <col min="14604" max="14604" width="12.28515625" bestFit="1" customWidth="1"/>
    <col min="14605" max="14606" width="12.28515625" customWidth="1"/>
    <col min="14607" max="14607" width="12.5703125" bestFit="1" customWidth="1"/>
    <col min="14608" max="14608" width="9.7109375" bestFit="1" customWidth="1"/>
    <col min="14609" max="14612" width="9.7109375" customWidth="1"/>
    <col min="14613" max="14613" width="10.5703125" customWidth="1"/>
    <col min="14614" max="14614" width="13.7109375" bestFit="1" customWidth="1"/>
    <col min="14615" max="14617" width="13.7109375" customWidth="1"/>
    <col min="14618" max="14618" width="13.7109375" bestFit="1" customWidth="1"/>
    <col min="14619" max="14625" width="13.7109375" customWidth="1"/>
    <col min="14849" max="14849" width="10.28515625" bestFit="1" customWidth="1"/>
    <col min="14850" max="14850" width="8.140625" customWidth="1"/>
    <col min="14851" max="14851" width="8.5703125" bestFit="1" customWidth="1"/>
    <col min="14852" max="14852" width="6.140625" bestFit="1" customWidth="1"/>
    <col min="14853" max="14853" width="6.140625" customWidth="1"/>
    <col min="14854" max="14854" width="20.28515625" customWidth="1"/>
    <col min="14855" max="14855" width="11.5703125" bestFit="1" customWidth="1"/>
    <col min="14856" max="14856" width="11.5703125" customWidth="1"/>
    <col min="14857" max="14857" width="13.5703125" bestFit="1" customWidth="1"/>
    <col min="14858" max="14858" width="12.140625" bestFit="1" customWidth="1"/>
    <col min="14859" max="14859" width="12.85546875" bestFit="1" customWidth="1"/>
    <col min="14860" max="14860" width="12.28515625" bestFit="1" customWidth="1"/>
    <col min="14861" max="14862" width="12.28515625" customWidth="1"/>
    <col min="14863" max="14863" width="12.5703125" bestFit="1" customWidth="1"/>
    <col min="14864" max="14864" width="9.7109375" bestFit="1" customWidth="1"/>
    <col min="14865" max="14868" width="9.7109375" customWidth="1"/>
    <col min="14869" max="14869" width="10.5703125" customWidth="1"/>
    <col min="14870" max="14870" width="13.7109375" bestFit="1" customWidth="1"/>
    <col min="14871" max="14873" width="13.7109375" customWidth="1"/>
    <col min="14874" max="14874" width="13.7109375" bestFit="1" customWidth="1"/>
    <col min="14875" max="14881" width="13.7109375" customWidth="1"/>
    <col min="15105" max="15105" width="10.28515625" bestFit="1" customWidth="1"/>
    <col min="15106" max="15106" width="8.140625" customWidth="1"/>
    <col min="15107" max="15107" width="8.5703125" bestFit="1" customWidth="1"/>
    <col min="15108" max="15108" width="6.140625" bestFit="1" customWidth="1"/>
    <col min="15109" max="15109" width="6.140625" customWidth="1"/>
    <col min="15110" max="15110" width="20.28515625" customWidth="1"/>
    <col min="15111" max="15111" width="11.5703125" bestFit="1" customWidth="1"/>
    <col min="15112" max="15112" width="11.5703125" customWidth="1"/>
    <col min="15113" max="15113" width="13.5703125" bestFit="1" customWidth="1"/>
    <col min="15114" max="15114" width="12.140625" bestFit="1" customWidth="1"/>
    <col min="15115" max="15115" width="12.85546875" bestFit="1" customWidth="1"/>
    <col min="15116" max="15116" width="12.28515625" bestFit="1" customWidth="1"/>
    <col min="15117" max="15118" width="12.28515625" customWidth="1"/>
    <col min="15119" max="15119" width="12.5703125" bestFit="1" customWidth="1"/>
    <col min="15120" max="15120" width="9.7109375" bestFit="1" customWidth="1"/>
    <col min="15121" max="15124" width="9.7109375" customWidth="1"/>
    <col min="15125" max="15125" width="10.5703125" customWidth="1"/>
    <col min="15126" max="15126" width="13.7109375" bestFit="1" customWidth="1"/>
    <col min="15127" max="15129" width="13.7109375" customWidth="1"/>
    <col min="15130" max="15130" width="13.7109375" bestFit="1" customWidth="1"/>
    <col min="15131" max="15137" width="13.7109375" customWidth="1"/>
    <col min="15361" max="15361" width="10.28515625" bestFit="1" customWidth="1"/>
    <col min="15362" max="15362" width="8.140625" customWidth="1"/>
    <col min="15363" max="15363" width="8.5703125" bestFit="1" customWidth="1"/>
    <col min="15364" max="15364" width="6.140625" bestFit="1" customWidth="1"/>
    <col min="15365" max="15365" width="6.140625" customWidth="1"/>
    <col min="15366" max="15366" width="20.28515625" customWidth="1"/>
    <col min="15367" max="15367" width="11.5703125" bestFit="1" customWidth="1"/>
    <col min="15368" max="15368" width="11.5703125" customWidth="1"/>
    <col min="15369" max="15369" width="13.5703125" bestFit="1" customWidth="1"/>
    <col min="15370" max="15370" width="12.140625" bestFit="1" customWidth="1"/>
    <col min="15371" max="15371" width="12.85546875" bestFit="1" customWidth="1"/>
    <col min="15372" max="15372" width="12.28515625" bestFit="1" customWidth="1"/>
    <col min="15373" max="15374" width="12.28515625" customWidth="1"/>
    <col min="15375" max="15375" width="12.5703125" bestFit="1" customWidth="1"/>
    <col min="15376" max="15376" width="9.7109375" bestFit="1" customWidth="1"/>
    <col min="15377" max="15380" width="9.7109375" customWidth="1"/>
    <col min="15381" max="15381" width="10.5703125" customWidth="1"/>
    <col min="15382" max="15382" width="13.7109375" bestFit="1" customWidth="1"/>
    <col min="15383" max="15385" width="13.7109375" customWidth="1"/>
    <col min="15386" max="15386" width="13.7109375" bestFit="1" customWidth="1"/>
    <col min="15387" max="15393" width="13.7109375" customWidth="1"/>
    <col min="15617" max="15617" width="10.28515625" bestFit="1" customWidth="1"/>
    <col min="15618" max="15618" width="8.140625" customWidth="1"/>
    <col min="15619" max="15619" width="8.5703125" bestFit="1" customWidth="1"/>
    <col min="15620" max="15620" width="6.140625" bestFit="1" customWidth="1"/>
    <col min="15621" max="15621" width="6.140625" customWidth="1"/>
    <col min="15622" max="15622" width="20.28515625" customWidth="1"/>
    <col min="15623" max="15623" width="11.5703125" bestFit="1" customWidth="1"/>
    <col min="15624" max="15624" width="11.5703125" customWidth="1"/>
    <col min="15625" max="15625" width="13.5703125" bestFit="1" customWidth="1"/>
    <col min="15626" max="15626" width="12.140625" bestFit="1" customWidth="1"/>
    <col min="15627" max="15627" width="12.85546875" bestFit="1" customWidth="1"/>
    <col min="15628" max="15628" width="12.28515625" bestFit="1" customWidth="1"/>
    <col min="15629" max="15630" width="12.28515625" customWidth="1"/>
    <col min="15631" max="15631" width="12.5703125" bestFit="1" customWidth="1"/>
    <col min="15632" max="15632" width="9.7109375" bestFit="1" customWidth="1"/>
    <col min="15633" max="15636" width="9.7109375" customWidth="1"/>
    <col min="15637" max="15637" width="10.5703125" customWidth="1"/>
    <col min="15638" max="15638" width="13.7109375" bestFit="1" customWidth="1"/>
    <col min="15639" max="15641" width="13.7109375" customWidth="1"/>
    <col min="15642" max="15642" width="13.7109375" bestFit="1" customWidth="1"/>
    <col min="15643" max="15649" width="13.7109375" customWidth="1"/>
    <col min="15873" max="15873" width="10.28515625" bestFit="1" customWidth="1"/>
    <col min="15874" max="15874" width="8.140625" customWidth="1"/>
    <col min="15875" max="15875" width="8.5703125" bestFit="1" customWidth="1"/>
    <col min="15876" max="15876" width="6.140625" bestFit="1" customWidth="1"/>
    <col min="15877" max="15877" width="6.140625" customWidth="1"/>
    <col min="15878" max="15878" width="20.28515625" customWidth="1"/>
    <col min="15879" max="15879" width="11.5703125" bestFit="1" customWidth="1"/>
    <col min="15880" max="15880" width="11.5703125" customWidth="1"/>
    <col min="15881" max="15881" width="13.5703125" bestFit="1" customWidth="1"/>
    <col min="15882" max="15882" width="12.140625" bestFit="1" customWidth="1"/>
    <col min="15883" max="15883" width="12.85546875" bestFit="1" customWidth="1"/>
    <col min="15884" max="15884" width="12.28515625" bestFit="1" customWidth="1"/>
    <col min="15885" max="15886" width="12.28515625" customWidth="1"/>
    <col min="15887" max="15887" width="12.5703125" bestFit="1" customWidth="1"/>
    <col min="15888" max="15888" width="9.7109375" bestFit="1" customWidth="1"/>
    <col min="15889" max="15892" width="9.7109375" customWidth="1"/>
    <col min="15893" max="15893" width="10.5703125" customWidth="1"/>
    <col min="15894" max="15894" width="13.7109375" bestFit="1" customWidth="1"/>
    <col min="15895" max="15897" width="13.7109375" customWidth="1"/>
    <col min="15898" max="15898" width="13.7109375" bestFit="1" customWidth="1"/>
    <col min="15899" max="15905" width="13.7109375" customWidth="1"/>
    <col min="16129" max="16129" width="10.28515625" bestFit="1" customWidth="1"/>
    <col min="16130" max="16130" width="8.140625" customWidth="1"/>
    <col min="16131" max="16131" width="8.5703125" bestFit="1" customWidth="1"/>
    <col min="16132" max="16132" width="6.140625" bestFit="1" customWidth="1"/>
    <col min="16133" max="16133" width="6.140625" customWidth="1"/>
    <col min="16134" max="16134" width="20.28515625" customWidth="1"/>
    <col min="16135" max="16135" width="11.5703125" bestFit="1" customWidth="1"/>
    <col min="16136" max="16136" width="11.5703125" customWidth="1"/>
    <col min="16137" max="16137" width="13.5703125" bestFit="1" customWidth="1"/>
    <col min="16138" max="16138" width="12.140625" bestFit="1" customWidth="1"/>
    <col min="16139" max="16139" width="12.85546875" bestFit="1" customWidth="1"/>
    <col min="16140" max="16140" width="12.28515625" bestFit="1" customWidth="1"/>
    <col min="16141" max="16142" width="12.28515625" customWidth="1"/>
    <col min="16143" max="16143" width="12.5703125" bestFit="1" customWidth="1"/>
    <col min="16144" max="16144" width="9.7109375" bestFit="1" customWidth="1"/>
    <col min="16145" max="16148" width="9.7109375" customWidth="1"/>
    <col min="16149" max="16149" width="10.5703125" customWidth="1"/>
    <col min="16150" max="16150" width="13.7109375" bestFit="1" customWidth="1"/>
    <col min="16151" max="16153" width="13.7109375" customWidth="1"/>
    <col min="16154" max="16154" width="13.7109375" bestFit="1" customWidth="1"/>
    <col min="16155" max="16161" width="13.7109375" customWidth="1"/>
  </cols>
  <sheetData>
    <row r="1" spans="1:81" s="335" customFormat="1" ht="64.5"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3.9"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3.9"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3.9"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3.9"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3.9"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3.9"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3.9"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3.9"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3.9"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3.9"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3.9"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3.9"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3.9"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3.9"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3.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3.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3.9"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3.9"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3.9"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3.9"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3.9"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3.9"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3.9"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3.9"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3.9"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3.9"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3.9"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3.9"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3.9"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1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1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1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1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1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1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1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1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1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1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1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1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1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1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5.75"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1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1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1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1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1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1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1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1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1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1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1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1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1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1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5.75"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1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1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1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1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1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1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1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1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1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1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1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1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1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1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5.75"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1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1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1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1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1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1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1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1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1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1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1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1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1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1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5.75"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1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1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15" customHeight="1" thickBot="1">
      <c r="A124" s="447" t="s">
        <v>694</v>
      </c>
      <c r="B124" s="411" t="s">
        <v>690</v>
      </c>
      <c r="C124" s="448">
        <v>1.8993055555547471</v>
      </c>
      <c r="D124">
        <v>45.583333333313931</v>
      </c>
      <c r="E124" s="337">
        <f t="shared" si="37"/>
        <v>0.80010001192092883</v>
      </c>
      <c r="F124" s="338">
        <v>800100.01192092884</v>
      </c>
      <c r="G124" s="449">
        <v>98.621597290039063</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1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1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1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1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1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1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1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1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1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1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1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5.75"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1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15" customHeight="1" thickBot="1">
      <c r="A138" s="411" t="s">
        <v>695</v>
      </c>
      <c r="B138" s="411" t="s">
        <v>690</v>
      </c>
      <c r="C138" s="448">
        <v>1.0277777777737356</v>
      </c>
      <c r="D138">
        <v>24.666666666569654</v>
      </c>
      <c r="E138" s="337">
        <f t="shared" si="69"/>
        <v>0.50789998302459705</v>
      </c>
      <c r="F138" s="338">
        <v>507899.98302459705</v>
      </c>
      <c r="G138" s="449">
        <v>98.617996215820313</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1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1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1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1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1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1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1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1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1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1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1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1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5.75"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1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1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1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1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1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1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1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1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1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1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1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1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1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1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5.75"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1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1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15" customHeight="1" thickBot="1">
      <c r="A169" s="434" t="s">
        <v>697</v>
      </c>
      <c r="B169" s="411" t="s">
        <v>690</v>
      </c>
      <c r="C169" s="412">
        <v>2.2256944444452529</v>
      </c>
      <c r="D169" s="413">
        <v>53.416666666686069</v>
      </c>
      <c r="E169" s="337">
        <f t="shared" si="69"/>
        <v>0.90790001878738402</v>
      </c>
      <c r="F169" s="338">
        <v>907900.01878738403</v>
      </c>
      <c r="G169" s="414">
        <v>98.947402954101563</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1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1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1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1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1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1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1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1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1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1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1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5.75"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1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1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1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1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1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1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1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1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1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1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1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1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15" customHeight="1" thickBot="1">
      <c r="A194" s="434" t="s">
        <v>698</v>
      </c>
      <c r="B194" s="411" t="s">
        <v>690</v>
      </c>
      <c r="C194" s="412">
        <v>11.923611111109494</v>
      </c>
      <c r="D194" s="413">
        <v>286.16666666662786</v>
      </c>
      <c r="E194" s="337">
        <f t="shared" si="69"/>
        <v>16.42500005493164</v>
      </c>
      <c r="F194" s="338">
        <v>16425000.054931641</v>
      </c>
      <c r="G194" s="414">
        <v>94.640701293945313</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1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5.75"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1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1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15" customHeight="1" thickBot="1">
      <c r="A199" s="434" t="s">
        <v>699</v>
      </c>
      <c r="B199" s="411" t="s">
        <v>690</v>
      </c>
      <c r="C199" s="412">
        <v>2.2701388888890506</v>
      </c>
      <c r="D199" s="413">
        <v>54.483333333337214</v>
      </c>
      <c r="E199" s="337">
        <f t="shared" si="100"/>
        <v>0.90680001506805419</v>
      </c>
      <c r="F199" s="338">
        <v>906800.0150680542</v>
      </c>
      <c r="G199" s="414">
        <v>99.111099243164063</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1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1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1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1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1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1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1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1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1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1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1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5.75"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1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1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1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1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1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1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15" customHeight="1" thickBot="1">
      <c r="A218" s="434" t="s">
        <v>700</v>
      </c>
      <c r="B218" s="411" t="s">
        <v>690</v>
      </c>
      <c r="C218" s="412">
        <v>5.9645833333343035</v>
      </c>
      <c r="D218" s="413">
        <v>143.15000000002328</v>
      </c>
      <c r="E218" s="337">
        <f t="shared" si="100"/>
        <v>7.6900752616882322</v>
      </c>
      <c r="F218" s="338">
        <v>7690075.2616882324</v>
      </c>
      <c r="G218" s="414">
        <v>98.856582641601563</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1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1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1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1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1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15" customHeight="1" thickBot="1">
      <c r="A224" s="434" t="s">
        <v>700</v>
      </c>
      <c r="B224" s="411" t="s">
        <v>690</v>
      </c>
      <c r="C224" s="412">
        <v>11.988888888889051</v>
      </c>
      <c r="D224" s="413">
        <v>287.73333333333721</v>
      </c>
      <c r="E224" s="337">
        <f t="shared" si="100"/>
        <v>19.840500695800781</v>
      </c>
      <c r="F224" s="338">
        <v>19840500.695800781</v>
      </c>
      <c r="G224" s="414">
        <v>94.639602661132813</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1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5.75"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5.75"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5.75"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5.75"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5.75"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5.75"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5.75"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5.75"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5.75"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5.75"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5.75"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5.75" thickBot="1">
      <c r="A237" s="470" t="s">
        <v>584</v>
      </c>
      <c r="B237" s="471" t="s">
        <v>701</v>
      </c>
      <c r="C237" s="472">
        <v>9.9277777777824667</v>
      </c>
      <c r="D237">
        <v>238.2666666667792</v>
      </c>
      <c r="E237" s="337">
        <f t="shared" si="100"/>
        <v>15.10840020904541</v>
      </c>
      <c r="F237" s="473">
        <v>15108400.20904541</v>
      </c>
      <c r="G237" s="449">
        <v>98.040603637695313</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5.75"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5.75"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5.75"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5.75"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5.75"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5.75"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5.75"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5.75"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5.75"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5.75"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5.75" thickBot="1">
      <c r="A248" s="470" t="s">
        <v>585</v>
      </c>
      <c r="B248" s="471" t="s">
        <v>701</v>
      </c>
      <c r="C248" s="472">
        <v>5.8784722222189885</v>
      </c>
      <c r="D248">
        <v>141.08333333325572</v>
      </c>
      <c r="E248" s="337">
        <f t="shared" si="100"/>
        <v>6.4754999710083014</v>
      </c>
      <c r="F248" s="473">
        <v>6475499.9710083017</v>
      </c>
      <c r="G248" s="449">
        <v>99.270401000976563</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5.75"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5.75"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5.75"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5.75"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5.75"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5.75"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5.75"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5.75"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5.75"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5.75"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5.75"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5.75"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5.75"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5.75"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5.75"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5.75"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5.75"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5.75"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5.75"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5.75"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5.75"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5.75" thickBot="1">
      <c r="A270" s="470" t="s">
        <v>586</v>
      </c>
      <c r="B270" s="471" t="s">
        <v>701</v>
      </c>
      <c r="C270" s="472">
        <v>12.857638888890506</v>
      </c>
      <c r="D270">
        <v>308.58333333337214</v>
      </c>
      <c r="E270" s="337">
        <f t="shared" si="133"/>
        <v>15.927300317382812</v>
      </c>
      <c r="F270" s="473">
        <v>15927300.317382813</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5.75" thickBot="1">
      <c r="A271" s="480" t="s">
        <v>586</v>
      </c>
      <c r="B271" s="471" t="s">
        <v>701</v>
      </c>
      <c r="C271" s="481">
        <v>13.872222222220444</v>
      </c>
      <c r="D271" s="482">
        <v>332.93333333329065</v>
      </c>
      <c r="E271" s="337">
        <f t="shared" si="133"/>
        <v>13.334700448608398</v>
      </c>
      <c r="F271" s="483">
        <v>13334700.448608398</v>
      </c>
      <c r="G271" s="482">
        <v>82.252700805664063</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3.5"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3.5"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160" zoomScaleNormal="160" workbookViewId="0">
      <pane ySplit="2" topLeftCell="A3" activePane="bottomLeft" state="frozen"/>
      <selection pane="bottomLeft" activeCell="T2" sqref="T2:T17"/>
    </sheetView>
  </sheetViews>
  <sheetFormatPr defaultColWidth="8.7109375" defaultRowHeight="12.75"/>
  <cols>
    <col min="1" max="1" width="7.7109375" style="88" bestFit="1" customWidth="1"/>
    <col min="2" max="2" width="7.7109375" style="89" bestFit="1" customWidth="1"/>
    <col min="3" max="3" width="7.7109375" style="96" bestFit="1" customWidth="1"/>
    <col min="4" max="5" width="8.28515625" style="96" bestFit="1" customWidth="1"/>
    <col min="6" max="6" width="9.140625" style="96" bestFit="1" customWidth="1"/>
    <col min="7" max="7" width="9.140625" style="96" customWidth="1"/>
    <col min="8" max="8" width="9.140625" style="96" bestFit="1" customWidth="1"/>
    <col min="9" max="9" width="9.140625" style="96" customWidth="1"/>
    <col min="10" max="10" width="8.28515625" style="96" bestFit="1" customWidth="1"/>
    <col min="11" max="11" width="8.5703125" style="100" customWidth="1"/>
    <col min="12" max="12" width="8" style="100" bestFit="1" customWidth="1"/>
    <col min="13" max="13" width="6.5703125" style="100" customWidth="1"/>
    <col min="14" max="14" width="6.140625" style="100" bestFit="1" customWidth="1"/>
    <col min="15" max="15" width="8.85546875" style="100" customWidth="1"/>
    <col min="16" max="16" width="6.28515625" style="100" bestFit="1" customWidth="1"/>
    <col min="17" max="17" width="7.7109375" style="100" customWidth="1"/>
    <col min="18" max="18" width="6.28515625" style="100" bestFit="1" customWidth="1"/>
    <col min="19" max="19" width="5.28515625" style="100" bestFit="1" customWidth="1"/>
    <col min="20" max="20" width="12.85546875" style="100" customWidth="1"/>
    <col min="21" max="21" width="13" style="100" customWidth="1"/>
    <col min="22" max="22" width="6.28515625" style="100" bestFit="1" customWidth="1"/>
    <col min="23" max="23" width="5.85546875" style="100" bestFit="1" customWidth="1"/>
    <col min="24" max="24" width="5.28515625" style="100" bestFit="1" customWidth="1"/>
    <col min="25" max="25" width="5.85546875" style="100" bestFit="1" customWidth="1"/>
    <col min="26" max="26" width="6.140625" style="509" customWidth="1"/>
    <col min="27" max="27" width="5.7109375" style="100" bestFit="1" customWidth="1"/>
    <col min="28" max="28" width="5.85546875" style="100" bestFit="1" customWidth="1"/>
    <col min="29" max="30" width="5.28515625" style="100" bestFit="1" customWidth="1"/>
    <col min="31" max="32" width="6.28515625" style="100" bestFit="1" customWidth="1"/>
    <col min="33" max="33" width="5.7109375" style="100" bestFit="1" customWidth="1"/>
    <col min="34" max="36" width="6.28515625" style="100" bestFit="1" customWidth="1"/>
    <col min="37" max="37" width="5.85546875" style="100" bestFit="1" customWidth="1"/>
    <col min="38" max="38" width="5.7109375" style="100" bestFit="1" customWidth="1"/>
    <col min="39" max="39" width="5.85546875" style="100" bestFit="1" customWidth="1"/>
    <col min="40" max="40" width="6.42578125" style="100" customWidth="1"/>
    <col min="41" max="41" width="6.85546875" style="100" bestFit="1" customWidth="1"/>
    <col min="42" max="52" width="5.7109375" style="106" customWidth="1"/>
    <col min="53" max="53" width="5.7109375" style="506" customWidth="1"/>
    <col min="54" max="58" width="5.7109375" style="106" customWidth="1"/>
    <col min="59" max="59" width="5.7109375" style="506" customWidth="1"/>
    <col min="60" max="79" width="5.7109375" style="106" customWidth="1"/>
    <col min="80" max="80" width="7.7109375" style="35" customWidth="1"/>
    <col min="81" max="16384" width="8.7109375" style="39"/>
  </cols>
  <sheetData>
    <row r="1" spans="1:80" ht="18">
      <c r="C1" s="90"/>
      <c r="D1" s="91"/>
      <c r="E1" s="91"/>
      <c r="F1" s="91"/>
      <c r="G1" s="91"/>
      <c r="H1" s="91"/>
      <c r="I1" s="91"/>
      <c r="J1" s="91"/>
      <c r="K1" s="531" t="s">
        <v>378</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242</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8.95" customHeight="1">
      <c r="A2" s="92" t="s">
        <v>0</v>
      </c>
      <c r="B2" s="93" t="s">
        <v>352</v>
      </c>
      <c r="C2" s="93" t="s">
        <v>1</v>
      </c>
      <c r="D2" s="93" t="s">
        <v>710</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704</v>
      </c>
      <c r="U2" s="59" t="s">
        <v>51</v>
      </c>
      <c r="V2" s="59" t="s">
        <v>48</v>
      </c>
      <c r="W2" s="59" t="s">
        <v>52</v>
      </c>
      <c r="X2" s="59" t="s">
        <v>330</v>
      </c>
      <c r="Y2" s="59" t="s">
        <v>59</v>
      </c>
      <c r="Z2" s="503" t="s">
        <v>705</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707</v>
      </c>
      <c r="BB2" s="104" t="s">
        <v>248</v>
      </c>
      <c r="BC2" s="104" t="s">
        <v>249</v>
      </c>
      <c r="BD2" s="104" t="s">
        <v>250</v>
      </c>
      <c r="BE2" s="104" t="s">
        <v>251</v>
      </c>
      <c r="BF2" s="104" t="s">
        <v>252</v>
      </c>
      <c r="BG2" s="505" t="s">
        <v>708</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1.8750000002910383E-2</v>
      </c>
      <c r="C3" s="500">
        <f>'Measured Data'!C7</f>
        <v>0.45000000006984919</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0.87986111111240461</v>
      </c>
      <c r="C4" s="500">
        <f>'Measured Data'!C8</f>
        <v>21.116666666697711</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386.24397372436511</v>
      </c>
      <c r="M4" s="102">
        <f>M3 + ('Measured Data'!P8*$E4-'Measured Data'!P7*$J3)/1000</f>
        <v>0</v>
      </c>
      <c r="N4" s="102">
        <f>N3+(-'Measured Data'!S7*'In Process Calc.'!$J3+'Measured Data'!S8*'In Process Calc.'!$E4)/1000</f>
        <v>0</v>
      </c>
      <c r="O4" s="102">
        <f>O3-(-'Measured Data'!U7*'In Process Calc.'!$J3+'Measured Data'!U8*'In Process Calc.'!$E4-$F3*'Measured Data'!AS8)/1000</f>
        <v>-1.4475000000000023E-2</v>
      </c>
      <c r="P4" s="102">
        <f>P3-(-'Measured Data'!V7*'In Process Calc.'!$J3+'Measured Data'!V8*'In Process Calc.'!$E4-$F3*'Measured Data'!AT8)/1000</f>
        <v>-0.17880000000000018</v>
      </c>
      <c r="Q4" s="102">
        <f>Q3-(-'Measured Data'!W7*'In Process Calc.'!$J3+'Measured Data'!W8*'In Process Calc.'!$E4-$F3*'Measured Data'!AU8)/1000</f>
        <v>-0.14578499999999986</v>
      </c>
      <c r="R4" s="102">
        <f>R3-(-'Measured Data'!X7*'In Process Calc.'!$J3+'Measured Data'!X8*'In Process Calc.'!$E4-$F3*'Measured Data'!AV8)/1000</f>
        <v>-0.21643499999999993</v>
      </c>
      <c r="S4" s="102">
        <f>S3-(-'Measured Data'!Y7*'In Process Calc.'!$J3+'Measured Data'!Y8*'In Process Calc.'!$E4-$F3*'Measured Data'!AW8)/1000</f>
        <v>-0.17484000000000013</v>
      </c>
      <c r="T4" s="102">
        <v>-9.3651299855319114E-2</v>
      </c>
      <c r="U4" s="102">
        <f>U3-(-'Measured Data'!AA7*'In Process Calc.'!$J3+'Measured Data'!AA8*'In Process Calc.'!$E4-$G3*'Measured Data'!AY8)/1000</f>
        <v>0</v>
      </c>
      <c r="V4" s="102">
        <f>V3-(-'Measured Data'!AB7*'In Process Calc.'!$J3+'Measured Data'!AB8*'In Process Calc.'!$E4-$F3*'Measured Data'!AZ8)/1000</f>
        <v>-0.22727999999999973</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1.0507326820603913</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-1.8146400000000003</v>
      </c>
      <c r="AN4" s="101">
        <f t="shared" ref="AN4:AN17" si="2">$AM4+$AD4*1+$O4*1</f>
        <v>-1.8291150000000003</v>
      </c>
      <c r="AO4" s="101">
        <f>(-$O4*3+$P4*6+$Q4*4+$R4*4+S4*6+$U4*5+$V4*5+$W4*2+$X4*6+$Y4*6+$AA4*6+$AB4*6+$AC4*5+$AE4*9+AF4*5+$AG4*3+$AH4*4+AI4*11+$AJ4*9+$AK4*5)</f>
        <v>-4.6636950000000006</v>
      </c>
      <c r="AP4" s="107">
        <f>'Measured Data'!N8/('Measured Data'!H8)</f>
        <v>0</v>
      </c>
      <c r="AQ4" s="108">
        <f>IF('Measured Data'!O8&gt;0,'Measured Data'!O8,('Measured Data'!P8*$E4-'Measured Data'!P7*$J3)/1000/(('Measured Data'!$H7*$J3+'Measured Data'!$H8*$E4)*1000000*0.5*($C4-$C3))*1000000000)</f>
        <v>0</v>
      </c>
      <c r="AR4" s="108">
        <f>(L4-L3)/(('Measured Data'!$H7*$J3+'Measured Data'!$H8*$E4)*0.5*($C4-$C3))</f>
        <v>2.6843772371102317E-2</v>
      </c>
      <c r="AS4" s="108">
        <f t="shared" ref="AS4:AS17" si="3">$AR4+$AT4</f>
        <v>2.6834957824069076E-2</v>
      </c>
      <c r="AT4" s="108">
        <f>('Measured Data'!$I8*$E4-'Measured Data'!$I7*$J3)/(('Measured Data'!$H7*$J3+'Measured Data'!$H8*$E4)*0.5*($C4-$C3))</f>
        <v>-8.8145470332399431E-6</v>
      </c>
      <c r="AU4" s="108">
        <f>(N4-N3)*1000/(('Measured Data'!$H7*$J3+'Measured Data'!$H8*$E4)*0.5*($C4-$C3))</f>
        <v>0</v>
      </c>
      <c r="AV4" s="108">
        <f>(O4-O3)*1000/(('Measured Data'!$H7*$J3+'Measured Data'!$H8*$E4)*0.5*($C4-$C3))</f>
        <v>-1.0060056117509729E-3</v>
      </c>
      <c r="AW4" s="108">
        <f>(P4-P3)*1000/(('Measured Data'!$H7*$J3+'Measured Data'!$H8*$E4)*0.5*($C4-$C3))</f>
        <v>-1.2426514914063826E-2</v>
      </c>
      <c r="AX4" s="108">
        <f>(Q4-Q3)*1000/(('Measured Data'!$H7*$J3+'Measured Data'!$H8*$E4)*0.5*($C4-$C3))</f>
        <v>-1.0131988124982052E-2</v>
      </c>
      <c r="AY4" s="108">
        <f>(R4-R3)*1000/(('Measured Data'!$H7*$J3+'Measured Data'!$H8*$E4)*0.5*($C4-$C3))</f>
        <v>-1.5042129504616334E-2</v>
      </c>
      <c r="AZ4" s="108">
        <f>(S4-S3)*1000/(('Measured Data'!$H7*$J3+'Measured Data'!$H8*$E4)*0.5*($C4-$C3))</f>
        <v>-1.2151296798517442E-2</v>
      </c>
      <c r="BA4" s="507">
        <v>0.1449857625715468</v>
      </c>
      <c r="BB4" s="108">
        <f>(U4-U3)*1000/(('Measured Data'!$H7*$J3+'Measured Data'!$H8*$E4)*0.5*($C4-$C3))</f>
        <v>0</v>
      </c>
      <c r="BC4" s="108">
        <f>(V4-V3)*1000/(('Measured Data'!$H7*$J3+'Measured Data'!$H8*$E4)*0.5*($C4-$C3))</f>
        <v>-1.5795851843783109E-2</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-0.11396531966488727</v>
      </c>
      <c r="BU4" s="109">
        <f>$BT4+$BK4*1-$AV4*1</f>
        <v>-0.11295931405313629</v>
      </c>
      <c r="BV4" s="109">
        <f>($AV4*3+$AW4*6+$AX4*4+$AY4*4+$AZ4*6+$BB4*5+$BC4*5+$BD4*2+$BE4*6+$BF4*6+$BH4*6+$BI4*6+$BJ4*5+$BL4*9+$BM4*5+$BN4*3+$BO4*4+$BP4*4+$BQ4*9+$BR4*5)</f>
        <v>-0.33016061684804965</v>
      </c>
      <c r="BW4" s="109">
        <f>($BV4+ABS($AV4*3)+ABS($AW4*6)+ABS($AX4*4)+ABS($AY4*4)+ABS($AZ4*6)+ABS($BB4*5)+ABS($BC4*5)+ABS($BD4*2)+ABS($BE4*6)+ABS($BF4*6)+ABS($BH4*6)+ABS($BI4*6)+ABS($BJ4*5)+ABS($BL4*9)+ABS($BM4*5)+ABS($BN4*3)+ABS($BO4*4)+ABS($BP4*4)+ABS($BQ4*9)+ABS($BR4*5))/2</f>
        <v>0</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2.015972222223354</v>
      </c>
      <c r="C5" s="500">
        <f>'Measured Data'!C9</f>
        <v>48.383333333360497</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1058.9999999999995</v>
      </c>
      <c r="M5" s="102">
        <f>M4 + ('Measured Data'!P9*$E5-'Measured Data'!P8*$J4)/1000</f>
        <v>0</v>
      </c>
      <c r="N5" s="102">
        <f>N4+(-'Measured Data'!S8*'In Process Calc.'!$J4+'Measured Data'!S9*'In Process Calc.'!$E5)/1000</f>
        <v>0</v>
      </c>
      <c r="O5" s="102">
        <f>O4-(-'Measured Data'!U8*'In Process Calc.'!$J4+'Measured Data'!U9*'In Process Calc.'!$E5-$F4*'Measured Data'!AS9)/1000</f>
        <v>-1.1565000000000013E-2</v>
      </c>
      <c r="P5" s="102">
        <f>P4-(-'Measured Data'!V8*'In Process Calc.'!$J4+'Measured Data'!V9*'In Process Calc.'!$E5-$F4*'Measured Data'!AT9)/1000</f>
        <v>0.30857999999999991</v>
      </c>
      <c r="Q5" s="102">
        <f>Q4-(-'Measured Data'!W8*'In Process Calc.'!$J4+'Measured Data'!W9*'In Process Calc.'!$E5-$F4*'Measured Data'!AU9)/1000</f>
        <v>1.1179500000000007</v>
      </c>
      <c r="R5" s="102">
        <f>R4-(-'Measured Data'!X8*'In Process Calc.'!$J4+'Measured Data'!X9*'In Process Calc.'!$E5-$F4*'Measured Data'!AV9)/1000</f>
        <v>3.3825000000000272E-2</v>
      </c>
      <c r="S5" s="102">
        <f>S4-(-'Measured Data'!Y8*'In Process Calc.'!$J4+'Measured Data'!Y9*'In Process Calc.'!$E5-$F4*'Measured Data'!AW9)/1000</f>
        <v>3.8099999999999523E-3</v>
      </c>
      <c r="T5" s="102">
        <v>2.0986998078639494</v>
      </c>
      <c r="U5" s="102">
        <f>U4-(-'Measured Data'!AA8*'In Process Calc.'!$J4+'Measured Data'!AA9*'In Process Calc.'!$E5-$G4*'Measured Data'!AY9)/1000</f>
        <v>-0.52387499999999998</v>
      </c>
      <c r="V5" s="102">
        <f>V4-(-'Measured Data'!AB8*'In Process Calc.'!$J4+'Measured Data'!AB9*'In Process Calc.'!$E5-$F4*'Measured Data'!AZ9)/1000</f>
        <v>7.3394999999999516E-2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3.1422069271758435</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2.5257450000000006</v>
      </c>
      <c r="AN5" s="101">
        <f t="shared" si="2"/>
        <v>2.5141800000000005</v>
      </c>
      <c r="AO5" s="101">
        <f t="shared" ref="AO5:AO15" si="7">(-$O5*3+$P5*6+$Q5*4+$R5*4+S5*6+$U5*5+$V5*5+$W5*2+$X5*6+$Y5*6+$AA5*6+$AB5*6+$AC5*5+$AE5*9+AF5*5+$AG5*3+$AH5*4+AI5*11+$AJ5*9+$AK5*5)</f>
        <v>4.2637350000000005</v>
      </c>
      <c r="AP5" s="107">
        <f>'Measured Data'!N9/('Measured Data'!H9)</f>
        <v>0</v>
      </c>
      <c r="AQ5" s="108">
        <f>IF('Measured Data'!O9&gt;0,'Measured Data'!O9,('Measured Data'!P9*$E5-'Measured Data'!P8*$J4)/1000/(('Measured Data'!$H8*$J4+'Measured Data'!$H9*$E5)*1000000*0.5*($C5-$C4))*1000000000)</f>
        <v>0</v>
      </c>
      <c r="AR5" s="108">
        <f>(L5-L4)/(('Measured Data'!$H8*$J4+'Measured Data'!$H9*$E5)*0.5*($C5-$C4))</f>
        <v>2.0129527055972703E-2</v>
      </c>
      <c r="AS5" s="108">
        <f t="shared" si="3"/>
        <v>2.062754228994701E-2</v>
      </c>
      <c r="AT5" s="108">
        <f>('Measured Data'!$I9*$E5-'Measured Data'!$I8*$J4)/(('Measured Data'!$H8*$J4+'Measured Data'!$H9*$E5)*0.5*($C5-$C4))</f>
        <v>4.980152339743066E-4</v>
      </c>
      <c r="AU5" s="108">
        <f>(N5-N4)*1000/(('Measured Data'!$H8*$J4+'Measured Data'!$H9*$E5)*0.5*($C5-$C4))</f>
        <v>0</v>
      </c>
      <c r="AV5" s="108">
        <f>(O5-O4)*1000/(('Measured Data'!$H8*$J4+'Measured Data'!$H9*$E5)*0.5*($C5-$C4))</f>
        <v>8.7070084020148564E-5</v>
      </c>
      <c r="AW5" s="108">
        <f>(P5-P4)*1000/(('Measured Data'!$H8*$J4+'Measured Data'!$H9*$E5)*0.5*($C5-$C4))</f>
        <v>1.4582892628776586E-2</v>
      </c>
      <c r="AX5" s="108">
        <f>(Q5-Q4)*1000/(('Measured Data'!$H8*$J4+'Measured Data'!$H9*$E5)*0.5*($C5-$C4))</f>
        <v>3.7812203652646773E-2</v>
      </c>
      <c r="AY5" s="108">
        <f>(R5-R4)*1000/(('Measured Data'!$H8*$J4+'Measured Data'!$H9*$E5)*0.5*($C5-$C4))</f>
        <v>7.4880272257327567E-3</v>
      </c>
      <c r="AZ5" s="108">
        <f>(S5-S4)*1000/(('Measured Data'!$H8*$J4+'Measured Data'!$H9*$E5)*0.5*($C5-$C4))</f>
        <v>5.3453850550513726E-3</v>
      </c>
      <c r="BA5" s="507">
        <v>5.2687416642327865E-2</v>
      </c>
      <c r="BB5" s="108">
        <f>(U5-U4)*1000/(('Measured Data'!$H8*$J4+'Measured Data'!$H9*$E5)*0.5*($C5-$C4))</f>
        <v>-1.5674859197957105E-2</v>
      </c>
      <c r="BC5" s="108">
        <f>(V5-V4)*1000/(('Measured Data'!$H8*$J4+'Measured Data'!$H9*$E5)*0.5*($C5-$C4))</f>
        <v>8.9964939906384926E-3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0.12452323577992842</v>
      </c>
      <c r="BU5" s="109">
        <f t="shared" ref="BU5:BU17" si="9">$BT5+$BK5*1-$AV5*1</f>
        <v>0.12443616569590828</v>
      </c>
      <c r="BV5" s="109">
        <f t="shared" ref="BV5:BV17" si="10">($AV5*3+$AW5*6+$AX5*4+$AY5*4+$AZ5*6+$BB5*5+$BC5*5+$BD5*2+$BE5*6+$BF5*6+$BH5*6+$BI5*6+$BJ5*5+$BL5*9+$BM5*5+$BN5*3+$BO5*4+$BP5*4+$BQ5*9+$BR5*5)</f>
        <v>0.26763997383195326</v>
      </c>
      <c r="BW5" s="109">
        <f t="shared" ref="BW5:BW17" si="11">($BV5+ABS($AV5*3)+ABS($AW5*6)+ABS($AX5*4)+ABS($AY5*4)+ABS($AZ5*6)+ABS($BB5*5)+ABS($BC5*5)+ABS($BD5*2)+ABS($BE5*6)+ABS($BF5*6)+ABS($BH5*6)+ABS($BI5*6)+ABS($BJ5*5)+ABS($BL5*9)+ABS($BM5*5)+ABS($BN5*3)+ABS($BO5*4)+ABS($BP5*4)+ABS($BQ5*9)+ABS($BR5*5))/2</f>
        <v>0.34601426982173872</v>
      </c>
      <c r="BX5" s="108">
        <f t="shared" si="4"/>
        <v>1.0852781281738566</v>
      </c>
      <c r="BY5" s="108">
        <f t="shared" si="5"/>
        <v>0</v>
      </c>
      <c r="BZ5" s="108">
        <f t="shared" si="6"/>
        <v>-0.29750669508749994</v>
      </c>
      <c r="CA5" s="108">
        <f t="shared" ref="CA5:CA17" si="12">$BK5/$BB5</f>
        <v>0</v>
      </c>
      <c r="CB5" s="36"/>
    </row>
    <row r="6" spans="1:80">
      <c r="A6" s="94">
        <f>'Measured Data'!$A10</f>
        <v>3</v>
      </c>
      <c r="B6" s="500">
        <f>'Measured Data'!B10</f>
        <v>2.953472222223354</v>
      </c>
      <c r="C6" s="500">
        <f>'Measured Data'!C10</f>
        <v>70.883333333360497</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2239.049098737335</v>
      </c>
      <c r="M6" s="102">
        <f>M5 + ('Measured Data'!P10*$E6-'Measured Data'!P9*$J5)/1000</f>
        <v>0</v>
      </c>
      <c r="N6" s="102">
        <f>N5+(-'Measured Data'!S9*'In Process Calc.'!$J5+'Measured Data'!S10*'In Process Calc.'!$E6)/1000</f>
        <v>0</v>
      </c>
      <c r="O6" s="102">
        <f>O5-(-'Measured Data'!U9*'In Process Calc.'!$J5+'Measured Data'!U10*'In Process Calc.'!$E6-$F5*'Measured Data'!AS10)/1000</f>
        <v>-7.9062999999999994E-2</v>
      </c>
      <c r="P6" s="102">
        <f>P5-(-'Measured Data'!V9*'In Process Calc.'!$J5+'Measured Data'!V10*'In Process Calc.'!$E6-$F5*'Measured Data'!AT10)/1000</f>
        <v>0.6113519999999999</v>
      </c>
      <c r="Q6" s="102">
        <f>Q5-(-'Measured Data'!W9*'In Process Calc.'!$J5+'Measured Data'!W10*'In Process Calc.'!$E6-$F5*'Measured Data'!AU10)/1000</f>
        <v>3.0061669999999996</v>
      </c>
      <c r="R6" s="102">
        <f>R5-(-'Measured Data'!X9*'In Process Calc.'!$J5+'Measured Data'!X10*'In Process Calc.'!$E6-$F5*'Measured Data'!AV10)/1000</f>
        <v>0.15276899999999977</v>
      </c>
      <c r="S6" s="102">
        <f>S5-(-'Measured Data'!Y9*'In Process Calc.'!$J5+'Measured Data'!Y10*'In Process Calc.'!$E6-$F5*'Measured Data'!AW10)/1000</f>
        <v>0.19689200000000007</v>
      </c>
      <c r="T6" s="102">
        <v>5.7751611128562113</v>
      </c>
      <c r="U6" s="102">
        <f>U5-(-'Measured Data'!AA9*'In Process Calc.'!$J5+'Measured Data'!AA10*'In Process Calc.'!$E6-$G5*'Measured Data'!AY10)/1000</f>
        <v>-0.686616</v>
      </c>
      <c r="V6" s="102">
        <f>V5-(-'Measured Data'!AB9*'In Process Calc.'!$J5+'Measured Data'!AB10*'In Process Calc.'!$E6-$F5*'Measured Data'!AZ10)/1000</f>
        <v>0.1856319999999996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5.3557948490230913</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7.7376319999999978</v>
      </c>
      <c r="AN6" s="101">
        <f t="shared" si="2"/>
        <v>7.6585689999999982</v>
      </c>
      <c r="AO6" s="101">
        <f t="shared" si="7"/>
        <v>15.217476999999995</v>
      </c>
      <c r="AP6" s="107">
        <f>'Measured Data'!N10/('Measured Data'!H10)</f>
        <v>0</v>
      </c>
      <c r="AQ6" s="108">
        <f>IF('Measured Data'!O10&gt;0,'Measured Data'!O10,('Measured Data'!P10*$E6-'Measured Data'!P9*$J5)/1000/(('Measured Data'!$H9*$J5+'Measured Data'!$H10*$E6)*1000000*0.5*($C6-$C5))*1000000000)</f>
        <v>0</v>
      </c>
      <c r="AR6" s="108">
        <f>(L6-L5)/(('Measured Data'!$H9*$J5+'Measured Data'!$H10*$E6)*0.5*($C6-$C5))</f>
        <v>2.4369698596641922E-2</v>
      </c>
      <c r="AS6" s="108">
        <f t="shared" si="3"/>
        <v>2.4361174541124284E-2</v>
      </c>
      <c r="AT6" s="108">
        <f>('Measured Data'!$I10*$E6-'Measured Data'!$I9*$J5)/(('Measured Data'!$H9*$J5+'Measured Data'!$H10*$E6)*0.5*($C6-$C5))</f>
        <v>-8.5240555176368779E-6</v>
      </c>
      <c r="AU6" s="108">
        <f>(N6-N5)*1000/(('Measured Data'!$H9*$J5+'Measured Data'!$H10*$E6)*0.5*($C6-$C5))</f>
        <v>0</v>
      </c>
      <c r="AV6" s="108">
        <f>(O6-O5)*1000/(('Measured Data'!$H9*$J5+'Measured Data'!$H10*$E6)*0.5*($C6-$C5))</f>
        <v>-1.3939300641271639E-3</v>
      </c>
      <c r="AW6" s="108">
        <f>(P6-P5)*1000/(('Measured Data'!$H9*$J5+'Measured Data'!$H10*$E6)*0.5*($C6-$C5))</f>
        <v>6.2526740551706681E-3</v>
      </c>
      <c r="AX6" s="108">
        <f>(Q6-Q5)*1000/(('Measured Data'!$H9*$J5+'Measured Data'!$H10*$E6)*0.5*($C6-$C5))</f>
        <v>3.8994376779993484E-2</v>
      </c>
      <c r="AY6" s="108">
        <f>(R6-R5)*1000/(('Measured Data'!$H9*$J5+'Measured Data'!$H10*$E6)*0.5*($C6-$C5))</f>
        <v>2.4563634114720544E-3</v>
      </c>
      <c r="AZ6" s="108">
        <f>(S6-S5)*1000/(('Measured Data'!$H9*$J5+'Measured Data'!$H10*$E6)*0.5*($C6-$C5))</f>
        <v>3.9874189552549892E-3</v>
      </c>
      <c r="BA6" s="507">
        <v>0.10113035026121092</v>
      </c>
      <c r="BB6" s="108">
        <f>(U6-U5)*1000/(('Measured Data'!$H9*$J5+'Measured Data'!$H10*$E6)*0.5*($C6-$C5))</f>
        <v>-3.3608339886532766E-3</v>
      </c>
      <c r="BC6" s="108">
        <f>(V6-V5)*1000/(('Measured Data'!$H9*$J5+'Measured Data'!$H10*$E6)*0.5*($C6-$C5))</f>
        <v>2.3178542861631551E-3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0.10364548839212612</v>
      </c>
      <c r="BU6" s="109">
        <f t="shared" si="9"/>
        <v>0.10503941845625328</v>
      </c>
      <c r="BV6" s="109">
        <f t="shared" si="10"/>
        <v>0.217846830123584</v>
      </c>
      <c r="BW6" s="109">
        <f t="shared" si="11"/>
        <v>0.23883279025923188</v>
      </c>
      <c r="BX6" s="108">
        <f t="shared" si="4"/>
        <v>0.33900074264965052</v>
      </c>
      <c r="BY6" s="108">
        <f t="shared" si="5"/>
        <v>0</v>
      </c>
      <c r="BZ6" s="108">
        <f t="shared" si="6"/>
        <v>-3.3232694042614648E-2</v>
      </c>
      <c r="CA6" s="108">
        <f t="shared" si="12"/>
        <v>0</v>
      </c>
      <c r="CB6" s="36"/>
    </row>
    <row r="7" spans="1:80">
      <c r="A7" s="94">
        <f>'Measured Data'!$A11</f>
        <v>4</v>
      </c>
      <c r="B7" s="500">
        <f>'Measured Data'!B11</f>
        <v>3.9736111111124046</v>
      </c>
      <c r="C7" s="500">
        <f>'Measured Data'!C11</f>
        <v>95.366666666697711</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4586.7349957405095</v>
      </c>
      <c r="M7" s="102">
        <f>M6 + ('Measured Data'!P11*$E7-'Measured Data'!P10*$J6)/1000</f>
        <v>0</v>
      </c>
      <c r="N7" s="102">
        <f>N6+(-'Measured Data'!S10*'In Process Calc.'!$J6+'Measured Data'!S11*'In Process Calc.'!$E7)/1000</f>
        <v>47.362449999999995</v>
      </c>
      <c r="O7" s="102">
        <f>O6-(-'Measured Data'!U10*'In Process Calc.'!$J6+'Measured Data'!U11*'In Process Calc.'!$E7-$F6*'Measured Data'!AS11)/1000</f>
        <v>-0.39761000000000002</v>
      </c>
      <c r="P7" s="102">
        <f>P6-(-'Measured Data'!V10*'In Process Calc.'!$J6+'Measured Data'!V11*'In Process Calc.'!$E7-$F6*'Measured Data'!AT11)/1000</f>
        <v>-7.4980000000000491E-2</v>
      </c>
      <c r="Q7" s="102">
        <f>Q6-(-'Measured Data'!W10*'In Process Calc.'!$J6+'Measured Data'!W11*'In Process Calc.'!$E7-$F6*'Measured Data'!AU11)/1000</f>
        <v>0.75444199999999917</v>
      </c>
      <c r="R7" s="102">
        <f>R6-(-'Measured Data'!X10*'In Process Calc.'!$J6+'Measured Data'!X11*'In Process Calc.'!$E7-$F6*'Measured Data'!AV11)/1000</f>
        <v>0.23180300000000031</v>
      </c>
      <c r="S7" s="102">
        <f>S6-(-'Measured Data'!Y10*'In Process Calc.'!$J6+'Measured Data'!Y11*'In Process Calc.'!$E7-$F6*'Measured Data'!AW11)/1000</f>
        <v>0.35433400000000004</v>
      </c>
      <c r="T7" s="102">
        <v>8.3995945045974914</v>
      </c>
      <c r="U7" s="102">
        <f>U6-(-'Measured Data'!AA10*'In Process Calc.'!$J6+'Measured Data'!AA11*'In Process Calc.'!$E7-$G6*'Measured Data'!AY11)/1000</f>
        <v>-1.2431480000000001</v>
      </c>
      <c r="V7" s="102">
        <f>V6-(-'Measured Data'!AB10*'In Process Calc.'!$J6+'Measured Data'!AB11*'In Process Calc.'!$E7-$F6*'Measured Data'!AZ11)/1000</f>
        <v>-7.5766770000000001</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8.3964253996447624</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-8.3111480000000029</v>
      </c>
      <c r="AN7" s="101">
        <f t="shared" si="2"/>
        <v>-8.7087580000000031</v>
      </c>
      <c r="AO7" s="101">
        <f t="shared" si="7"/>
        <v>-37.285191000000012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2.4486552505076642E-2</v>
      </c>
      <c r="AS7" s="108">
        <f t="shared" si="3"/>
        <v>2.4872307264792629E-2</v>
      </c>
      <c r="AT7" s="108">
        <f>('Measured Data'!$I11*$E7-'Measured Data'!$I10*$J6)/(('Measured Data'!$H10*$J6+'Measured Data'!$H11*$E7)*0.5*($C7-$C6))</f>
        <v>3.8575475971598731E-4</v>
      </c>
      <c r="AU7" s="108">
        <f>(N7-N6)*1000/(('Measured Data'!$H10*$J6+'Measured Data'!$H11*$E7)*0.5*($C7-$C6))</f>
        <v>0.49399415832181015</v>
      </c>
      <c r="AV7" s="108">
        <f>(O7-O6)*1000/(('Measured Data'!$H10*$J6+'Measured Data'!$H11*$E7)*0.5*($C7-$C6))</f>
        <v>-3.3224708002001098E-3</v>
      </c>
      <c r="AW7" s="108">
        <f>(P7-P6)*1000/(('Measured Data'!$H10*$J6+'Measured Data'!$H11*$E7)*0.5*($C7-$C6))</f>
        <v>-7.1584978958927339E-3</v>
      </c>
      <c r="AX7" s="108">
        <f>(Q7-Q6)*1000/(('Measured Data'!$H10*$J6+'Measured Data'!$H11*$E7)*0.5*($C7-$C6))</f>
        <v>-2.3485672640397155E-2</v>
      </c>
      <c r="AY7" s="108">
        <f>(R7-R6)*1000/(('Measured Data'!$H10*$J6+'Measured Data'!$H11*$E7)*0.5*($C7-$C6))</f>
        <v>8.2433096912862866E-4</v>
      </c>
      <c r="AZ7" s="108">
        <f>(S7-S6)*1000/(('Measured Data'!$H10*$J6+'Measured Data'!$H11*$E7)*0.5*($C7-$C6))</f>
        <v>1.6421327079680723E-3</v>
      </c>
      <c r="BA7" s="507">
        <v>7.9511007546199414E-2</v>
      </c>
      <c r="BB7" s="108">
        <f>(U7-U6)*1000/(('Measured Data'!$H10*$J6+'Measured Data'!$H11*$E7)*0.5*($C7-$C6))</f>
        <v>-5.8046734685210282E-3</v>
      </c>
      <c r="BC7" s="108">
        <f>(V7-V6)*1000/(('Measured Data'!$H10*$J6+'Measured Data'!$H11*$E7)*0.5*($C7-$C6))</f>
        <v>-8.0961506448437789E-2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-0.1690321973729485</v>
      </c>
      <c r="BU7" s="109">
        <f t="shared" si="9"/>
        <v>-0.16570972657274838</v>
      </c>
      <c r="BV7" s="109">
        <f t="shared" si="10"/>
        <v>-0.56754186979801646</v>
      </c>
      <c r="BW7" s="109">
        <f t="shared" si="11"/>
        <v>1.3150120124322928E-2</v>
      </c>
      <c r="BX7" s="108">
        <f t="shared" si="4"/>
        <v>0.49867274933927114</v>
      </c>
      <c r="BY7" s="108">
        <f t="shared" si="5"/>
        <v>0</v>
      </c>
      <c r="BZ7" s="108">
        <f t="shared" si="6"/>
        <v>-7.3004652408011003E-2</v>
      </c>
      <c r="CA7" s="108">
        <f t="shared" si="12"/>
        <v>0</v>
      </c>
      <c r="CB7" s="36"/>
    </row>
    <row r="8" spans="1:80">
      <c r="A8" s="94">
        <f>'Measured Data'!$A12</f>
        <v>5</v>
      </c>
      <c r="B8" s="500">
        <f>'Measured Data'!B12</f>
        <v>4.8250000000043656</v>
      </c>
      <c r="C8" s="500">
        <f>'Measured Data'!C12</f>
        <v>115.80000000010477</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7069.4026378343078</v>
      </c>
      <c r="M8" s="102">
        <f>M7 + ('Measured Data'!P12*$E8-'Measured Data'!P11*$J7)/1000</f>
        <v>0</v>
      </c>
      <c r="N8" s="102">
        <f>N7+(-'Measured Data'!S11*'In Process Calc.'!$J7+'Measured Data'!S12*'In Process Calc.'!$E8)/1000</f>
        <v>154.21757481481481</v>
      </c>
      <c r="O8" s="102">
        <f>O7-(-'Measured Data'!U11*'In Process Calc.'!$J7+'Measured Data'!U12*'In Process Calc.'!$E8-$F7*'Measured Data'!AS12)/1000</f>
        <v>-1.0074514074074075</v>
      </c>
      <c r="P8" s="102">
        <f>P7-(-'Measured Data'!V11*'In Process Calc.'!$J7+'Measured Data'!V12*'In Process Calc.'!$E8-$F7*'Measured Data'!AT12)/1000</f>
        <v>-0.85278262962962981</v>
      </c>
      <c r="Q8" s="102">
        <f>Q7-(-'Measured Data'!W11*'In Process Calc.'!$J7+'Measured Data'!W12*'In Process Calc.'!$E8-$F7*'Measured Data'!AU12)/1000</f>
        <v>-0.9669200370370381</v>
      </c>
      <c r="R8" s="102">
        <f>R7-(-'Measured Data'!X11*'In Process Calc.'!$J7+'Measured Data'!X12*'In Process Calc.'!$E8-$F7*'Measured Data'!AV12)/1000</f>
        <v>2.008481481481475E-2</v>
      </c>
      <c r="S8" s="102">
        <f>S7-(-'Measured Data'!Y11*'In Process Calc.'!$J7+'Measured Data'!Y12*'In Process Calc.'!$E8-$F7*'Measured Data'!AW12)/1000</f>
        <v>0.51104188888888891</v>
      </c>
      <c r="T8" s="102">
        <v>13.105289423155925</v>
      </c>
      <c r="U8" s="102">
        <f>U7-(-'Measured Data'!AA11*'In Process Calc.'!$J7+'Measured Data'!AA12*'In Process Calc.'!$E8-$G7*'Measured Data'!AY12)/1000</f>
        <v>-1.8837163703703705</v>
      </c>
      <c r="V8" s="102">
        <f>V7-(-'Measured Data'!AB11*'In Process Calc.'!$J7+'Measured Data'!AB12*'In Process Calc.'!$E8-$F7*'Measured Data'!AZ12)/1000</f>
        <v>-13.325845037037038</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11.578185645681208</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-22.403531185185187</v>
      </c>
      <c r="AN8" s="101">
        <f t="shared" si="2"/>
        <v>-23.410982592592596</v>
      </c>
      <c r="AO8" s="101">
        <f t="shared" si="7"/>
        <v>-78.863238148148156</v>
      </c>
      <c r="AP8" s="107">
        <f>'Measured Data'!N12/('Measured Data'!H12)</f>
        <v>0</v>
      </c>
      <c r="AQ8" s="108">
        <f>IF('Measured Data'!O12&gt;0,'Measured Data'!O12,('Measured Data'!P12*$E8-'Measured Data'!P11*$J7)/1000/(('Measured Data'!$H11*$J7+'Measured Data'!$H12*$E8)*1000000*0.5*($C8-$C7))*1000000000)</f>
        <v>0</v>
      </c>
      <c r="AR8" s="108">
        <f>(L8-L7)/(('Measured Data'!$H11*$J7+'Measured Data'!$H12*$E8)*0.5*($C8-$C7))</f>
        <v>1.9190905646858589E-2</v>
      </c>
      <c r="AS8" s="108">
        <f t="shared" si="3"/>
        <v>1.9186203612854853E-2</v>
      </c>
      <c r="AT8" s="108">
        <f>('Measured Data'!$I12*$E8-'Measured Data'!$I11*$J7)/(('Measured Data'!$H11*$J7+'Measured Data'!$H12*$E8)*0.5*($C8-$C7))</f>
        <v>-4.7020340037357869E-6</v>
      </c>
      <c r="AU8" s="108">
        <f>(N8-N7)*1000/(('Measured Data'!$H11*$J7+'Measured Data'!$H12*$E8)*0.5*($C8-$C7))</f>
        <v>0.82598515541732465</v>
      </c>
      <c r="AV8" s="108">
        <f>(O8-O7)*1000/(('Measured Data'!$H11*$J7+'Measured Data'!$H12*$E8)*0.5*($C8-$C7))</f>
        <v>-4.7140457750650599E-3</v>
      </c>
      <c r="AW8" s="108">
        <f>(P8-P7)*1000/(('Measured Data'!$H11*$J7+'Measured Data'!$H12*$E8)*0.5*($C8-$C7))</f>
        <v>-6.0123782273619215E-3</v>
      </c>
      <c r="AX8" s="108">
        <f>(Q8-Q7)*1000/(('Measured Data'!$H11*$J7+'Measured Data'!$H12*$E8)*0.5*($C8-$C7))</f>
        <v>-1.3306048653778681E-2</v>
      </c>
      <c r="AY8" s="108">
        <f>(R8-R7)*1000/(('Measured Data'!$H11*$J7+'Measured Data'!$H12*$E8)*0.5*($C8-$C7))</f>
        <v>-1.6365717451355588E-3</v>
      </c>
      <c r="AZ8" s="108">
        <f>(S8-S7)*1000/(('Measured Data'!$H11*$J7+'Measured Data'!$H12*$E8)*0.5*($C8-$C7))</f>
        <v>1.2113447079242369E-3</v>
      </c>
      <c r="BA8" s="507">
        <v>5.4698722786507108E-2</v>
      </c>
      <c r="BB8" s="108">
        <f>(U8-U7)*1000/(('Measured Data'!$H11*$J7+'Measured Data'!$H12*$E8)*0.5*($C8-$C7))</f>
        <v>-4.9515637726571284E-3</v>
      </c>
      <c r="BC8" s="108">
        <f>(V8-V7)*1000/(('Measured Data'!$H11*$J7+'Measured Data'!$H12*$E8)*0.5*($C8-$C7))</f>
        <v>-4.4440802093695844E-2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-0.11014481266829153</v>
      </c>
      <c r="BU8" s="109">
        <f t="shared" si="9"/>
        <v>-0.10543076689322647</v>
      </c>
      <c r="BV8" s="109">
        <f t="shared" si="10"/>
        <v>-0.34968064936924309</v>
      </c>
      <c r="BW8" s="109">
        <f t="shared" si="11"/>
        <v>7.268068247545445E-3</v>
      </c>
      <c r="BX8" s="108">
        <f t="shared" si="4"/>
        <v>0.39469790489112777</v>
      </c>
      <c r="BY8" s="108">
        <f t="shared" si="5"/>
        <v>0</v>
      </c>
      <c r="BZ8" s="108">
        <f t="shared" si="6"/>
        <v>-9.0524303318441704E-2</v>
      </c>
      <c r="CA8" s="108">
        <f t="shared" si="12"/>
        <v>0</v>
      </c>
      <c r="CB8" s="36"/>
    </row>
    <row r="9" spans="1:80">
      <c r="A9" s="94">
        <f>'Measured Data'!$A13</f>
        <v>6</v>
      </c>
      <c r="B9" s="500">
        <f>'Measured Data'!B13</f>
        <v>5.875</v>
      </c>
      <c r="C9" s="500">
        <f>'Measured Data'!C13</f>
        <v>141</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12168.508298275252</v>
      </c>
      <c r="M9" s="102">
        <f>M8 + ('Measured Data'!P13*$E9-'Measured Data'!P12*$J8)/1000</f>
        <v>0</v>
      </c>
      <c r="N9" s="102">
        <f>N8+(-'Measured Data'!S12*'In Process Calc.'!$J8+'Measured Data'!S13*'In Process Calc.'!$E9)/1000</f>
        <v>394.08631111111106</v>
      </c>
      <c r="O9" s="102">
        <f>O8-(-'Measured Data'!U12*'In Process Calc.'!$J8+'Measured Data'!U13*'In Process Calc.'!$E9-$F8*'Measured Data'!AS13)/1000</f>
        <v>-2.6060101111111109</v>
      </c>
      <c r="P9" s="102">
        <f>P8-(-'Measured Data'!V12*'In Process Calc.'!$J8+'Measured Data'!V13*'In Process Calc.'!$E9-$F8*'Measured Data'!AT13)/1000</f>
        <v>-1.8050884444444455</v>
      </c>
      <c r="Q9" s="102">
        <f>Q8-(-'Measured Data'!W12*'In Process Calc.'!$J8+'Measured Data'!W13*'In Process Calc.'!$E9-$F8*'Measured Data'!AU13)/1000</f>
        <v>-1.1663105555555557</v>
      </c>
      <c r="R9" s="102">
        <f>R8-(-'Measured Data'!X12*'In Process Calc.'!$J8+'Measured Data'!X13*'In Process Calc.'!$E9-$F8*'Measured Data'!AV13)/1000</f>
        <v>-0.82472188888888887</v>
      </c>
      <c r="S9" s="102">
        <f>S8-(-'Measured Data'!Y12*'In Process Calc.'!$J8+'Measured Data'!Y13*'In Process Calc.'!$E9-$F8*'Measured Data'!AW13)/1000</f>
        <v>0.66615333333333338</v>
      </c>
      <c r="T9" s="102">
        <v>20.413562680083089</v>
      </c>
      <c r="U9" s="102">
        <f>U8-(-'Measured Data'!AA12*'In Process Calc.'!$J8+'Measured Data'!AA13*'In Process Calc.'!$E9-$G8*'Measured Data'!AY13)/1000</f>
        <v>-3.1779331111111118</v>
      </c>
      <c r="V9" s="102">
        <f>V8-(-'Measured Data'!AB12*'In Process Calc.'!$J8+'Measured Data'!AB13*'In Process Calc.'!$E9-$F8*'Measured Data'!AZ13)/1000</f>
        <v>-20.133170000000003</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15.842152654430633</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-38.140436444444447</v>
      </c>
      <c r="AN9" s="101">
        <f t="shared" si="2"/>
        <v>-40.746446555555558</v>
      </c>
      <c r="AO9" s="101">
        <f t="shared" si="7"/>
        <v>-123.53522566666669</v>
      </c>
      <c r="AP9" s="107">
        <f>'Measured Data'!N13/('Measured Data'!H13)</f>
        <v>0</v>
      </c>
      <c r="AQ9" s="108">
        <f>IF('Measured Data'!O13&gt;0,'Measured Data'!O13,('Measured Data'!P13*$E9-'Measured Data'!P12*$J8)/1000/(('Measured Data'!$H12*$J8+'Measured Data'!$H13*$E9)*1000000*0.5*($C9-$C8))*1000000000)</f>
        <v>0</v>
      </c>
      <c r="AR9" s="108">
        <f>(L9-L8)/(('Measured Data'!$H12*$J8+'Measured Data'!$H13*$E9)*0.5*($C9-$C8))</f>
        <v>1.9990550669807563E-2</v>
      </c>
      <c r="AS9" s="108">
        <f t="shared" si="3"/>
        <v>2.0124180894227961E-2</v>
      </c>
      <c r="AT9" s="108">
        <f>('Measured Data'!$I13*$E9-'Measured Data'!$I12*$J8)/(('Measured Data'!$H12*$J8+'Measured Data'!$H13*$E9)*0.5*($C9-$C8))</f>
        <v>1.3363022442039842E-4</v>
      </c>
      <c r="AU9" s="108">
        <f>(N9-N8)*1000/(('Measured Data'!$H12*$J8+'Measured Data'!$H13*$E9)*0.5*($C9-$C8))</f>
        <v>0.94038218588691924</v>
      </c>
      <c r="AV9" s="108">
        <f>(O9-O8)*1000/(('Measured Data'!$H12*$J8+'Measured Data'!$H13*$E9)*0.5*($C9-$C8))</f>
        <v>-6.2669948208697018E-3</v>
      </c>
      <c r="AW9" s="108">
        <f>(P9-P8)*1000/(('Measured Data'!$H12*$J8+'Measured Data'!$H13*$E9)*0.5*($C9-$C8))</f>
        <v>-3.7334228611692897E-3</v>
      </c>
      <c r="AX9" s="108">
        <f>(Q9-Q8)*1000/(('Measured Data'!$H12*$J8+'Measured Data'!$H13*$E9)*0.5*($C9-$C8))</f>
        <v>-7.8169124724098143E-4</v>
      </c>
      <c r="AY9" s="108">
        <f>(R9-R8)*1000/(('Measured Data'!$H12*$J8+'Measured Data'!$H13*$E9)*0.5*($C9-$C8))</f>
        <v>-3.3119829909783807E-3</v>
      </c>
      <c r="AZ9" s="108">
        <f>(S9-S8)*1000/(('Measured Data'!$H12*$J8+'Measured Data'!$H13*$E9)*0.5*($C9-$C8))</f>
        <v>6.0809941901960305E-4</v>
      </c>
      <c r="BA9" s="507">
        <v>5.1606859714009856E-2</v>
      </c>
      <c r="BB9" s="108">
        <f>(U9-U8)*1000/(('Measured Data'!$H12*$J8+'Measured Data'!$H13*$E9)*0.5*($C9-$C8))</f>
        <v>-5.0738515842508941E-3</v>
      </c>
      <c r="BC9" s="108">
        <f>(V9-V8)*1000/(('Measured Data'!$H12*$J8+'Measured Data'!$H13*$E9)*0.5*($C9-$C8))</f>
        <v>-2.6687459264413314E-2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-6.2303114764902703E-2</v>
      </c>
      <c r="BU9" s="109">
        <f t="shared" si="9"/>
        <v>-5.6036119944033E-2</v>
      </c>
      <c r="BV9" s="109">
        <f t="shared" si="10"/>
        <v>-0.21273417631170571</v>
      </c>
      <c r="BW9" s="109">
        <f t="shared" si="11"/>
        <v>3.6485965141176135E-3</v>
      </c>
      <c r="BX9" s="108">
        <f t="shared" si="4"/>
        <v>0.37901424292562724</v>
      </c>
      <c r="BY9" s="108">
        <f t="shared" si="5"/>
        <v>0</v>
      </c>
      <c r="BZ9" s="108">
        <f t="shared" si="6"/>
        <v>-9.8317386726661876E-2</v>
      </c>
      <c r="CA9" s="108">
        <f t="shared" si="12"/>
        <v>0</v>
      </c>
      <c r="CB9" s="36"/>
    </row>
    <row r="10" spans="1:80">
      <c r="A10" s="94">
        <f>'Measured Data'!$A14</f>
        <v>7</v>
      </c>
      <c r="B10" s="500">
        <f>'Measured Data'!B14</f>
        <v>6.8604166666700621</v>
      </c>
      <c r="C10" s="500">
        <f>'Measured Data'!C14</f>
        <v>164.65000000008149</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18352.104561903609</v>
      </c>
      <c r="M10" s="102">
        <f>M9 + ('Measured Data'!P14*$E10-'Measured Data'!P13*$J9)/1000</f>
        <v>0</v>
      </c>
      <c r="N10" s="102">
        <f>N9+(-'Measured Data'!S13*'In Process Calc.'!$J9+'Measured Data'!S14*'In Process Calc.'!$E10)/1000</f>
        <v>778.13719074074072</v>
      </c>
      <c r="O10" s="102">
        <f>O9-(-'Measured Data'!U13*'In Process Calc.'!$J9+'Measured Data'!U14*'In Process Calc.'!$E10-$F9*'Measured Data'!AS14)/1000</f>
        <v>-5.288907222222222</v>
      </c>
      <c r="P10" s="102">
        <f>P9-(-'Measured Data'!V13*'In Process Calc.'!$J9+'Measured Data'!V14*'In Process Calc.'!$E10-$F9*'Measured Data'!AT14)/1000</f>
        <v>-2.7577387407407414</v>
      </c>
      <c r="Q10" s="102">
        <f>Q9-(-'Measured Data'!W13*'In Process Calc.'!$J9+'Measured Data'!W14*'In Process Calc.'!$E10-$F9*'Measured Data'!AU14)/1000</f>
        <v>0.56920181481481458</v>
      </c>
      <c r="R10" s="102">
        <f>R9-(-'Measured Data'!X13*'In Process Calc.'!$J9+'Measured Data'!X14*'In Process Calc.'!$E10-$F9*'Measured Data'!AV14)/1000</f>
        <v>-2.0984448888888889</v>
      </c>
      <c r="S10" s="102">
        <f>S9-(-'Measured Data'!Y13*'In Process Calc.'!$J9+'Measured Data'!Y14*'In Process Calc.'!$E10-$F9*'Measured Data'!AW14)/1000</f>
        <v>0.85311670370370385</v>
      </c>
      <c r="T10" s="102">
        <v>30.245775927447482</v>
      </c>
      <c r="U10" s="102">
        <f>U9-(-'Measured Data'!AA13*'In Process Calc.'!$J9+'Measured Data'!AA14*'In Process Calc.'!$E10-$G9*'Measured Data'!AY14)/1000</f>
        <v>-5.0845753333333334</v>
      </c>
      <c r="V10" s="102">
        <f>V9-(-'Measured Data'!AB13*'In Process Calc.'!$J9+'Measured Data'!AB14*'In Process Calc.'!$E10-$F9*'Measured Data'!AZ14)/1000</f>
        <v>-25.480452629629632</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18.90216104203671</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-51.223273333333339</v>
      </c>
      <c r="AN10" s="101">
        <f t="shared" si="2"/>
        <v>-56.51218055555556</v>
      </c>
      <c r="AO10" s="101">
        <f t="shared" si="7"/>
        <v>-154.50312266666668</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1.6586696872070986E-2</v>
      </c>
      <c r="AS10" s="108">
        <f t="shared" si="3"/>
        <v>1.675477257443438E-2</v>
      </c>
      <c r="AT10" s="108">
        <f>('Measured Data'!$I14*$E10-'Measured Data'!$I13*$J9)/(('Measured Data'!$H13*$J9+'Measured Data'!$H14*$E10)*0.5*($C10-$C9))</f>
        <v>1.6807570236339168E-4</v>
      </c>
      <c r="AU10" s="108">
        <f>(N10-N9)*1000/(('Measured Data'!$H13*$J9+'Measured Data'!$H14*$E10)*0.5*($C10-$C9))</f>
        <v>1.0301667916674555</v>
      </c>
      <c r="AV10" s="108">
        <f>(O10-O9)*1000/(('Measured Data'!$H13*$J9+'Measured Data'!$H14*$E10)*0.5*($C10-$C9))</f>
        <v>-7.1965243563368404E-3</v>
      </c>
      <c r="AW10" s="108">
        <f>(P10-P9)*1000/(('Measured Data'!$H13*$J9+'Measured Data'!$H14*$E10)*0.5*($C10-$C9))</f>
        <v>-2.5553611549152962E-3</v>
      </c>
      <c r="AX10" s="108">
        <f>(Q10-Q9)*1000/(('Measured Data'!$H13*$J9+'Measured Data'!$H14*$E10)*0.5*($C10-$C9))</f>
        <v>4.6552873728809199E-3</v>
      </c>
      <c r="AY10" s="108">
        <f>(R10-R9)*1000/(('Measured Data'!$H13*$J9+'Measured Data'!$H14*$E10)*0.5*($C10-$C9))</f>
        <v>-3.4165971385053265E-3</v>
      </c>
      <c r="AZ10" s="108">
        <f>(S10-S9)*1000/(('Measured Data'!$H13*$J9+'Measured Data'!$H14*$E10)*0.5*($C10-$C9))</f>
        <v>5.0150504953802306E-4</v>
      </c>
      <c r="BA10" s="507">
        <v>3.9303993792439866E-2</v>
      </c>
      <c r="BB10" s="108">
        <f>(U10-U9)*1000/(('Measured Data'!$H13*$J9+'Measured Data'!$H14*$E10)*0.5*($C10-$C9))</f>
        <v>-5.1143210577165362E-3</v>
      </c>
      <c r="BC10" s="108">
        <f>(V10-V9)*1000/(('Measured Data'!$H13*$J9+'Measured Data'!$H14*$E10)*0.5*($C10-$C9))</f>
        <v>-1.4343393760787727E-2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-3.5594522195424291E-2</v>
      </c>
      <c r="BU10" s="109">
        <f t="shared" si="9"/>
        <v>-2.839799783908745E-2</v>
      </c>
      <c r="BV10" s="109">
        <f t="shared" si="10"/>
        <v>-0.12624652285629309</v>
      </c>
      <c r="BW10" s="109">
        <f t="shared" si="11"/>
        <v>2.163017978875182E-2</v>
      </c>
      <c r="BX10" s="108">
        <f t="shared" si="4"/>
        <v>0.17191979373422511</v>
      </c>
      <c r="BY10" s="108">
        <f t="shared" si="5"/>
        <v>0</v>
      </c>
      <c r="BZ10" s="108">
        <f t="shared" si="6"/>
        <v>-0.13012217243684476</v>
      </c>
      <c r="CA10" s="108">
        <f t="shared" si="12"/>
        <v>0</v>
      </c>
      <c r="CB10" s="36"/>
    </row>
    <row r="11" spans="1:80">
      <c r="A11" s="94">
        <f>'Measured Data'!$A15</f>
        <v>8</v>
      </c>
      <c r="B11" s="500">
        <f>'Measured Data'!B15</f>
        <v>7.8763888888861402</v>
      </c>
      <c r="C11" s="500">
        <f>'Measured Data'!C15</f>
        <v>189.03333333326736</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23515.852474392137</v>
      </c>
      <c r="M11" s="102">
        <f>M10 + ('Measured Data'!P15*$E11-'Measured Data'!P14*$J10)/1000</f>
        <v>0</v>
      </c>
      <c r="N11" s="102">
        <f>N10+(-'Measured Data'!S14*'In Process Calc.'!$J10+'Measured Data'!S15*'In Process Calc.'!$E11)/1000</f>
        <v>1424.1058925925927</v>
      </c>
      <c r="O11" s="102">
        <f>O10-(-'Measured Data'!U14*'In Process Calc.'!$J10+'Measured Data'!U15*'In Process Calc.'!$E11-$F10*'Measured Data'!AS15)/1000</f>
        <v>-9.2851067777777772</v>
      </c>
      <c r="P11" s="102">
        <f>P10-(-'Measured Data'!V14*'In Process Calc.'!$J10+'Measured Data'!V15*'In Process Calc.'!$E11-$F10*'Measured Data'!AT15)/1000</f>
        <v>-2.0959375555555564</v>
      </c>
      <c r="Q11" s="102">
        <f>Q10-(-'Measured Data'!W14*'In Process Calc.'!$J10+'Measured Data'!W15*'In Process Calc.'!$E11-$F10*'Measured Data'!AU15)/1000</f>
        <v>8.9346979629629626</v>
      </c>
      <c r="R11" s="102">
        <f>R10-(-'Measured Data'!X14*'In Process Calc.'!$J10+'Measured Data'!X15*'In Process Calc.'!$E11-$F10*'Measured Data'!AV15)/1000</f>
        <v>-3.5645098888888898</v>
      </c>
      <c r="S11" s="102">
        <f>S10-(-'Measured Data'!Y14*'In Process Calc.'!$J10+'Measured Data'!Y15*'In Process Calc.'!$E11-$F10*'Measured Data'!AW15)/1000</f>
        <v>1.1783651851851853</v>
      </c>
      <c r="T11" s="102">
        <v>43.420829621683531</v>
      </c>
      <c r="U11" s="102">
        <f>U10-(-'Measured Data'!AA14*'In Process Calc.'!$J10+'Measured Data'!AA15*'In Process Calc.'!$E11-$G10*'Measured Data'!AY15)/1000</f>
        <v>-6.6868720740740741</v>
      </c>
      <c r="V11" s="102">
        <f>V10-(-'Measured Data'!AB14*'In Process Calc.'!$J10+'Measured Data'!AB15*'In Process Calc.'!$E11-$F10*'Measured Data'!AZ15)/1000</f>
        <v>-23.68069925925926</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22.377306591671598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-38.061684000000007</v>
      </c>
      <c r="AN11" s="101">
        <f t="shared" si="2"/>
        <v>-47.346790777777784</v>
      </c>
      <c r="AO11" s="101">
        <f t="shared" si="7"/>
        <v>-108.00721825925926</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9.8788492458522156E-3</v>
      </c>
      <c r="AS11" s="108">
        <f t="shared" si="3"/>
        <v>9.9429606149002946E-3</v>
      </c>
      <c r="AT11" s="108">
        <f>('Measured Data'!$I15*$E11-'Measured Data'!$I14*$J10)/(('Measured Data'!$H14*$J10+'Measured Data'!$H15*$E11)*0.5*($C11-$C10))</f>
        <v>6.4111369048079609E-5</v>
      </c>
      <c r="AU11" s="108">
        <f>(N11-N10)*1000/(('Measured Data'!$H14*$J10+'Measured Data'!$H15*$E11)*0.5*($C11-$C10))</f>
        <v>1.2358131208728869</v>
      </c>
      <c r="AV11" s="108">
        <f>(O11-O10)*1000/(('Measured Data'!$H14*$J10+'Measured Data'!$H15*$E11)*0.5*($C11-$C10))</f>
        <v>-7.6451936916203311E-3</v>
      </c>
      <c r="AW11" s="108">
        <f>(P11-P10)*1000/(('Measured Data'!$H14*$J10+'Measured Data'!$H15*$E11)*0.5*($C11-$C10))</f>
        <v>1.2661024995738097E-3</v>
      </c>
      <c r="AX11" s="108">
        <f>(Q11-Q10)*1000/(('Measured Data'!$H14*$J10+'Measured Data'!$H15*$E11)*0.5*($C11-$C10))</f>
        <v>1.6004165330078268E-2</v>
      </c>
      <c r="AY11" s="108">
        <f>(R11-R10)*1000/(('Measured Data'!$H14*$J10+'Measured Data'!$H15*$E11)*0.5*($C11-$C10))</f>
        <v>-2.8047525489370041E-3</v>
      </c>
      <c r="AZ11" s="108">
        <f>(S11-S10)*1000/(('Measured Data'!$H14*$J10+'Measured Data'!$H15*$E11)*0.5*($C11-$C10))</f>
        <v>6.222381050451888E-4</v>
      </c>
      <c r="BA11" s="507">
        <v>3.3393142088633906E-2</v>
      </c>
      <c r="BB11" s="108">
        <f>(U11-U10)*1000/(('Measured Data'!$H14*$J10+'Measured Data'!$H15*$E11)*0.5*($C11-$C10))</f>
        <v>-3.065379684902132E-3</v>
      </c>
      <c r="BC11" s="108">
        <f>(V11-V10)*1000/(('Measured Data'!$H14*$J10+'Measured Data'!$H15*$E11)*0.5*($C11-$C10))</f>
        <v>3.4431371412619914E-3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2.4557410294397355E-2</v>
      </c>
      <c r="BU11" s="109">
        <f t="shared" si="9"/>
        <v>3.2202603986017687E-2</v>
      </c>
      <c r="BV11" s="109">
        <f t="shared" si="10"/>
        <v>4.3080900959217343E-2</v>
      </c>
      <c r="BW11" s="109">
        <f t="shared" si="11"/>
        <v>9.256239065433701E-2</v>
      </c>
      <c r="BX11" s="108">
        <f t="shared" si="4"/>
        <v>9.8855764291448153E-3</v>
      </c>
      <c r="BY11" s="108">
        <f t="shared" si="5"/>
        <v>0</v>
      </c>
      <c r="BZ11" s="108">
        <f t="shared" si="6"/>
        <v>-9.1796683186201322E-2</v>
      </c>
      <c r="CA11" s="108">
        <f t="shared" si="12"/>
        <v>0</v>
      </c>
      <c r="CB11" s="36"/>
    </row>
    <row r="12" spans="1:80">
      <c r="A12" s="94">
        <f>'Measured Data'!$A16</f>
        <v>9</v>
      </c>
      <c r="B12" s="500">
        <f>'Measured Data'!B16</f>
        <v>8.8743055555532919</v>
      </c>
      <c r="C12" s="500">
        <f>'Measured Data'!C16</f>
        <v>212.98333333327901</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29557.482868931962</v>
      </c>
      <c r="M12" s="102">
        <f>M11 + ('Measured Data'!P16*$E12-'Measured Data'!P15*$J11)/1000</f>
        <v>0</v>
      </c>
      <c r="N12" s="102">
        <f>N11+(-'Measured Data'!S15*'In Process Calc.'!$J11+'Measured Data'!S16*'In Process Calc.'!$E12)/1000</f>
        <v>2265.8599163888889</v>
      </c>
      <c r="O12" s="102">
        <f>O11-(-'Measured Data'!U15*'In Process Calc.'!$J11+'Measured Data'!U16*'In Process Calc.'!$E12-$F11*'Measured Data'!AS16)/1000</f>
        <v>-12.406041250000001</v>
      </c>
      <c r="P12" s="102">
        <f>P11-(-'Measured Data'!V15*'In Process Calc.'!$J11+'Measured Data'!V16*'In Process Calc.'!$E12-$F11*'Measured Data'!AT16)/1000</f>
        <v>-1.1760944722222231</v>
      </c>
      <c r="Q12" s="102">
        <f>Q11-(-'Measured Data'!W15*'In Process Calc.'!$J11+'Measured Data'!W16*'In Process Calc.'!$E12-$F11*'Measured Data'!AU16)/1000</f>
        <v>11.163015</v>
      </c>
      <c r="R12" s="102">
        <f>R11-(-'Measured Data'!X15*'In Process Calc.'!$J11+'Measured Data'!X16*'In Process Calc.'!$E12-$F11*'Measured Data'!AV16)/1000</f>
        <v>-2.7720229444444451</v>
      </c>
      <c r="S12" s="102">
        <f>S11-(-'Measured Data'!Y15*'In Process Calc.'!$J11+'Measured Data'!Y16*'In Process Calc.'!$E12-$F11*'Measured Data'!AW16)/1000</f>
        <v>1.5112030833333334</v>
      </c>
      <c r="T12" s="102">
        <v>56.427587154105098</v>
      </c>
      <c r="U12" s="102">
        <f>U11-(-'Measured Data'!AA15*'In Process Calc.'!$J11+'Measured Data'!AA16*'In Process Calc.'!$E12-$G11*'Measured Data'!AY16)/1000</f>
        <v>-6.890430750000001</v>
      </c>
      <c r="V12" s="102">
        <f>V11-(-'Measured Data'!AB15*'In Process Calc.'!$J11+'Measured Data'!AB16*'In Process Calc.'!$E12-$F11*'Measured Data'!AZ16)/1000</f>
        <v>-17.816032222222226</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15.320631660746004</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-26.130899638888899</v>
      </c>
      <c r="AN12" s="101">
        <f t="shared" si="2"/>
        <v>-38.5369408888889</v>
      </c>
      <c r="AO12" s="101">
        <f t="shared" si="7"/>
        <v>-50.739571222222253</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9.3292274104369629E-3</v>
      </c>
      <c r="AS12" s="108">
        <f t="shared" si="3"/>
        <v>9.4532237602280769E-3</v>
      </c>
      <c r="AT12" s="108">
        <f>('Measured Data'!$I16*$E12-'Measured Data'!$I15*$J11)/(('Measured Data'!$H15*$J11+'Measured Data'!$H16*$E12)*0.5*($C12-$C11))</f>
        <v>1.2399634979111352E-4</v>
      </c>
      <c r="AU12" s="108">
        <f>(N12-N11)*1000/(('Measured Data'!$H15*$J11+'Measured Data'!$H16*$E12)*0.5*($C12-$C11))</f>
        <v>1.2998005834225068</v>
      </c>
      <c r="AV12" s="108">
        <f>(O12-O11)*1000/(('Measured Data'!$H15*$J11+'Measured Data'!$H16*$E12)*0.5*($C12-$C11))</f>
        <v>-4.8192136100789849E-3</v>
      </c>
      <c r="AW12" s="108">
        <f>(P12-P11)*1000/(('Measured Data'!$H15*$J11+'Measured Data'!$H16*$E12)*0.5*($C12-$C11))</f>
        <v>1.4203823713032366E-3</v>
      </c>
      <c r="AX12" s="108">
        <f>(Q12-Q11)*1000/(('Measured Data'!$H15*$J11+'Measured Data'!$H16*$E12)*0.5*($C12-$C11))</f>
        <v>3.4408719209068745E-3</v>
      </c>
      <c r="AY12" s="108">
        <f>(R12-R11)*1000/(('Measured Data'!$H15*$J11+'Measured Data'!$H16*$E12)*0.5*($C12-$C11))</f>
        <v>1.223724465370523E-3</v>
      </c>
      <c r="AZ12" s="108">
        <f>(S12-S11)*1000/(('Measured Data'!$H15*$J11+'Measured Data'!$H16*$E12)*0.5*($C12-$C11))</f>
        <v>5.1395405542222655E-4</v>
      </c>
      <c r="BA12" s="507">
        <v>2.9533231743167482E-2</v>
      </c>
      <c r="BB12" s="108">
        <f>(U12-U11)*1000/(('Measured Data'!$H15*$J11+'Measured Data'!$H16*$E12)*0.5*($C12-$C11))</f>
        <v>-3.1432660640688816E-4</v>
      </c>
      <c r="BC12" s="108">
        <f>(V12-V11)*1000/(('Measured Data'!$H15*$J11+'Measured Data'!$H16*$E12)*0.5*($C12-$C11))</f>
        <v>9.0559681579427953E-3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1.7909053182869478E-2</v>
      </c>
      <c r="BU12" s="109">
        <f t="shared" si="9"/>
        <v>2.2728266792948461E-2</v>
      </c>
      <c r="BV12" s="109">
        <f t="shared" si="10"/>
        <v>5.9514971032904949E-2</v>
      </c>
      <c r="BW12" s="109">
        <f t="shared" si="11"/>
        <v>7.5544244895176332E-2</v>
      </c>
      <c r="BX12" s="108">
        <f t="shared" si="4"/>
        <v>-0.32321020427967379</v>
      </c>
      <c r="BY12" s="108">
        <f t="shared" si="5"/>
        <v>0</v>
      </c>
      <c r="BZ12" s="108">
        <f t="shared" si="6"/>
        <v>-1.0643149694567635E-2</v>
      </c>
      <c r="CA12" s="108">
        <f t="shared" si="12"/>
        <v>0</v>
      </c>
      <c r="CB12" s="36"/>
    </row>
    <row r="13" spans="1:80" ht="12.75" customHeight="1">
      <c r="A13" s="94">
        <f>'Measured Data'!$A17</f>
        <v>10</v>
      </c>
      <c r="B13" s="500">
        <f>'Measured Data'!B17</f>
        <v>9.9208333333372138</v>
      </c>
      <c r="C13" s="500">
        <f>'Measured Data'!C17</f>
        <v>238.10000000009313</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30178.796459672551</v>
      </c>
      <c r="M13" s="102">
        <f>M12 + ('Measured Data'!P17*$E13-'Measured Data'!P16*$J12)/1000</f>
        <v>0</v>
      </c>
      <c r="N13" s="102">
        <f>N12+(-'Measured Data'!S16*'In Process Calc.'!$J12+'Measured Data'!S17*'In Process Calc.'!$E13)/1000</f>
        <v>2953.124275277778</v>
      </c>
      <c r="O13" s="102">
        <f>O12-(-'Measured Data'!U16*'In Process Calc.'!$J12+'Measured Data'!U17*'In Process Calc.'!$E13-$F12*'Measured Data'!AS17)/1000</f>
        <v>-13.573730222222224</v>
      </c>
      <c r="P13" s="102">
        <f>P12-(-'Measured Data'!V16*'In Process Calc.'!$J12+'Measured Data'!V17*'In Process Calc.'!$E13-$F12*'Measured Data'!AT17)/1000</f>
        <v>-0.62070363888888924</v>
      </c>
      <c r="Q13" s="102">
        <f>Q12-(-'Measured Data'!W16*'In Process Calc.'!$J12+'Measured Data'!W17*'In Process Calc.'!$E13-$F12*'Measured Data'!AU17)/1000</f>
        <v>11.163015</v>
      </c>
      <c r="R13" s="102">
        <f>R12-(-'Measured Data'!X16*'In Process Calc.'!$J12+'Measured Data'!X17*'In Process Calc.'!$E13-$F12*'Measured Data'!AV17)/1000</f>
        <v>-1.6656349722222223</v>
      </c>
      <c r="S13" s="102">
        <f>S12-(-'Measured Data'!Y16*'In Process Calc.'!$J12+'Measured Data'!Y17*'In Process Calc.'!$E13-$F12*'Measured Data'!AW17)/1000</f>
        <v>1.7163440555555556</v>
      </c>
      <c r="T13" s="102">
        <v>69.74347642302024</v>
      </c>
      <c r="U13" s="102">
        <f>U12-(-'Measured Data'!AA16*'In Process Calc.'!$J12+'Measured Data'!AA17*'In Process Calc.'!$E13-$G12*'Measured Data'!AY17)/1000</f>
        <v>-6.5160938333333345</v>
      </c>
      <c r="V13" s="102">
        <f>V12-(-'Measured Data'!AB16*'In Process Calc.'!$J12+'Measured Data'!AB17*'In Process Calc.'!$E13-$F12*'Measured Data'!AZ17)/1000</f>
        <v>-12.301161305555556</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11.715160597986976</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-17.29681061111112</v>
      </c>
      <c r="AN13" s="101">
        <f t="shared" si="2"/>
        <v>-30.870540833333344</v>
      </c>
      <c r="AO13" s="101">
        <f t="shared" si="7"/>
        <v>-8.8017224166666779</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8.1449108054569271E-4</v>
      </c>
      <c r="AS13" s="108">
        <f t="shared" si="3"/>
        <v>1.2016913337084495E-3</v>
      </c>
      <c r="AT13" s="108">
        <f>('Measured Data'!$I17*$E13-'Measured Data'!$I16*$J12)/(('Measured Data'!$H16*$J12+'Measured Data'!$H17*$E13)*0.5*($C13-$C12))</f>
        <v>3.8720025316275685E-4</v>
      </c>
      <c r="AU13" s="108">
        <f>(N13-N12)*1000/(('Measured Data'!$H16*$J12+'Measured Data'!$H17*$E13)*0.5*($C13-$C12))</f>
        <v>0.90094712015670364</v>
      </c>
      <c r="AV13" s="108">
        <f>(O13-O12)*1000/(('Measured Data'!$H16*$J12+'Measured Data'!$H17*$E13)*0.5*($C13-$C12))</f>
        <v>-1.5307443244447878E-3</v>
      </c>
      <c r="AW13" s="108">
        <f>(P13-P12)*1000/(('Measured Data'!$H16*$J12+'Measured Data'!$H17*$E13)*0.5*($C13-$C12))</f>
        <v>7.2807176071529062E-4</v>
      </c>
      <c r="AX13" s="108">
        <f>(Q13-Q12)*1000/(('Measured Data'!$H16*$J12+'Measured Data'!$H17*$E13)*0.5*($C13-$C12))</f>
        <v>0</v>
      </c>
      <c r="AY13" s="108">
        <f>(R13-R12)*1000/(('Measured Data'!$H16*$J12+'Measured Data'!$H17*$E13)*0.5*($C13-$C12))</f>
        <v>1.4503837489276525E-3</v>
      </c>
      <c r="AZ13" s="108">
        <f>(S13-S12)*1000/(('Measured Data'!$H16*$J12+'Measured Data'!$H17*$E13)*0.5*($C13-$C12))</f>
        <v>2.689229635719225E-4</v>
      </c>
      <c r="BA13" s="507">
        <v>2.4144522984423475E-2</v>
      </c>
      <c r="BB13" s="108">
        <f>(U13-U12)*1000/(('Measured Data'!$H16*$J12+'Measured Data'!$H17*$E13)*0.5*($C13-$C12))</f>
        <v>4.9072494838001363E-4</v>
      </c>
      <c r="BC13" s="108">
        <f>(V13-V12)*1000/(('Measured Data'!$H16*$J12+'Measured Data'!$H17*$E13)*0.5*($C13-$C12))</f>
        <v>7.2295427605755958E-3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1.1311842088251572E-2</v>
      </c>
      <c r="BU13" s="109">
        <f t="shared" si="9"/>
        <v>1.2842586412696359E-2</v>
      </c>
      <c r="BV13" s="109">
        <f t="shared" si="10"/>
        <v>4.5792608912877571E-2</v>
      </c>
      <c r="BW13" s="109">
        <f t="shared" si="11"/>
        <v>5.0384841886211937E-2</v>
      </c>
      <c r="BX13" s="108">
        <f t="shared" si="4"/>
        <v>-0.43541411841224298</v>
      </c>
      <c r="BY13" s="108">
        <f t="shared" si="5"/>
        <v>0</v>
      </c>
      <c r="BZ13" s="108">
        <f t="shared" si="6"/>
        <v>2.0324483059640418E-2</v>
      </c>
      <c r="CA13" s="108">
        <f t="shared" si="12"/>
        <v>0</v>
      </c>
      <c r="CB13" s="36"/>
    </row>
    <row r="14" spans="1:80">
      <c r="A14" s="94">
        <f>'Measured Data'!$A18</f>
        <v>11</v>
      </c>
      <c r="B14" s="500">
        <f>'Measured Data'!B18</f>
        <v>10.90625</v>
      </c>
      <c r="C14" s="500">
        <f>'Measured Data'!C18</f>
        <v>261.75</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28768.135541780684</v>
      </c>
      <c r="M14" s="102">
        <f>M13 + ('Measured Data'!P18*$E14-'Measured Data'!P17*$J13)/1000</f>
        <v>0</v>
      </c>
      <c r="N14" s="102">
        <f>N13+(-'Measured Data'!S17*'In Process Calc.'!$J13+'Measured Data'!S18*'In Process Calc.'!$E14)/1000</f>
        <v>3744.339647222223</v>
      </c>
      <c r="O14" s="102">
        <f>O13-(-'Measured Data'!U17*'In Process Calc.'!$J13+'Measured Data'!U18*'In Process Calc.'!$E14-$F13*'Measured Data'!AS18)/1000</f>
        <v>-11.380338611111114</v>
      </c>
      <c r="P14" s="102">
        <f>P13-(-'Measured Data'!V17*'In Process Calc.'!$J13+'Measured Data'!V18*'In Process Calc.'!$E14-$F13*'Measured Data'!AT18)/1000</f>
        <v>3.3720555555555087E-2</v>
      </c>
      <c r="Q14" s="102">
        <f>Q13-(-'Measured Data'!W17*'In Process Calc.'!$J13+'Measured Data'!W18*'In Process Calc.'!$E14-$F13*'Measured Data'!AU18)/1000</f>
        <v>11.037007222222222</v>
      </c>
      <c r="R14" s="102">
        <f>R13-(-'Measured Data'!X17*'In Process Calc.'!$J13+'Measured Data'!X18*'In Process Calc.'!$E14-$F13*'Measured Data'!AV18)/1000</f>
        <v>-1.3265433333333343</v>
      </c>
      <c r="S14" s="102">
        <f>S13-(-'Measured Data'!Y17*'In Process Calc.'!$J13+'Measured Data'!Y18*'In Process Calc.'!$E14-$F13*'Measured Data'!AW18)/1000</f>
        <v>1.8084502777777778</v>
      </c>
      <c r="T14" s="102">
        <v>85.905125900117042</v>
      </c>
      <c r="U14" s="102">
        <f>U13-(-'Measured Data'!AA17*'In Process Calc.'!$J13+'Measured Data'!AA18*'In Process Calc.'!$E14-$G13*'Measured Data'!AY18)/1000</f>
        <v>-4.7493813888888905</v>
      </c>
      <c r="V14" s="102">
        <f>V13-(-'Measured Data'!AB17*'In Process Calc.'!$J13+'Measured Data'!AB18*'In Process Calc.'!$E14-$F13*'Measured Data'!AZ18)/1000</f>
        <v>-7.5238444444444479</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8.9694654134596412</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-3.9036919444444553</v>
      </c>
      <c r="AN14" s="101">
        <f t="shared" si="2"/>
        <v>-15.284030555555569</v>
      </c>
      <c r="AO14" s="101">
        <f t="shared" si="7"/>
        <v>22.669767222222205</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-1.989800836565248E-3</v>
      </c>
      <c r="AS14" s="108">
        <f t="shared" si="3"/>
        <v>-1.8789030298561901E-3</v>
      </c>
      <c r="AT14" s="108">
        <f>('Measured Data'!$I18*$E14-'Measured Data'!$I17*$J13)/(('Measured Data'!$H17*$J13+'Measured Data'!$H18*$E14)*0.5*($C14-$C13))</f>
        <v>1.1089780670905789E-4</v>
      </c>
      <c r="AU14" s="108">
        <f>(N14-N13)*1000/(('Measured Data'!$H17*$J13+'Measured Data'!$H18*$E14)*0.5*($C14-$C13))</f>
        <v>1.1160449609330021</v>
      </c>
      <c r="AV14" s="108">
        <f>(O14-O13)*1000/(('Measured Data'!$H17*$J13+'Measured Data'!$H18*$E14)*0.5*($C14-$C13))</f>
        <v>3.0938777755510466E-3</v>
      </c>
      <c r="AW14" s="108">
        <f>(P14-P13)*1000/(('Measured Data'!$H17*$J13+'Measured Data'!$H18*$E14)*0.5*($C14-$C13))</f>
        <v>9.2309483665295087E-4</v>
      </c>
      <c r="AX14" s="108">
        <f>(Q14-Q13)*1000/(('Measured Data'!$H17*$J13+'Measured Data'!$H18*$E14)*0.5*($C14-$C13))</f>
        <v>-1.7773965270878063E-4</v>
      </c>
      <c r="AY14" s="108">
        <f>(R14-R13)*1000/(('Measured Data'!$H17*$J13+'Measured Data'!$H18*$E14)*0.5*($C14-$C13))</f>
        <v>4.7830404753944659E-4</v>
      </c>
      <c r="AZ14" s="108">
        <f>(S14-S13)*1000/(('Measured Data'!$H17*$J13+'Measured Data'!$H18*$E14)*0.5*($C14-$C13))</f>
        <v>1.2991997985209024E-4</v>
      </c>
      <c r="BA14" s="507">
        <v>3.1093867846328657E-2</v>
      </c>
      <c r="BB14" s="108">
        <f>(U14-U13)*1000/(('Measured Data'!$H17*$J13+'Measured Data'!$H18*$E14)*0.5*($C14-$C13))</f>
        <v>2.4920275704379169E-3</v>
      </c>
      <c r="BC14" s="108">
        <f>(V14-V13)*1000/(('Measured Data'!$H17*$J13+'Measured Data'!$H18*$E14)*0.5*($C14-$C13))</f>
        <v>6.7386208593501438E-3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1.8761677844362803E-2</v>
      </c>
      <c r="BU14" s="109">
        <f t="shared" si="9"/>
        <v>1.5667800068811757E-2</v>
      </c>
      <c r="BV14" s="109">
        <f t="shared" si="10"/>
        <v>6.2955221953946358E-2</v>
      </c>
      <c r="BW14" s="109">
        <f t="shared" si="11"/>
        <v>6.3666180564781474E-2</v>
      </c>
      <c r="BX14" s="108">
        <f t="shared" si="4"/>
        <v>-1.6613194600599179E-2</v>
      </c>
      <c r="BY14" s="108">
        <f t="shared" si="5"/>
        <v>0</v>
      </c>
      <c r="BZ14" s="108">
        <f t="shared" si="6"/>
        <v>8.0145306552210027E-2</v>
      </c>
      <c r="CA14" s="108">
        <f t="shared" si="12"/>
        <v>0</v>
      </c>
      <c r="CB14" s="36"/>
    </row>
    <row r="15" spans="1:80">
      <c r="A15" s="94">
        <f>'Measured Data'!$A19</f>
        <v>12</v>
      </c>
      <c r="B15" s="500">
        <f>'Measured Data'!B19</f>
        <v>11.864583333335759</v>
      </c>
      <c r="C15" s="500">
        <f>'Measured Data'!C19</f>
        <v>284.75000000005821</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28435.689399102786</v>
      </c>
      <c r="M15" s="102">
        <f>M14 + ('Measured Data'!P19*$E15-'Measured Data'!P18*$J14)/1000</f>
        <v>0</v>
      </c>
      <c r="N15" s="102">
        <f>N14+(-'Measured Data'!S18*'In Process Calc.'!$J14+'Measured Data'!S19*'In Process Calc.'!$E15)/1000</f>
        <v>4536.1062666666667</v>
      </c>
      <c r="O15" s="102">
        <f>O14-(-'Measured Data'!U18*'In Process Calc.'!$J14+'Measured Data'!U19*'In Process Calc.'!$E15-$F14*'Measured Data'!AS19)/1000</f>
        <v>-8.7425074444444455</v>
      </c>
      <c r="P15" s="102">
        <f>P14-(-'Measured Data'!V18*'In Process Calc.'!$J14+'Measured Data'!V19*'In Process Calc.'!$E15-$F14*'Measured Data'!AT19)/1000</f>
        <v>0.73322133333333284</v>
      </c>
      <c r="Q15" s="102">
        <f>Q14-(-'Measured Data'!W18*'In Process Calc.'!$J14+'Measured Data'!W19*'In Process Calc.'!$E15-$F14*'Measured Data'!AU19)/1000</f>
        <v>11.049097</v>
      </c>
      <c r="R15" s="102">
        <f>R14-(-'Measured Data'!X18*'In Process Calc.'!$J14+'Measured Data'!X19*'In Process Calc.'!$E15-$F14*'Measured Data'!AV19)/1000</f>
        <v>-0.4301398888888901</v>
      </c>
      <c r="S15" s="102">
        <f>S14-(-'Measured Data'!Y18*'In Process Calc.'!$J14+'Measured Data'!Y19*'In Process Calc.'!$E15-$F14*'Measured Data'!AW19)/1000</f>
        <v>1.7905624444444443</v>
      </c>
      <c r="T15" s="102">
        <v>103.61341164067417</v>
      </c>
      <c r="U15" s="102">
        <f>U14-(-'Measured Data'!AA18*'In Process Calc.'!$J14+'Measured Data'!AA19*'In Process Calc.'!$E15-$G14*'Measured Data'!AY19)/1000</f>
        <v>-4.4572677777777789</v>
      </c>
      <c r="V15" s="102">
        <f>V14-(-'Measured Data'!AB18*'In Process Calc.'!$J14+'Measured Data'!AB19*'In Process Calc.'!$E15-$F14*'Measured Data'!AZ19)/1000</f>
        <v>-3.1116388888888915</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6.0961244326031192</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7.4133824444444345</v>
      </c>
      <c r="AN15" s="101">
        <f t="shared" si="2"/>
        <v>-1.329125000000011</v>
      </c>
      <c r="AO15" s="101">
        <f t="shared" si="7"/>
        <v>46.001520111111105</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-4.966216774884753E-4</v>
      </c>
      <c r="AS15" s="108">
        <f t="shared" si="3"/>
        <v>8.2918680996893392E-5</v>
      </c>
      <c r="AT15" s="108">
        <f>('Measured Data'!$I19*$E15-'Measured Data'!$I18*$J14)/(('Measured Data'!$H18*$J14+'Measured Data'!$H19*$E15)*0.5*($C15-$C14))</f>
        <v>5.7954035848536869E-4</v>
      </c>
      <c r="AU15" s="108">
        <f>(N15-N14)*1000/(('Measured Data'!$H18*$J14+'Measured Data'!$H19*$E15)*0.5*($C15-$C14))</f>
        <v>1.1827734368055296</v>
      </c>
      <c r="AV15" s="108">
        <f>(O15-O14)*1000/(('Measured Data'!$H18*$J14+'Measured Data'!$H19*$E15)*0.5*($C15-$C14))</f>
        <v>3.9405003420076544E-3</v>
      </c>
      <c r="AW15" s="108">
        <f>(P15-P14)*1000/(('Measured Data'!$H18*$J14+'Measured Data'!$H19*$E15)*0.5*($C15-$C14))</f>
        <v>1.0449429398285165E-3</v>
      </c>
      <c r="AX15" s="108">
        <f>(Q15-Q14)*1000/(('Measured Data'!$H18*$J14+'Measured Data'!$H19*$E15)*0.5*($C15-$C14))</f>
        <v>1.8060205698581703E-5</v>
      </c>
      <c r="AY15" s="108">
        <f>(R15-R14)*1000/(('Measured Data'!$H18*$J14+'Measured Data'!$H19*$E15)*0.5*($C15-$C14))</f>
        <v>1.3390842158688208E-3</v>
      </c>
      <c r="AZ15" s="108">
        <f>(S15-S14)*1000/(('Measured Data'!$H18*$J14+'Measured Data'!$H19*$E15)*0.5*($C15-$C14))</f>
        <v>-2.6721578794918942E-5</v>
      </c>
      <c r="BA15" s="507">
        <v>3.4066597514338048E-2</v>
      </c>
      <c r="BB15" s="108">
        <f>(U15-U14)*1000/(('Measured Data'!$H18*$J14+'Measured Data'!$H19*$E15)*0.5*($C15-$C14))</f>
        <v>4.3637128828946106E-4</v>
      </c>
      <c r="BC15" s="108">
        <f>(V15-V14)*1000/(('Measured Data'!$H18*$J14+'Measured Data'!$H19*$E15)*0.5*($C15-$C14))</f>
        <v>6.5911335495535822E-3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1.693263127592529E-2</v>
      </c>
      <c r="BU15" s="109">
        <f t="shared" si="9"/>
        <v>1.2992130933917635E-2</v>
      </c>
      <c r="BV15" s="109">
        <f t="shared" si="10"/>
        <v>5.8496931067709375E-2</v>
      </c>
      <c r="BW15" s="109">
        <f t="shared" si="11"/>
        <v>5.8657260540478887E-2</v>
      </c>
      <c r="BX15" s="108">
        <f t="shared" si="4"/>
        <v>1.3567811579680563E-2</v>
      </c>
      <c r="BY15" s="108">
        <f t="shared" si="5"/>
        <v>0</v>
      </c>
      <c r="BZ15" s="108">
        <f t="shared" si="6"/>
        <v>1.2809359317607221E-2</v>
      </c>
      <c r="CA15" s="108">
        <f t="shared" si="12"/>
        <v>0</v>
      </c>
      <c r="CB15" s="36"/>
    </row>
    <row r="16" spans="1:80">
      <c r="A16" s="94">
        <f>'Measured Data'!$A20</f>
        <v>13</v>
      </c>
      <c r="B16" s="500">
        <f>'Measured Data'!B20</f>
        <v>12.857638888890506</v>
      </c>
      <c r="C16" s="500">
        <f>'Measured Data'!C20</f>
        <v>308.58333333337214</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28204.089122047259</v>
      </c>
      <c r="M16" s="102">
        <f>M15 + ('Measured Data'!P20*$E16-'Measured Data'!P19*$J15)/1000</f>
        <v>0</v>
      </c>
      <c r="N16" s="102">
        <f>N15+(-'Measured Data'!S19*'In Process Calc.'!$J15+'Measured Data'!S20*'In Process Calc.'!$E16)/1000</f>
        <v>5200.0721833333337</v>
      </c>
      <c r="O16" s="102">
        <f>O15-(-'Measured Data'!U19*'In Process Calc.'!$J15+'Measured Data'!U20*'In Process Calc.'!$E16-$F15*'Measured Data'!AS20)/1000</f>
        <v>-5.1722416111111125</v>
      </c>
      <c r="P16" s="102">
        <f>P15-(-'Measured Data'!V19*'In Process Calc.'!$J15+'Measured Data'!V20*'In Process Calc.'!$E16-$F15*'Measured Data'!AT20)/1000</f>
        <v>1.4727088333333325</v>
      </c>
      <c r="Q16" s="102">
        <f>Q15-(-'Measured Data'!W19*'In Process Calc.'!$J15+'Measured Data'!W20*'In Process Calc.'!$E16-$F15*'Measured Data'!AU20)/1000</f>
        <v>11.035045388888889</v>
      </c>
      <c r="R16" s="102">
        <f>R15-(-'Measured Data'!X19*'In Process Calc.'!$J15+'Measured Data'!X20*'In Process Calc.'!$E16-$F15*'Measured Data'!AV20)/1000</f>
        <v>0.62002944444444363</v>
      </c>
      <c r="S16" s="102">
        <f>S15-(-'Measured Data'!Y19*'In Process Calc.'!$J15+'Measured Data'!Y20*'In Process Calc.'!$E16-$F15*'Measured Data'!AW20)/1000</f>
        <v>1.6559491111111111</v>
      </c>
      <c r="T16" s="102">
        <v>120.05977473905473</v>
      </c>
      <c r="U16" s="102">
        <f>U15-(-'Measured Data'!AA19*'In Process Calc.'!$J15+'Measured Data'!AA20*'In Process Calc.'!$E16-$G15*'Measured Data'!AY20)/1000</f>
        <v>-4.0661893333333348</v>
      </c>
      <c r="V16" s="102">
        <f>V15-(-'Measured Data'!AB19*'In Process Calc.'!$J15+'Measured Data'!AB20*'In Process Calc.'!$E16-$F15*'Measured Data'!AZ20)/1000</f>
        <v>0.1171293888888858</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1.6682948490230904</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18.705362888888878</v>
      </c>
      <c r="AN16" s="101">
        <f t="shared" si="2"/>
        <v>13.533121277777767</v>
      </c>
      <c r="AO16" s="101">
        <f t="shared" ref="AO16:AO17" si="16">(-$O16*3+$P16*6+$Q16*4+$R16*4+S16*6+$U16*5+$V16*5+$W16*2+$X16*6+$Y16*6+$AA16*6+$AB16*6+$AC16*5+$AE16*9+AF16*5+$AG16*3+$AH16*4+AI16*11+$AJ16*9+$AK16*5)</f>
        <v>61.16367211111109</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-3.3714386992780729E-4</v>
      </c>
      <c r="AS16" s="108">
        <f t="shared" si="3"/>
        <v>1.1189336595018567E-3</v>
      </c>
      <c r="AT16" s="108">
        <f>('Measured Data'!$I20*$E16-'Measured Data'!$I19*$J15)/(('Measured Data'!$H19*$J15+'Measured Data'!$H20*$E16)*0.5*($C16-$C15))</f>
        <v>1.456077529429664E-3</v>
      </c>
      <c r="AU16" s="108">
        <f>(N16-N15)*1000/(('Measured Data'!$H19*$J15+'Measured Data'!$H20*$E16)*0.5*($C16-$C15))</f>
        <v>0.96654477918216797</v>
      </c>
      <c r="AV16" s="108">
        <f>(O16-O15)*1000/(('Measured Data'!$H19*$J15+'Measured Data'!$H20*$E16)*0.5*($C16-$C15))</f>
        <v>5.1972875638332397E-3</v>
      </c>
      <c r="AW16" s="108">
        <f>(P16-P15)*1000/(('Measured Data'!$H19*$J15+'Measured Data'!$H20*$E16)*0.5*($C16-$C15))</f>
        <v>1.0764826393254464E-3</v>
      </c>
      <c r="AX16" s="108">
        <f>(Q16-Q15)*1000/(('Measured Data'!$H19*$J15+'Measured Data'!$H20*$E16)*0.5*($C16-$C15))</f>
        <v>-2.0455133339864323E-5</v>
      </c>
      <c r="AY16" s="108">
        <f>(R16-R15)*1000/(('Measured Data'!$H19*$J15+'Measured Data'!$H20*$E16)*0.5*($C16-$C15))</f>
        <v>1.5287466734533203E-3</v>
      </c>
      <c r="AZ16" s="108">
        <f>(S16-S15)*1000/(('Measured Data'!$H19*$J15+'Measured Data'!$H20*$E16)*0.5*($C16-$C15))</f>
        <v>-1.9595857449255431E-4</v>
      </c>
      <c r="BA16" s="507">
        <v>3.6613476096878504E-2</v>
      </c>
      <c r="BB16" s="108">
        <f>(U16-U15)*1000/(('Measured Data'!$H19*$J15+'Measured Data'!$H20*$E16)*0.5*($C16-$C15))</f>
        <v>5.6929854265128955E-4</v>
      </c>
      <c r="BC16" s="108">
        <f>(V16-V15)*1000/(('Measured Data'!$H19*$J15+'Measured Data'!$H20*$E16)*0.5*($C16-$C15))</f>
        <v>4.7001646375800805E-3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1.6633857676298724E-2</v>
      </c>
      <c r="BU16" s="109">
        <f t="shared" si="9"/>
        <v>1.1436570112465485E-2</v>
      </c>
      <c r="BV16" s="109">
        <f t="shared" si="10"/>
        <v>5.3255489142107745E-2</v>
      </c>
      <c r="BW16" s="109">
        <f t="shared" si="11"/>
        <v>5.4513061122422532E-2</v>
      </c>
      <c r="BX16" s="108">
        <f t="shared" si="4"/>
        <v>-6.2450093323851992E-2</v>
      </c>
      <c r="BY16" s="108">
        <f t="shared" si="5"/>
        <v>0</v>
      </c>
      <c r="BZ16" s="108">
        <f t="shared" si="6"/>
        <v>1.5548879902714982E-2</v>
      </c>
      <c r="CA16" s="108">
        <f t="shared" si="12"/>
        <v>0</v>
      </c>
      <c r="CB16" s="36"/>
    </row>
    <row r="17" spans="1:80">
      <c r="A17" s="94">
        <f>'Measured Data'!$A21</f>
        <v>14</v>
      </c>
      <c r="B17" s="500">
        <f>'Measured Data'!B21</f>
        <v>13.872222222220444</v>
      </c>
      <c r="C17" s="500">
        <f>'Measured Data'!C21</f>
        <v>332.93333333329065</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23502.324074261476</v>
      </c>
      <c r="M17" s="102">
        <f>M16 + ('Measured Data'!P21*$E17-'Measured Data'!P20*$J16)/1000</f>
        <v>0</v>
      </c>
      <c r="N17" s="102">
        <f>N16+(-'Measured Data'!S20*'In Process Calc.'!$J16+'Measured Data'!S21*'In Process Calc.'!$E17)/1000</f>
        <v>5452.5130666666673</v>
      </c>
      <c r="O17" s="102">
        <f>O16-(-'Measured Data'!U20*'In Process Calc.'!$J16+'Measured Data'!U21*'In Process Calc.'!$E17-$F16*'Measured Data'!AS21)/1000</f>
        <v>-4.4764016666666677</v>
      </c>
      <c r="P17" s="102">
        <f>P16-(-'Measured Data'!V20*'In Process Calc.'!$J16+'Measured Data'!V21*'In Process Calc.'!$E17-$F16*'Measured Data'!AT21)/1000</f>
        <v>1.3043462222222213</v>
      </c>
      <c r="Q17" s="102">
        <f>Q16-(-'Measured Data'!W20*'In Process Calc.'!$J16+'Measured Data'!W21*'In Process Calc.'!$E17-$F16*'Measured Data'!AU21)/1000</f>
        <v>11.008195888888888</v>
      </c>
      <c r="R17" s="102">
        <f>R16-(-'Measured Data'!X20*'In Process Calc.'!$J16+'Measured Data'!X21*'In Process Calc.'!$E17-$F16*'Measured Data'!AV21)/1000</f>
        <v>-1.1877874444444463</v>
      </c>
      <c r="S17" s="102">
        <f>S16-(-'Measured Data'!Y20*'In Process Calc.'!$J16+'Measured Data'!Y21*'In Process Calc.'!$E17-$F16*'Measured Data'!AW21)/1000</f>
        <v>1.2224682222222223</v>
      </c>
      <c r="T17" s="102">
        <v>133.47772652711561</v>
      </c>
      <c r="U17" s="102">
        <f>U16-(-'Measured Data'!AA20*'In Process Calc.'!$J16+'Measured Data'!AA21*'In Process Calc.'!$E17-$G16*'Measured Data'!AY21)/1000</f>
        <v>-3.4366242222222239</v>
      </c>
      <c r="V17" s="102">
        <f>V16-(-'Measured Data'!AB20*'In Process Calc.'!$J16+'Measured Data'!AB21*'In Process Calc.'!$E17-$F16*'Measured Data'!AZ21)/1000</f>
        <v>-0.82288044444444775</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4.0621299585553583</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16.318395111111098</v>
      </c>
      <c r="AN17" s="101">
        <f t="shared" si="2"/>
        <v>11.84199344444443</v>
      </c>
      <c r="AO17" s="101">
        <f t="shared" si="16"/>
        <v>46.574202111111077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-7.3261769943526621E-3</v>
      </c>
      <c r="AS17" s="108">
        <f t="shared" si="3"/>
        <v>-2.4175193017752792E-3</v>
      </c>
      <c r="AT17" s="108">
        <f>('Measured Data'!$I21*$E17-'Measured Data'!$I20*$J16)/(('Measured Data'!$H20*$J16+'Measured Data'!$H21*$E17)*0.5*($C17-$C16))</f>
        <v>4.9086576925773829E-3</v>
      </c>
      <c r="AU17" s="108">
        <f>(N17-N16)*1000/(('Measured Data'!$H20*$J16+'Measured Data'!$H21*$E17)*0.5*($C17-$C16))</f>
        <v>0.39334730109104238</v>
      </c>
      <c r="AV17" s="108">
        <f>(O17-O16)*1000/(('Measured Data'!$H20*$J16+'Measured Data'!$H21*$E17)*0.5*($C17-$C16))</f>
        <v>1.0842410330863452E-3</v>
      </c>
      <c r="AW17" s="108">
        <f>(P17-P16)*1000/(('Measured Data'!$H20*$J16+'Measured Data'!$H21*$E17)*0.5*($C17-$C16))</f>
        <v>-2.6233856343209686E-4</v>
      </c>
      <c r="AX17" s="108">
        <f>(Q17-Q16)*1000/(('Measured Data'!$H20*$J16+'Measured Data'!$H21*$E17)*0.5*($C17-$C16))</f>
        <v>-4.1836243880904394E-5</v>
      </c>
      <c r="AY17" s="108">
        <f>(R17-R16)*1000/(('Measured Data'!$H20*$J16+'Measured Data'!$H21*$E17)*0.5*($C17-$C16))</f>
        <v>-2.8168967115056527E-3</v>
      </c>
      <c r="AZ17" s="108">
        <f>(S17-S16)*1000/(('Measured Data'!$H20*$J16+'Measured Data'!$H21*$E17)*0.5*($C17-$C16))</f>
        <v>-6.7543947504669329E-4</v>
      </c>
      <c r="BA17" s="507">
        <v>3.9810151286534236E-2</v>
      </c>
      <c r="BB17" s="108">
        <f>(U17-U16)*1000/(('Measured Data'!$H20*$J16+'Measured Data'!$H21*$E17)*0.5*($C17-$C16))</f>
        <v>9.8097318487689786E-4</v>
      </c>
      <c r="BC17" s="108">
        <f>(V17-V16)*1000/(('Measured Data'!$H20*$J16+'Measured Data'!$H21*$E17)*0.5*($C17-$C16))</f>
        <v>-1.4647006699484303E-3</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-3.0438761951508317E-3</v>
      </c>
      <c r="BU17" s="109">
        <f t="shared" si="9"/>
        <v>-4.1281172282371771E-3</v>
      </c>
      <c r="BV17" s="109">
        <f t="shared" si="10"/>
        <v>-1.6227514378517594E-2</v>
      </c>
      <c r="BW17" s="109">
        <f t="shared" si="11"/>
        <v>8.1575890236435262E-3</v>
      </c>
      <c r="BX17" s="108">
        <f t="shared" si="4"/>
        <v>0.13952379489100789</v>
      </c>
      <c r="BY17" s="108">
        <f t="shared" si="5"/>
        <v>0</v>
      </c>
      <c r="BZ17" s="108">
        <f t="shared" si="6"/>
        <v>2.464128251652014E-2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defaultRowHeight="12.75"/>
  <cols>
    <col min="10" max="10" width="19.28515625" customWidth="1"/>
    <col min="11" max="11" width="13.28515625" customWidth="1"/>
    <col min="12" max="12" width="23" bestFit="1" customWidth="1"/>
    <col min="15" max="15" width="20.85546875" bestFit="1" customWidth="1"/>
  </cols>
  <sheetData>
    <row r="1" spans="1:20" ht="75.75">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1.8750000002910383E-2</v>
      </c>
      <c r="B2" s="95">
        <f>'In Process Calc.'!C3</f>
        <v>0.45000000006984919</v>
      </c>
      <c r="C2" s="290">
        <f>'Measured Data'!H7</f>
        <v>0.26</v>
      </c>
      <c r="D2" s="252">
        <f>E2-C2</f>
        <v>2.096774193548423E-3</v>
      </c>
      <c r="E2" s="252">
        <f>C2/F2*100</f>
        <v>0.26209677419354843</v>
      </c>
      <c r="F2" s="290">
        <f>'Measured Data'!K7</f>
        <v>99.2</v>
      </c>
      <c r="G2">
        <f>$H$24/(1+$I$24*EXP(-$J$24*B2))</f>
        <v>0.33474713929727501</v>
      </c>
      <c r="H2" s="296">
        <f>G2-C2</f>
        <v>7.4747139297275E-2</v>
      </c>
      <c r="I2" s="296">
        <f>H2^2</f>
        <v>5.5871348331262326E-3</v>
      </c>
      <c r="J2">
        <v>0</v>
      </c>
      <c r="K2">
        <f>$H$24*$I$24*$J$24*(1+$I$24*EXP(-$J$24*B2))^-2*EXP(-$J$24*B2)</f>
        <v>9.5288678864901555E-3</v>
      </c>
      <c r="L2">
        <f>'In Process Calc.'!AS3</f>
        <v>0</v>
      </c>
      <c r="M2">
        <f>$N$24*$M$24/($M$24+($N$24-$M$24)*EXP(-$O$24*B2))</f>
        <v>0.26312174644284919</v>
      </c>
      <c r="N2" s="296">
        <f>M2-E2</f>
        <v>1.0249722493007596E-3</v>
      </c>
      <c r="O2" s="292">
        <f>N2^2</f>
        <v>1.0505681118366585E-6</v>
      </c>
      <c r="P2">
        <f>($N$24-$M$24)*$O$24*EXP(-$O$24*B2)/($M$24+($N$24-$M$24)*EXP(-$O$24*B2))</f>
        <v>2.6520367508222929E-2</v>
      </c>
      <c r="Q2">
        <f>P2*'Post Process Calc.'!A4*1000</f>
        <v>12.284233866871624</v>
      </c>
      <c r="R2" s="477">
        <f>AVERAGE(A2:A3)</f>
        <v>0.4493055555576575</v>
      </c>
      <c r="S2" s="477">
        <f>AVERAGE(B2:B3)</f>
        <v>10.78333333338378</v>
      </c>
      <c r="T2">
        <f>($N$24-$M$24)*$O$24*EXP(-$O$24*S2)/($M$24+($N$24-$M$24)*EXP(-$O$24*S2))</f>
        <v>2.639774849984023E-2</v>
      </c>
    </row>
    <row r="3" spans="1:20">
      <c r="A3" s="95">
        <f>'In Process Calc.'!B4</f>
        <v>0.87986111111240461</v>
      </c>
      <c r="B3" s="95">
        <f>'In Process Calc.'!C4</f>
        <v>21.116666666697711</v>
      </c>
      <c r="C3" s="290">
        <f>'Measured Data'!H8</f>
        <v>0.46319998631477349</v>
      </c>
      <c r="D3" s="252">
        <f t="shared" ref="D3:D13" si="0">E3-C3</f>
        <v>2.0470985318967738E-3</v>
      </c>
      <c r="E3" s="252">
        <f t="shared" ref="E3:E13" si="1">C3/F3*100</f>
        <v>0.46524708484667027</v>
      </c>
      <c r="F3" s="290">
        <f>'Measured Data'!K8</f>
        <v>99.55999755859375</v>
      </c>
      <c r="G3">
        <f t="shared" ref="G3:G13" si="2">$H$24/(1+$I$24*EXP(-$J$24*B3))</f>
        <v>0.59089473133626991</v>
      </c>
      <c r="H3" s="296">
        <f t="shared" ref="H3:H13" si="3">G3-C3</f>
        <v>0.12769474502149641</v>
      </c>
      <c r="I3" s="296">
        <f t="shared" ref="I3:I13" si="4">H3^2</f>
        <v>1.6305947906104984E-2</v>
      </c>
      <c r="J3">
        <v>1</v>
      </c>
      <c r="K3">
        <f t="shared" ref="K3:K13" si="5">$H$24*$I$24*$J$24*(1+$I$24*EXP(-$J$24*B3))^-2*EXP(-$J$24*B3)</f>
        <v>1.5573282202712204E-2</v>
      </c>
      <c r="L3">
        <f>'In Process Calc.'!AS4</f>
        <v>2.6834957824069076E-2</v>
      </c>
      <c r="M3">
        <f t="shared" ref="M3:M13" si="6">$N$24*$M$24/($M$24+($N$24-$M$24)*EXP(-$O$24*B3))</f>
        <v>0.45397453878320843</v>
      </c>
      <c r="N3" s="296">
        <f>M3-E3</f>
        <v>-1.1272546063461841E-2</v>
      </c>
      <c r="O3" s="292">
        <f t="shared" ref="O3:O13" si="7">N3^2</f>
        <v>1.2707029475286905E-4</v>
      </c>
      <c r="P3">
        <f t="shared" ref="P3:P13" si="8">($N$24-$M$24)*$O$24*EXP(-$O$24*B3)/($M$24+($N$24-$M$24)*EXP(-$O$24*B3))</f>
        <v>2.62375468366388E-2</v>
      </c>
      <c r="Q3">
        <f>P3*'Post Process Calc.'!A5*1000</f>
        <v>21.514788406043813</v>
      </c>
      <c r="R3" s="477">
        <f t="shared" ref="R3:R15" si="9">AVERAGE(A3:A4)</f>
        <v>1.4479166666678793</v>
      </c>
      <c r="S3" s="477">
        <f t="shared" ref="S3:S15" si="10">AVERAGE(B3:B4)</f>
        <v>34.750000000029104</v>
      </c>
      <c r="T3">
        <f t="shared" ref="T3:T16" si="11">($N$24-$M$24)*$O$24*EXP(-$O$24*S3)/($M$24+($N$24-$M$24)*EXP(-$O$24*S3))</f>
        <v>2.5950016920830748E-2</v>
      </c>
    </row>
    <row r="4" spans="1:20">
      <c r="A4" s="95">
        <f>'In Process Calc.'!B5</f>
        <v>2.015972222223354</v>
      </c>
      <c r="B4" s="95">
        <f>'In Process Calc.'!C5</f>
        <v>48.383333333360497</v>
      </c>
      <c r="C4" s="290">
        <f>'Measured Data'!H9</f>
        <v>0.81999999999999984</v>
      </c>
      <c r="D4" s="252">
        <f t="shared" si="0"/>
        <v>1.0800405268490354E-2</v>
      </c>
      <c r="E4" s="252">
        <f t="shared" si="1"/>
        <v>0.83080040526849019</v>
      </c>
      <c r="F4" s="290">
        <f>'Measured Data'!K9</f>
        <v>98.7</v>
      </c>
      <c r="G4">
        <f t="shared" si="2"/>
        <v>1.1447040172456437</v>
      </c>
      <c r="H4" s="296">
        <f t="shared" si="3"/>
        <v>0.32470401724564391</v>
      </c>
      <c r="I4" s="296">
        <f t="shared" si="4"/>
        <v>0.10543269881545941</v>
      </c>
      <c r="J4">
        <v>2</v>
      </c>
      <c r="K4">
        <f t="shared" si="5"/>
        <v>2.4945961838599581E-2</v>
      </c>
      <c r="L4">
        <f>'In Process Calc.'!AS5</f>
        <v>2.062754228994701E-2</v>
      </c>
      <c r="M4">
        <f t="shared" si="6"/>
        <v>0.92065329127926943</v>
      </c>
      <c r="N4" s="296">
        <f t="shared" ref="N4:N13" si="12">M4-E4</f>
        <v>8.9852886010779232E-2</v>
      </c>
      <c r="O4" s="292">
        <f t="shared" si="7"/>
        <v>8.0735411244660868E-3</v>
      </c>
      <c r="P4">
        <f t="shared" si="8"/>
        <v>2.5545985573235321E-2</v>
      </c>
      <c r="Q4">
        <f>P4*'Post Process Calc.'!A6*1000</f>
        <v>37.340565733477725</v>
      </c>
      <c r="R4" s="477">
        <f t="shared" si="9"/>
        <v>2.484722222223354</v>
      </c>
      <c r="S4" s="477">
        <f t="shared" si="10"/>
        <v>59.633333333360497</v>
      </c>
      <c r="T4">
        <f t="shared" si="11"/>
        <v>2.5096138703402583E-2</v>
      </c>
    </row>
    <row r="5" spans="1:20">
      <c r="A5" s="95">
        <f>'In Process Calc.'!B6</f>
        <v>2.953472222223354</v>
      </c>
      <c r="B5" s="95">
        <f>'In Process Calc.'!C6</f>
        <v>70.883333333360497</v>
      </c>
      <c r="C5" s="290">
        <f>'Measured Data'!H10</f>
        <v>1.4616999460220337</v>
      </c>
      <c r="D5" s="252">
        <f t="shared" si="0"/>
        <v>1.0747341887436646E-2</v>
      </c>
      <c r="E5" s="252">
        <f t="shared" si="1"/>
        <v>1.4724472879094703</v>
      </c>
      <c r="F5" s="290">
        <f>'Measured Data'!K10</f>
        <v>99.270103454589844</v>
      </c>
      <c r="G5">
        <f t="shared" si="2"/>
        <v>1.7671543369967064</v>
      </c>
      <c r="H5" s="296">
        <f t="shared" si="3"/>
        <v>0.30545439097467275</v>
      </c>
      <c r="I5" s="296">
        <f t="shared" si="4"/>
        <v>9.3302384965708238E-2</v>
      </c>
      <c r="J5">
        <v>3</v>
      </c>
      <c r="K5">
        <f t="shared" si="5"/>
        <v>2.9447910532992155E-2</v>
      </c>
      <c r="L5">
        <f>'In Process Calc.'!AS6</f>
        <v>2.4361174541124284E-2</v>
      </c>
      <c r="M5">
        <f t="shared" si="6"/>
        <v>1.6184804611919212</v>
      </c>
      <c r="N5" s="296">
        <f t="shared" si="12"/>
        <v>0.14603317328245091</v>
      </c>
      <c r="O5" s="292">
        <f t="shared" si="7"/>
        <v>2.1325687698942334E-2</v>
      </c>
      <c r="P5">
        <f t="shared" si="8"/>
        <v>2.4511890413168775E-2</v>
      </c>
      <c r="Q5">
        <f>P5*'Post Process Calc.'!A7*1000</f>
        <v>67.040020223913345</v>
      </c>
      <c r="R5" s="477">
        <f t="shared" si="9"/>
        <v>3.4635416666678793</v>
      </c>
      <c r="S5" s="477">
        <f t="shared" si="10"/>
        <v>83.125000000029104</v>
      </c>
      <c r="T5">
        <f t="shared" si="11"/>
        <v>2.3688154565311054E-2</v>
      </c>
    </row>
    <row r="6" spans="1:20">
      <c r="A6" s="95">
        <f>'In Process Calc.'!B7</f>
        <v>3.9736111111124046</v>
      </c>
      <c r="B6" s="95">
        <f>'In Process Calc.'!C7</f>
        <v>95.366666666697711</v>
      </c>
      <c r="C6" s="290">
        <f>'Measured Data'!H11</f>
        <v>2.7349999977111819</v>
      </c>
      <c r="D6" s="252">
        <f t="shared" si="0"/>
        <v>3.0707600483526498E-2</v>
      </c>
      <c r="E6" s="252">
        <f t="shared" si="1"/>
        <v>2.7657075981947083</v>
      </c>
      <c r="F6" s="290">
        <f>'Measured Data'!K11</f>
        <v>98.889701843261719</v>
      </c>
      <c r="G6">
        <f t="shared" si="2"/>
        <v>2.4722898353850731</v>
      </c>
      <c r="H6" s="296">
        <f t="shared" si="3"/>
        <v>-0.26271016232610878</v>
      </c>
      <c r="I6" s="296">
        <f t="shared" si="4"/>
        <v>6.9016629389410417E-2</v>
      </c>
      <c r="J6">
        <v>4</v>
      </c>
      <c r="K6">
        <f t="shared" si="5"/>
        <v>2.6834977786166322E-2</v>
      </c>
      <c r="L6">
        <f>'In Process Calc.'!AS7</f>
        <v>2.4872307264792629E-2</v>
      </c>
      <c r="M6">
        <f t="shared" si="6"/>
        <v>2.8878112626714771</v>
      </c>
      <c r="N6" s="296">
        <f t="shared" si="12"/>
        <v>0.12210366447676879</v>
      </c>
      <c r="O6" s="292">
        <f t="shared" si="7"/>
        <v>1.4909304878655329E-2</v>
      </c>
      <c r="P6">
        <f t="shared" si="8"/>
        <v>2.2630896243082663E-2</v>
      </c>
      <c r="Q6">
        <f>P6*'Post Process Calc.'!A8*1000</f>
        <v>91.521610863521303</v>
      </c>
      <c r="R6" s="477">
        <f t="shared" si="9"/>
        <v>4.3993055555583851</v>
      </c>
      <c r="S6" s="477">
        <f t="shared" si="10"/>
        <v>105.58333333340124</v>
      </c>
      <c r="T6">
        <f t="shared" si="11"/>
        <v>2.1546625104600588E-2</v>
      </c>
    </row>
    <row r="7" spans="1:20">
      <c r="A7" s="95">
        <f>'In Process Calc.'!B8</f>
        <v>4.8250000000043656</v>
      </c>
      <c r="B7" s="95">
        <f>'In Process Calc.'!C8</f>
        <v>115.80000000010477</v>
      </c>
      <c r="C7" s="290">
        <f>'Measured Data'!H12</f>
        <v>4.0441001487731931</v>
      </c>
      <c r="D7" s="252">
        <f t="shared" si="0"/>
        <v>3.0194454565775963E-2</v>
      </c>
      <c r="E7" s="252">
        <f t="shared" si="1"/>
        <v>4.0742946033389691</v>
      </c>
      <c r="F7" s="290">
        <f>'Measured Data'!K12</f>
        <v>99.258903503417969</v>
      </c>
      <c r="G7">
        <f t="shared" si="2"/>
        <v>2.9571462962006612</v>
      </c>
      <c r="H7" s="296">
        <f t="shared" si="3"/>
        <v>-1.086953852572532</v>
      </c>
      <c r="I7" s="296">
        <f t="shared" si="4"/>
        <v>1.1814686776222696</v>
      </c>
      <c r="J7">
        <v>5</v>
      </c>
      <c r="K7">
        <f t="shared" si="5"/>
        <v>2.0284510965629495E-2</v>
      </c>
      <c r="L7">
        <f>'In Process Calc.'!AS8</f>
        <v>1.9186203612854853E-2</v>
      </c>
      <c r="M7">
        <f t="shared" si="6"/>
        <v>4.4821628769554982</v>
      </c>
      <c r="N7" s="296">
        <f t="shared" si="12"/>
        <v>0.40786827361652911</v>
      </c>
      <c r="O7" s="292">
        <f t="shared" si="7"/>
        <v>0.16635652862292785</v>
      </c>
      <c r="P7">
        <f t="shared" si="8"/>
        <v>2.0268260681068424E-2</v>
      </c>
      <c r="Q7">
        <f>P7*'Post Process Calc.'!A9*1000</f>
        <v>136.3385125716936</v>
      </c>
      <c r="R7" s="477">
        <f t="shared" si="9"/>
        <v>5.3500000000021828</v>
      </c>
      <c r="S7" s="477">
        <f t="shared" si="10"/>
        <v>128.40000000005239</v>
      </c>
      <c r="T7">
        <f t="shared" si="11"/>
        <v>1.8431940847904265E-2</v>
      </c>
    </row>
    <row r="8" spans="1:20">
      <c r="A8" s="95">
        <f>'In Process Calc.'!B9</f>
        <v>5.875</v>
      </c>
      <c r="B8" s="95">
        <f>'In Process Calc.'!C9</f>
        <v>141</v>
      </c>
      <c r="C8" s="290">
        <f>'Measured Data'!H13</f>
        <v>6.7267001701354987</v>
      </c>
      <c r="D8" s="252">
        <f t="shared" si="0"/>
        <v>4.8107793918330088E-2</v>
      </c>
      <c r="E8" s="252">
        <f t="shared" si="1"/>
        <v>6.7748079640538288</v>
      </c>
      <c r="F8" s="290">
        <f>'Measured Data'!K13</f>
        <v>99.289901733398438</v>
      </c>
      <c r="G8">
        <f t="shared" si="2"/>
        <v>3.359125905902915</v>
      </c>
      <c r="H8" s="296">
        <f t="shared" si="3"/>
        <v>-3.3675742642325837</v>
      </c>
      <c r="I8" s="296">
        <f t="shared" si="4"/>
        <v>11.340556425121628</v>
      </c>
      <c r="J8">
        <v>6</v>
      </c>
      <c r="K8">
        <f t="shared" si="5"/>
        <v>1.1916539881766537E-2</v>
      </c>
      <c r="L8">
        <f>'In Process Calc.'!AS9</f>
        <v>2.0124180894227961E-2</v>
      </c>
      <c r="M8">
        <f t="shared" si="6"/>
        <v>7.1246659960472165</v>
      </c>
      <c r="N8" s="296">
        <f t="shared" si="12"/>
        <v>0.34985803199338772</v>
      </c>
      <c r="O8" s="292">
        <f t="shared" si="7"/>
        <v>0.12240064255028631</v>
      </c>
      <c r="P8">
        <f t="shared" si="8"/>
        <v>1.6352391818789065E-2</v>
      </c>
      <c r="Q8">
        <f>P8*'Post Process Calc.'!A10*1000</f>
        <v>162.63597605116539</v>
      </c>
      <c r="R8" s="477">
        <f t="shared" si="9"/>
        <v>6.3677083333350311</v>
      </c>
      <c r="S8" s="477">
        <f t="shared" si="10"/>
        <v>152.82500000004075</v>
      </c>
      <c r="T8">
        <f t="shared" si="11"/>
        <v>1.4256699941642798E-2</v>
      </c>
    </row>
    <row r="9" spans="1:20">
      <c r="A9" s="95">
        <f>'In Process Calc.'!B10</f>
        <v>6.8604166666700621</v>
      </c>
      <c r="B9" s="95">
        <f>'In Process Calc.'!C10</f>
        <v>164.65000000008149</v>
      </c>
      <c r="C9" s="290">
        <f>'Measured Data'!H14</f>
        <v>9.945699555969238</v>
      </c>
      <c r="D9" s="252">
        <f t="shared" si="0"/>
        <v>8.0853773553254626E-2</v>
      </c>
      <c r="E9" s="252">
        <f t="shared" si="1"/>
        <v>10.026553329522493</v>
      </c>
      <c r="F9" s="290">
        <f>'Measured Data'!K14</f>
        <v>99.193603515625</v>
      </c>
      <c r="G9">
        <f t="shared" si="2"/>
        <v>3.5709682411085821</v>
      </c>
      <c r="H9" s="296">
        <f t="shared" si="3"/>
        <v>-6.3747313148606555</v>
      </c>
      <c r="I9" s="296">
        <f t="shared" si="4"/>
        <v>40.637199336665063</v>
      </c>
      <c r="J9">
        <v>7</v>
      </c>
      <c r="K9">
        <f t="shared" si="5"/>
        <v>6.4352709949047279E-3</v>
      </c>
      <c r="L9">
        <f>'In Process Calc.'!AS10</f>
        <v>1.675477257443438E-2</v>
      </c>
      <c r="M9">
        <f t="shared" si="6"/>
        <v>9.979929171209017</v>
      </c>
      <c r="N9" s="296">
        <f t="shared" si="12"/>
        <v>-4.6624158313475661E-2</v>
      </c>
      <c r="O9" s="292">
        <f t="shared" si="7"/>
        <v>2.1738121384400418E-3</v>
      </c>
      <c r="P9">
        <f t="shared" si="8"/>
        <v>1.2121238379291103E-2</v>
      </c>
      <c r="Q9">
        <f>P9*'Post Process Calc.'!A11*1000</f>
        <v>151.55911601434883</v>
      </c>
      <c r="R9" s="477">
        <f t="shared" si="9"/>
        <v>7.3684027777781012</v>
      </c>
      <c r="S9" s="477">
        <f t="shared" si="10"/>
        <v>176.84166666667443</v>
      </c>
      <c r="T9">
        <f t="shared" si="11"/>
        <v>9.9894961211078673E-3</v>
      </c>
    </row>
    <row r="10" spans="1:20">
      <c r="A10" s="95">
        <f>'In Process Calc.'!B11</f>
        <v>7.8763888888861402</v>
      </c>
      <c r="B10" s="95">
        <f>'In Process Calc.'!C11</f>
        <v>189.03333333326736</v>
      </c>
      <c r="C10" s="290">
        <f>'Measured Data'!H15</f>
        <v>12.503599984741211</v>
      </c>
      <c r="D10" s="252">
        <f t="shared" si="0"/>
        <v>9.7240433242664182E-2</v>
      </c>
      <c r="E10" s="252">
        <f t="shared" si="1"/>
        <v>12.600840417983875</v>
      </c>
      <c r="F10" s="290">
        <f>'Measured Data'!K15</f>
        <v>99.228302001953125</v>
      </c>
      <c r="G10">
        <f t="shared" si="2"/>
        <v>3.6842979979677515</v>
      </c>
      <c r="H10" s="296">
        <f t="shared" si="3"/>
        <v>-8.8193019867734588</v>
      </c>
      <c r="I10" s="296">
        <f t="shared" si="4"/>
        <v>77.780087533906283</v>
      </c>
      <c r="J10">
        <v>8</v>
      </c>
      <c r="K10">
        <f t="shared" si="5"/>
        <v>3.1993175777603479E-3</v>
      </c>
      <c r="L10">
        <f>'In Process Calc.'!AS11</f>
        <v>9.9429606149002946E-3</v>
      </c>
      <c r="M10">
        <f t="shared" si="6"/>
        <v>12.741369068235198</v>
      </c>
      <c r="N10" s="296">
        <f t="shared" si="12"/>
        <v>0.14052865025132277</v>
      </c>
      <c r="O10" s="292">
        <f t="shared" si="7"/>
        <v>1.97483015414586E-2</v>
      </c>
      <c r="P10">
        <f t="shared" si="8"/>
        <v>8.029119649252462E-3</v>
      </c>
      <c r="Q10">
        <f>P10*'Post Process Calc.'!A12*1000</f>
        <v>125.78659462503072</v>
      </c>
      <c r="R10" s="477">
        <f t="shared" si="9"/>
        <v>8.3753472222197161</v>
      </c>
      <c r="S10" s="477">
        <f t="shared" si="10"/>
        <v>201.00833333327319</v>
      </c>
      <c r="T10">
        <f t="shared" si="11"/>
        <v>6.3381982350687559E-3</v>
      </c>
    </row>
    <row r="11" spans="1:20">
      <c r="A11" s="95">
        <f>'In Process Calc.'!B12</f>
        <v>8.8743055555532919</v>
      </c>
      <c r="B11" s="95">
        <f>'In Process Calc.'!C12</f>
        <v>212.98333333327901</v>
      </c>
      <c r="C11" s="290">
        <f>'Measured Data'!H16</f>
        <v>15.666299684143066</v>
      </c>
      <c r="D11" s="252">
        <f t="shared" si="0"/>
        <v>0.13919889284012044</v>
      </c>
      <c r="E11" s="252">
        <f t="shared" si="1"/>
        <v>15.805498576983187</v>
      </c>
      <c r="F11" s="290">
        <f>'Measured Data'!K16</f>
        <v>99.119300842285156</v>
      </c>
      <c r="G11">
        <f t="shared" si="2"/>
        <v>3.7390572556805162</v>
      </c>
      <c r="H11" s="296">
        <f t="shared" si="3"/>
        <v>-11.92724242846255</v>
      </c>
      <c r="I11" s="296">
        <f t="shared" si="4"/>
        <v>142.25911194731725</v>
      </c>
      <c r="J11">
        <v>9</v>
      </c>
      <c r="K11">
        <f t="shared" si="5"/>
        <v>1.5599160638420622E-3</v>
      </c>
      <c r="L11">
        <f>'In Process Calc.'!AS12</f>
        <v>9.4532237602280769E-3</v>
      </c>
      <c r="M11">
        <f t="shared" si="6"/>
        <v>14.845695238494136</v>
      </c>
      <c r="N11" s="296">
        <f t="shared" si="12"/>
        <v>-0.95980333848905097</v>
      </c>
      <c r="O11" s="292">
        <f t="shared" si="7"/>
        <v>0.92122244857472779</v>
      </c>
      <c r="P11">
        <f t="shared" si="8"/>
        <v>4.910763698539748E-3</v>
      </c>
      <c r="Q11">
        <f>P11*'Post Process Calc.'!A13*1000</f>
        <v>80.884203338968192</v>
      </c>
      <c r="R11" s="477">
        <f t="shared" si="9"/>
        <v>9.3975694444452529</v>
      </c>
      <c r="S11" s="477">
        <f t="shared" si="10"/>
        <v>225.54166666668607</v>
      </c>
      <c r="T11">
        <f t="shared" si="11"/>
        <v>3.695927174746266E-3</v>
      </c>
    </row>
    <row r="12" spans="1:20">
      <c r="A12" s="95">
        <f>'In Process Calc.'!B13</f>
        <v>9.9208333333372138</v>
      </c>
      <c r="B12" s="95">
        <f>'In Process Calc.'!C13</f>
        <v>238.10000000009313</v>
      </c>
      <c r="C12" s="290">
        <f>'Measured Data'!H17</f>
        <v>16.470799310302734</v>
      </c>
      <c r="D12" s="252">
        <f t="shared" si="0"/>
        <v>0.30194314722507087</v>
      </c>
      <c r="E12" s="252">
        <f t="shared" si="1"/>
        <v>16.772742457527805</v>
      </c>
      <c r="F12" s="290">
        <f>'Measured Data'!K17</f>
        <v>98.199798583984375</v>
      </c>
      <c r="G12">
        <f t="shared" si="2"/>
        <v>3.7664103214224061</v>
      </c>
      <c r="H12" s="296">
        <f t="shared" si="3"/>
        <v>-12.704388988880329</v>
      </c>
      <c r="I12" s="296">
        <f t="shared" si="4"/>
        <v>161.40149958078374</v>
      </c>
      <c r="J12">
        <v>9</v>
      </c>
      <c r="K12">
        <f t="shared" si="5"/>
        <v>7.2250520186335125E-4</v>
      </c>
      <c r="L12">
        <f>'In Process Calc.'!AS13</f>
        <v>1.2016913337084495E-3</v>
      </c>
      <c r="M12">
        <f t="shared" si="6"/>
        <v>16.307779021724748</v>
      </c>
      <c r="N12" s="296">
        <f t="shared" si="12"/>
        <v>-0.46496343580305677</v>
      </c>
      <c r="O12" s="292">
        <f t="shared" si="7"/>
        <v>0.2161909966337833</v>
      </c>
      <c r="P12">
        <f t="shared" si="8"/>
        <v>2.7441330068173207E-3</v>
      </c>
      <c r="Q12">
        <f>P12*'Post Process Calc.'!A14*1000</f>
        <v>43.346872876913324</v>
      </c>
      <c r="R12" s="477">
        <f t="shared" si="9"/>
        <v>10.413541666668607</v>
      </c>
      <c r="S12" s="477">
        <f t="shared" si="10"/>
        <v>249.92500000004657</v>
      </c>
      <c r="T12">
        <f t="shared" si="11"/>
        <v>2.0532785072087762E-3</v>
      </c>
    </row>
    <row r="13" spans="1:20">
      <c r="A13" s="95">
        <f>'In Process Calc.'!B14</f>
        <v>10.90625</v>
      </c>
      <c r="B13" s="95">
        <f>'In Process Calc.'!C14</f>
        <v>261.75</v>
      </c>
      <c r="C13" s="290">
        <f>'Measured Data'!H18</f>
        <v>15.796199662780761</v>
      </c>
      <c r="D13" s="252">
        <f t="shared" si="0"/>
        <v>0.34595935503624275</v>
      </c>
      <c r="E13" s="252">
        <f t="shared" si="1"/>
        <v>16.142159017817004</v>
      </c>
      <c r="F13" s="290">
        <f>'Measured Data'!K18</f>
        <v>97.856796264648438</v>
      </c>
      <c r="G13">
        <f t="shared" si="2"/>
        <v>3.7785313438541572</v>
      </c>
      <c r="H13" s="296">
        <f t="shared" si="3"/>
        <v>-12.017668318926605</v>
      </c>
      <c r="I13" s="296">
        <f t="shared" si="4"/>
        <v>144.4243518237322</v>
      </c>
      <c r="J13">
        <v>9</v>
      </c>
      <c r="K13">
        <f t="shared" si="5"/>
        <v>3.474793754994663E-4</v>
      </c>
      <c r="L13">
        <f>'In Process Calc.'!AS14</f>
        <v>-1.8789030298561901E-3</v>
      </c>
      <c r="M13">
        <f t="shared" si="6"/>
        <v>17.130221507064192</v>
      </c>
      <c r="N13" s="296">
        <f t="shared" si="12"/>
        <v>0.98806248924718787</v>
      </c>
      <c r="O13" s="292">
        <f t="shared" si="7"/>
        <v>0.97626748265734919</v>
      </c>
      <c r="P13">
        <f t="shared" si="8"/>
        <v>1.5253730757170826E-3</v>
      </c>
      <c r="Q13">
        <f>P13*'Post Process Calc.'!A15*1000</f>
        <v>24.412071509103161</v>
      </c>
      <c r="R13" s="477">
        <f t="shared" si="9"/>
        <v>11.385416666667879</v>
      </c>
      <c r="S13" s="477">
        <f t="shared" si="10"/>
        <v>273.2500000000291</v>
      </c>
      <c r="T13">
        <f t="shared" si="11"/>
        <v>1.1365221248339484E-3</v>
      </c>
    </row>
    <row r="14" spans="1:20">
      <c r="A14" s="95">
        <f>'In Process Calc.'!B15</f>
        <v>11.864583333335759</v>
      </c>
      <c r="B14" s="95">
        <f>'In Process Calc.'!C15</f>
        <v>284.75000000005821</v>
      </c>
      <c r="C14" s="290">
        <f>'Measured Data'!H19</f>
        <v>16.004000527954101</v>
      </c>
      <c r="D14" s="252">
        <f t="shared" ref="D14" si="13">E14-C14</f>
        <v>0.569086624144024</v>
      </c>
      <c r="E14" s="252">
        <f t="shared" ref="E14" si="14">C14/F14*100</f>
        <v>16.573087152098125</v>
      </c>
      <c r="F14" s="290">
        <f>'Measured Data'!K19</f>
        <v>96.566200256347656</v>
      </c>
      <c r="G14">
        <f t="shared" ref="G14" si="15">$H$24/(1+$I$24*EXP(-$J$24*B14))</f>
        <v>3.7842416748047407</v>
      </c>
      <c r="H14" s="296">
        <f t="shared" ref="H14" si="16">G14-C14</f>
        <v>-12.219758853149361</v>
      </c>
      <c r="I14" s="296">
        <f t="shared" ref="I14" si="17">H14^2</f>
        <v>149.3225064291222</v>
      </c>
      <c r="J14">
        <v>10</v>
      </c>
      <c r="K14">
        <f t="shared" ref="K14" si="18">$H$24*$I$24*$J$24*(1+$I$24*EXP(-$J$24*B14))^-2*EXP(-$J$24*B14)</f>
        <v>1.6996214402955492E-4</v>
      </c>
      <c r="L14">
        <f>'In Process Calc.'!AS15</f>
        <v>8.2918680996893392E-5</v>
      </c>
      <c r="M14">
        <f t="shared" ref="M14" si="19">$N$24*$M$24/($M$24+($N$24-$M$24)*EXP(-$O$24*B14))</f>
        <v>17.590359820200682</v>
      </c>
      <c r="N14" s="296">
        <f t="shared" ref="N14" si="20">M14-E14</f>
        <v>1.0172726681025566</v>
      </c>
      <c r="O14" s="292">
        <f t="shared" ref="O14" si="21">N14^2</f>
        <v>1.0348436812684942</v>
      </c>
      <c r="P14">
        <f t="shared" ref="P14" si="22">($N$24-$M$24)*$O$24*EXP(-$O$24*B14)/($M$24+($N$24-$M$24)*EXP(-$O$24*B14))</f>
        <v>8.4350394953332426E-4</v>
      </c>
      <c r="Q14">
        <f>P14*'Post Process Calc.'!A16*1000</f>
        <v>13.434740723115771</v>
      </c>
      <c r="R14" s="477">
        <f t="shared" si="9"/>
        <v>12.361111111113132</v>
      </c>
      <c r="S14" s="477">
        <f t="shared" si="10"/>
        <v>296.66666666671517</v>
      </c>
      <c r="T14">
        <f t="shared" si="11"/>
        <v>6.1740195207724935E-4</v>
      </c>
    </row>
    <row r="15" spans="1:20">
      <c r="A15" s="95">
        <f>'In Process Calc.'!B16</f>
        <v>12.857638888890506</v>
      </c>
      <c r="B15" s="95">
        <f>'In Process Calc.'!C16</f>
        <v>308.58333333337214</v>
      </c>
      <c r="C15" s="290">
        <f>'Measured Data'!H20</f>
        <v>15.927300317382812</v>
      </c>
      <c r="D15" s="252">
        <f t="shared" ref="D15:D16" si="23">E15-C15</f>
        <v>1.1258860445321801</v>
      </c>
      <c r="E15" s="252">
        <f t="shared" ref="E15:E16" si="24">C15/F15*100</f>
        <v>17.053186361914992</v>
      </c>
      <c r="F15" s="290">
        <f>'Measured Data'!K20</f>
        <v>93.397796630859375</v>
      </c>
      <c r="G15">
        <f t="shared" ref="G15:G16" si="25">$H$24/(1+$I$24*EXP(-$J$24*B15))</f>
        <v>3.7871008837115094</v>
      </c>
      <c r="H15" s="296">
        <f t="shared" ref="H15:H16" si="26">G15-C15</f>
        <v>-12.140199433671302</v>
      </c>
      <c r="I15" s="296">
        <f t="shared" ref="I15:I16" si="27">H15^2</f>
        <v>147.384442289313</v>
      </c>
      <c r="J15">
        <v>11</v>
      </c>
      <c r="K15">
        <f t="shared" ref="K15:K16" si="28">$H$24*$I$24*$J$24*(1+$I$24*EXP(-$J$24*B15))^-2*EXP(-$J$24*B15)</f>
        <v>8.0875953132556903E-5</v>
      </c>
      <c r="L15">
        <f>'In Process Calc.'!AS16</f>
        <v>1.1189336595018567E-3</v>
      </c>
      <c r="M15">
        <f t="shared" ref="M15:M16" si="29">$N$24*$M$24/($M$24+($N$24-$M$24)*EXP(-$O$24*B15))</f>
        <v>17.855324453128624</v>
      </c>
      <c r="N15" s="296">
        <f t="shared" ref="N15:N16" si="30">M15-E15</f>
        <v>0.80213809121363155</v>
      </c>
      <c r="O15" s="292">
        <f t="shared" ref="O15:O16" si="31">N15^2</f>
        <v>0.6434255173758483</v>
      </c>
      <c r="P15">
        <f t="shared" ref="P15:P16" si="32">($N$24-$M$24)*$O$24*EXP(-$O$24*B15)/($M$24+($N$24-$M$24)*EXP(-$O$24*B15))</f>
        <v>4.5085852626342119E-4</v>
      </c>
      <c r="Q15">
        <f>P15*'Post Process Calc.'!A17*1000</f>
        <v>6.0120633924237632</v>
      </c>
      <c r="R15" s="477">
        <f t="shared" si="9"/>
        <v>13.364930555555475</v>
      </c>
      <c r="S15" s="477">
        <f t="shared" si="10"/>
        <v>320.75833333333139</v>
      </c>
      <c r="T15">
        <f t="shared" si="11"/>
        <v>3.264290265521532E-4</v>
      </c>
    </row>
    <row r="16" spans="1:20">
      <c r="A16" s="95">
        <f>'In Process Calc.'!B17</f>
        <v>13.872222222220444</v>
      </c>
      <c r="B16" s="95">
        <f>'In Process Calc.'!C17</f>
        <v>332.93333333329065</v>
      </c>
      <c r="C16" s="290">
        <f>'Measured Data'!H21</f>
        <v>13.334700448608398</v>
      </c>
      <c r="D16" s="252">
        <f t="shared" si="23"/>
        <v>2.8771689708698567</v>
      </c>
      <c r="E16" s="252">
        <f t="shared" si="24"/>
        <v>16.211869419478255</v>
      </c>
      <c r="F16" s="290">
        <f>'Measured Data'!K21</f>
        <v>82.252700805664063</v>
      </c>
      <c r="G16">
        <f t="shared" si="25"/>
        <v>3.7884805989784804</v>
      </c>
      <c r="H16" s="296">
        <f t="shared" si="26"/>
        <v>-9.5462198496299173</v>
      </c>
      <c r="I16" s="296">
        <f t="shared" si="27"/>
        <v>91.130313417468244</v>
      </c>
      <c r="J16">
        <v>12</v>
      </c>
      <c r="K16">
        <f t="shared" si="28"/>
        <v>3.7839099977840481E-5</v>
      </c>
      <c r="L16">
        <f>'In Process Calc.'!AS17</f>
        <v>-2.4175193017752792E-3</v>
      </c>
      <c r="M16">
        <f t="shared" si="29"/>
        <v>18.00029236735109</v>
      </c>
      <c r="N16" s="296">
        <f t="shared" si="30"/>
        <v>1.7884229478728351</v>
      </c>
      <c r="O16" s="292">
        <f t="shared" si="31"/>
        <v>3.1984566404781614</v>
      </c>
      <c r="P16">
        <f t="shared" si="32"/>
        <v>2.3603367431453538E-4</v>
      </c>
      <c r="Q16">
        <f>P16*'Post Process Calc.'!A18*1000</f>
        <v>0</v>
      </c>
      <c r="T16">
        <f t="shared" si="11"/>
        <v>2.652499355751807E-2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967.1455951221285</v>
      </c>
      <c r="H24">
        <v>3.7896928499098297</v>
      </c>
      <c r="I24">
        <v>10.467103523431467</v>
      </c>
      <c r="J24">
        <v>3.1223904954928154E-2</v>
      </c>
      <c r="L24" s="292">
        <f>SUM(O2:O13)</f>
        <v>2.4687968672839018</v>
      </c>
      <c r="M24">
        <f>C2</f>
        <v>0.26</v>
      </c>
      <c r="N24">
        <v>18.159572400090436</v>
      </c>
      <c r="O24">
        <v>2.6910281997420685E-2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defaultRowHeight="12.75"/>
  <cols>
    <col min="1" max="1" width="6.28515625" style="112" bestFit="1" customWidth="1"/>
    <col min="2" max="2" width="5.42578125" style="112" bestFit="1" customWidth="1"/>
    <col min="3" max="3" width="7.140625" style="112" bestFit="1" customWidth="1"/>
    <col min="4" max="4" width="4.7109375" style="112" bestFit="1" customWidth="1"/>
    <col min="5" max="5" width="5.42578125" style="112" bestFit="1" customWidth="1"/>
    <col min="6" max="9" width="5.28515625" style="112" bestFit="1" customWidth="1"/>
    <col min="10" max="11" width="4.7109375" style="112" bestFit="1" customWidth="1"/>
    <col min="12" max="12" width="10.5703125" style="112" customWidth="1"/>
    <col min="13" max="16" width="5.28515625" style="112" bestFit="1" customWidth="1"/>
    <col min="17" max="18" width="4.7109375" style="112" bestFit="1" customWidth="1"/>
    <col min="19" max="19" width="5.28515625" style="112" bestFit="1" customWidth="1"/>
    <col min="20" max="21" width="4.7109375" style="112" bestFit="1" customWidth="1"/>
    <col min="22" max="22" width="6.28515625" style="112" bestFit="1" customWidth="1"/>
    <col min="23" max="23" width="5.28515625" style="112" bestFit="1" customWidth="1"/>
    <col min="24" max="24" width="4.7109375" style="112" bestFit="1" customWidth="1"/>
    <col min="25" max="25" width="5.28515625" style="112" bestFit="1" customWidth="1"/>
    <col min="26" max="26" width="4.7109375" style="112" bestFit="1" customWidth="1"/>
    <col min="27" max="28" width="5.28515625" style="112" bestFit="1" customWidth="1"/>
    <col min="29" max="29" width="4.7109375" style="112" bestFit="1" customWidth="1"/>
    <col min="30" max="30" width="5.28515625" style="112" bestFit="1" customWidth="1"/>
    <col min="31" max="31" width="6.5703125" style="112" bestFit="1" customWidth="1"/>
    <col min="32" max="32" width="5.42578125" style="112" bestFit="1" customWidth="1"/>
    <col min="33" max="33" width="2.140625" customWidth="1"/>
    <col min="34" max="34" width="6.28515625" style="112" bestFit="1" customWidth="1"/>
    <col min="35" max="35" width="5.42578125" style="112" bestFit="1" customWidth="1"/>
    <col min="36" max="36" width="7.140625" style="112" bestFit="1" customWidth="1"/>
    <col min="37" max="37" width="4.7109375" style="112" bestFit="1" customWidth="1"/>
    <col min="38" max="38" width="5.42578125" style="112" bestFit="1" customWidth="1"/>
    <col min="39" max="42" width="5.28515625" style="112" bestFit="1" customWidth="1"/>
    <col min="43" max="45" width="4.7109375" style="112" bestFit="1" customWidth="1"/>
    <col min="46" max="49" width="5.28515625" style="112" bestFit="1" customWidth="1"/>
    <col min="50" max="51" width="4.7109375" style="112" bestFit="1" customWidth="1"/>
    <col min="52" max="52" width="5.28515625" style="112" bestFit="1" customWidth="1"/>
    <col min="53" max="54" width="4.7109375" style="112" bestFit="1" customWidth="1"/>
    <col min="55" max="55" width="6.28515625" style="112" bestFit="1" customWidth="1"/>
    <col min="56" max="56" width="5.28515625" style="112" bestFit="1" customWidth="1"/>
    <col min="57" max="57" width="4.7109375" style="112" bestFit="1" customWidth="1"/>
    <col min="58" max="58" width="5.28515625" style="112" bestFit="1" customWidth="1"/>
    <col min="59" max="59" width="4.7109375" style="112" bestFit="1" customWidth="1"/>
    <col min="60" max="61" width="5.28515625" style="112" bestFit="1" customWidth="1"/>
    <col min="62" max="62" width="4.7109375" style="112" bestFit="1" customWidth="1"/>
    <col min="63" max="63" width="5.28515625" style="112" bestFit="1" customWidth="1"/>
    <col min="64" max="64" width="6.5703125" style="112" bestFit="1" customWidth="1"/>
    <col min="65" max="65" width="5.42578125" style="112" bestFit="1" customWidth="1"/>
    <col min="66" max="66" width="2.140625" customWidth="1"/>
    <col min="67" max="67" width="35.28515625" customWidth="1"/>
    <col min="68" max="76" width="6.7109375" customWidth="1"/>
    <col min="77" max="77" width="11.140625" bestFit="1" customWidth="1"/>
    <col min="78" max="78" width="9.5703125" customWidth="1"/>
    <col min="79" max="79" width="9.28515625" bestFit="1" customWidth="1"/>
    <col min="80" max="80" width="9.140625" customWidth="1"/>
    <col min="81" max="82" width="9.140625" bestFit="1" customWidth="1"/>
    <col min="83" max="83" width="8.85546875" bestFit="1" customWidth="1"/>
    <col min="84" max="84" width="2.28515625" customWidth="1"/>
    <col min="85" max="86" width="6.28515625" bestFit="1" customWidth="1"/>
    <col min="87" max="87" width="8.28515625" bestFit="1" customWidth="1"/>
    <col min="88" max="88" width="6" bestFit="1" customWidth="1"/>
    <col min="89" max="89" width="6.28515625" bestFit="1" customWidth="1"/>
    <col min="90" max="90" width="20.7109375" bestFit="1" customWidth="1"/>
    <col min="91" max="91" width="21.28515625" customWidth="1"/>
    <col min="92" max="105" width="5.85546875" bestFit="1" customWidth="1"/>
    <col min="106" max="106" width="6.28515625" bestFit="1" customWidth="1"/>
    <col min="107" max="112" width="5.85546875" bestFit="1" customWidth="1"/>
    <col min="113" max="113" width="6" bestFit="1" customWidth="1"/>
    <col min="114" max="114" width="5.85546875" bestFit="1" customWidth="1"/>
    <col min="115" max="115" width="6.5703125" bestFit="1" customWidth="1"/>
    <col min="116" max="116" width="6.28515625" bestFit="1" customWidth="1"/>
  </cols>
  <sheetData>
    <row r="1" spans="1:116" ht="22.9" customHeight="1">
      <c r="A1" s="532" t="s">
        <v>369</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485</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376</v>
      </c>
      <c r="BP1" s="535"/>
      <c r="BQ1" s="535"/>
      <c r="BR1" s="535"/>
      <c r="BS1" s="535"/>
      <c r="BT1" s="535"/>
      <c r="BU1" s="535"/>
      <c r="BV1" s="535"/>
      <c r="BW1" s="535"/>
      <c r="BX1" s="535"/>
      <c r="BY1" s="535"/>
      <c r="BZ1" s="535"/>
      <c r="CA1" s="535"/>
      <c r="CB1" s="535"/>
      <c r="CC1" s="535"/>
      <c r="CD1" s="535"/>
      <c r="CE1" s="535"/>
      <c r="CG1" s="534" t="s">
        <v>377</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0.95"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3" t="s">
        <v>353</v>
      </c>
      <c r="BQ2" s="533"/>
      <c r="BR2" s="533"/>
      <c r="BS2" s="533"/>
      <c r="BT2" s="533" t="s">
        <v>354</v>
      </c>
      <c r="BU2" s="533"/>
      <c r="BV2" s="533"/>
      <c r="BW2" s="533"/>
      <c r="BX2" s="533"/>
      <c r="BY2" s="533" t="s">
        <v>355</v>
      </c>
      <c r="BZ2" s="533"/>
      <c r="CA2" s="533"/>
      <c r="CB2" s="533"/>
      <c r="CC2" s="533"/>
      <c r="CD2" s="533"/>
      <c r="CE2" s="533"/>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25">
      <c r="A3" s="111">
        <f>IF(ISBLANK('In Process Calc.'!C3),"",'In Process Calc.'!C3)</f>
        <v>0.45000000006984919</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0.45000000006984919</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0.45000000006984919</v>
      </c>
      <c r="CH3" s="76">
        <f>$BY$4+$BZ$4*$CG3+$CA$4*$CG3^2+$CB$4*$CG3^3+$CC$4*$CG3^4+$CD$4*$CG3^5+$CE$4*$CG3^6</f>
        <v>0.77195298061299733</v>
      </c>
      <c r="CI3" s="76">
        <f>$BY$5+$BZ$5*$CG3+$CA$5*$CG3^2+$CB$5*$CG3^3+$CC$5*$CG3^4+$CD$5*$CG3^5+$CE$5*$CG3^6</f>
        <v>887.15993046496351</v>
      </c>
      <c r="CJ3" s="76">
        <f>$BY$6+$BZ$6*$CG3+$CA$6*$CG3^2+$CB$6*$CG3^3+$CC$6*$CG3^4+$CD$6*$CG3^5+$CE$6*$CG3^6</f>
        <v>0</v>
      </c>
      <c r="CK3" s="76">
        <f>$BY$7+$BZ$7*$CG3+$CA$7*$CG3^2+$CB$7*$CG3^3+$CC$7*$CG3^4+$CD$7*$CG3^5+$CE$7*$CG3^6</f>
        <v>229.5230596319727</v>
      </c>
      <c r="CL3" s="76">
        <f>$BY$8+$BZ$8*$CG3+$CA$8*$CG3^2+$CB$8*$CG3^3+$CC$8*$CG3^4+$CD$8*$CG3^5+$CE$8*$CG3^6</f>
        <v>-1.1163387045892685</v>
      </c>
      <c r="CM3" s="76">
        <f>$BY$9+$BZ$9*$CG3+$CA$9*$CG3^2+$CB$9*$CG3^3+$CC$9*$CG3^4+$CD$9*$CG3^5+$CE$9*$CG3^6</f>
        <v>0.39944108830973751</v>
      </c>
      <c r="CN3" s="76">
        <f>$BY$10+$BZ$10*$CG3+$CA$10*$CG3^2+$CB$10*$CG3^3+$CC$10*$CG3^4+$CD$10*$CG3^5+$CE$10*$CG3^6</f>
        <v>0.31449594517216584</v>
      </c>
      <c r="CO3" s="76">
        <f>$BY$11+$BZ$11*$CG3+$CA$11*$CG3^2+$CB$11*$CG3^3+$CC$11*$CG3^4+$CD$11*$CG3^5+$CE$11*$CG3^6</f>
        <v>-0.69643954541362907</v>
      </c>
      <c r="CP3" s="76">
        <f>$BY$12+$BZ$12*$CG3+$CA$12*$CG3^2+$CB$12*$CG3^3+$CC$12*$CG3^4+$CD$12*$CG3^5+$CE$12*$CG3^6</f>
        <v>2.2826212468095618E-3</v>
      </c>
      <c r="CQ3" s="76">
        <f>$BY$13+$BZ$13*$CG3+$CA$13*$CG3^2+$CB$13*$CG3^3+$CC$13*$CG3^4+$CD$13*$CG3^5+$CE$13*$CG3^6</f>
        <v>-0.42745446146290605</v>
      </c>
      <c r="CR3" s="76">
        <f>$BY$14+$BZ$14*$CG3+$CA$14*$CG3^2+$CB$14*$CG3^3+$CC$14*$CG3^4+$CD$14*$CG3^5+$CE$14*$CG3^6</f>
        <v>0.19093692521423913</v>
      </c>
      <c r="CS3" s="76">
        <f>$BY$15+$BZ$15*$CG3+$CA$15*$CG3^2+$CB$15*$CG3^3+$CC$15*$CG3^4+$CD$15*$CG3^5+$CE$15*$CG3^6</f>
        <v>4.3482593564835677</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0.33209359547014722</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8.3679292700291636</v>
      </c>
      <c r="DK3" s="76">
        <f>$BY$33+$BZ$33*$CG3+$CA$33*$CG3^2+$CB$33*$CG3^3+$CC$33*$CG3^4+$CD$33*$CG3^5+$CE$33*$CG3^6</f>
        <v>7.2515905654398987</v>
      </c>
      <c r="DL3" s="76">
        <f>$BY$34+$BZ$34*$CG3+$CA$34*$CG3^2+$CB$34*$CG3^3+$CC$34*$CG3^4+$CD$34*$CG3^5+$CE$34*$CG3^6</f>
        <v>34.833629135683999</v>
      </c>
    </row>
    <row r="4" spans="1:116" s="48" customFormat="1" ht="13.5">
      <c r="A4" s="111">
        <f>IF(ISBLANK('In Process Calc.'!C4),"",'In Process Calc.'!C4)</f>
        <v>21.116666666697711</v>
      </c>
      <c r="B4" s="111">
        <f>IF(ISBLANK('Measured Data'!H8),"",'Measured Data'!H8)</f>
        <v>0.46319998631477349</v>
      </c>
      <c r="C4" s="111">
        <f>IF(ISBLANK('In Process Calc.'!L4),"",'In Process Calc.'!L4)</f>
        <v>386.24397372436511</v>
      </c>
      <c r="D4" s="111">
        <f>IF(ISBLANK('In Process Calc.'!M4),"",'In Process Calc.'!M4)</f>
        <v>0</v>
      </c>
      <c r="E4" s="111">
        <f>IF(ISBLANK('In Process Calc.'!N4),"",'In Process Calc.'!N4)</f>
        <v>0</v>
      </c>
      <c r="F4" s="111">
        <f>IF(ISBLANK('In Process Calc.'!O4),"",'In Process Calc.'!O4)</f>
        <v>-1.4475000000000023E-2</v>
      </c>
      <c r="G4" s="111">
        <f>IF(ISBLANK('In Process Calc.'!P4),"",'In Process Calc.'!P4)</f>
        <v>-0.17880000000000018</v>
      </c>
      <c r="H4" s="111">
        <f>IF(ISBLANK('In Process Calc.'!Q4),"",'In Process Calc.'!Q4)</f>
        <v>-0.14578499999999986</v>
      </c>
      <c r="I4" s="111">
        <f>IF(ISBLANK('In Process Calc.'!R4),"",'In Process Calc.'!R4)</f>
        <v>-0.21643499999999993</v>
      </c>
      <c r="J4" s="111">
        <f>IF(ISBLANK('In Process Calc.'!S4),"",'In Process Calc.'!S4)</f>
        <v>-0.17484000000000013</v>
      </c>
      <c r="K4" s="111">
        <f>IF(ISBLANK('In Process Calc.'!T4),"",'In Process Calc.'!T4)</f>
        <v>-9.3651299855319114E-2</v>
      </c>
      <c r="L4" s="111">
        <f>IF(ISBLANK('In Process Calc.'!U4),"",'In Process Calc.'!U4)</f>
        <v>0</v>
      </c>
      <c r="M4" s="111">
        <f>IF(ISBLANK('In Process Calc.'!V4),"",'In Process Calc.'!V4)</f>
        <v>-0.22727999999999973</v>
      </c>
      <c r="N4" s="111">
        <f>IF(ISBLANK('In Process Calc.'!W4),"",'In Process Calc.'!W4)</f>
        <v>0</v>
      </c>
      <c r="O4" s="111">
        <f>IF(ISBLANK('In Process Calc.'!X4),"",'In Process Calc.'!X4)</f>
        <v>0</v>
      </c>
      <c r="P4" s="111">
        <f>IF(ISBLANK('In Process Calc.'!Y4),"",'In Process Calc.'!Y4)</f>
        <v>0</v>
      </c>
      <c r="Q4" s="111">
        <f>IF(ISBLANK('In Process Calc.'!Z4),"",'In Process Calc.'!Z4)</f>
        <v>1.0507326820603913</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-1.8146400000000003</v>
      </c>
      <c r="AE4" s="111">
        <f>IF(ISBLANK('In Process Calc.'!AN4),"",'In Process Calc.'!AN4)</f>
        <v>-1.8291150000000003</v>
      </c>
      <c r="AF4" s="111">
        <f>IF(ISBLANK('In Process Calc.'!AO4),"",'In Process Calc.'!AO4)</f>
        <v>-4.6636950000000006</v>
      </c>
      <c r="AH4" s="111">
        <f>IF(ISBLANK('In Process Calc.'!C4),"",'In Process Calc.'!C4)</f>
        <v>21.116666666697711</v>
      </c>
      <c r="AI4" s="111">
        <f>IF(ISBLANK('Measured Data'!H8),"",'Measured Data'!H8)</f>
        <v>0.46319998631477349</v>
      </c>
      <c r="AJ4" s="111">
        <f>IF(ISBLANK('In Process Calc.'!L4),"",'In Process Calc.'!L4)</f>
        <v>386.24397372436511</v>
      </c>
      <c r="AK4" s="111">
        <f>IF(ISBLANK('In Process Calc.'!M4),"",'In Process Calc.'!M4)</f>
        <v>0</v>
      </c>
      <c r="AL4" s="111">
        <f>IF(ISBLANK('In Process Calc.'!N4),"",'In Process Calc.'!N4)</f>
        <v>0</v>
      </c>
      <c r="AM4" s="111">
        <f>IF(ISBLANK('In Process Calc.'!O4),"",'In Process Calc.'!O4)</f>
        <v>-1.4475000000000023E-2</v>
      </c>
      <c r="AN4" s="111">
        <f>IF(ISBLANK('In Process Calc.'!P4),"",'In Process Calc.'!P4)</f>
        <v>-0.17880000000000018</v>
      </c>
      <c r="AO4" s="111">
        <f>IF(ISBLANK('In Process Calc.'!Q4),"",'In Process Calc.'!Q4)</f>
        <v>-0.14578499999999986</v>
      </c>
      <c r="AP4" s="111">
        <f>IF(ISBLANK('In Process Calc.'!R4),"",'In Process Calc.'!R4)</f>
        <v>-0.21643499999999993</v>
      </c>
      <c r="AQ4" s="111">
        <f>IF(ISBLANK('In Process Calc.'!S4),"",'In Process Calc.'!S4)</f>
        <v>-0.17484000000000013</v>
      </c>
      <c r="AR4" s="111">
        <f>IF(ISBLANK('In Process Calc.'!T4),"",'In Process Calc.'!T4)</f>
        <v>-9.3651299855319114E-2</v>
      </c>
      <c r="AS4" s="111">
        <f>IF(ISBLANK('In Process Calc.'!U4),"",'In Process Calc.'!U4)</f>
        <v>0</v>
      </c>
      <c r="AT4" s="111">
        <f>IF(ISBLANK('In Process Calc.'!V4),"",'In Process Calc.'!V4)</f>
        <v>-0.22727999999999973</v>
      </c>
      <c r="AU4" s="111">
        <f>IF(ISBLANK('In Process Calc.'!W4),"",'In Process Calc.'!W4)</f>
        <v>0</v>
      </c>
      <c r="AV4" s="111">
        <f>IF(ISBLANK('In Process Calc.'!X4),"",'In Process Calc.'!X4)</f>
        <v>0</v>
      </c>
      <c r="AW4" s="111">
        <f>IF(ISBLANK('In Process Calc.'!Y4),"",'In Process Calc.'!Y4)</f>
        <v>0</v>
      </c>
      <c r="AX4" s="111">
        <f>IF(ISBLANK('In Process Calc.'!Z4),"",'In Process Calc.'!Z4)</f>
        <v>1.0507326820603913</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-1.8146400000000003</v>
      </c>
      <c r="BL4" s="111">
        <f>IF(ISBLANK('In Process Calc.'!AN4),"",'In Process Calc.'!AN4)</f>
        <v>-1.8291150000000003</v>
      </c>
      <c r="BM4" s="111">
        <f>IF(ISBLANK('In Process Calc.'!AO4),"",'In Process Calc.'!AO4)</f>
        <v>-4.6636950000000006</v>
      </c>
      <c r="BO4" s="55" t="s">
        <v>334</v>
      </c>
      <c r="BP4" s="56">
        <f t="array" ref="BP4:BS4">LINEST($B3:INDEX($B:$B,COUNT($B:$B)+2), $A$3:INDEX($A:$A,COUNT($A:$A)+2)^{1,2,3},TRUE,TRUE)</f>
        <v>-2.3815409867747292E-6</v>
      </c>
      <c r="BQ4" s="56">
        <v>1.078773042252889E-3</v>
      </c>
      <c r="BR4" s="56">
        <v>-5.8061976308127462E-2</v>
      </c>
      <c r="BS4" s="56">
        <v>0.78576779177076261</v>
      </c>
      <c r="BT4" s="56">
        <f t="array" ref="BT4:BX4">LINEST($B3:INDEX($B:$B,COUNT($B:$B)+2), $A$3:INDEX($A:$A,COUNT($A:$A)+2)^{1,2,3,4},TRUE,TRUE)</f>
        <v>1.1476995537319962E-10</v>
      </c>
      <c r="BU4" s="56">
        <v>-2.4580857752535237E-6</v>
      </c>
      <c r="BV4" s="56">
        <v>1.0948430560836912E-3</v>
      </c>
      <c r="BW4" s="56">
        <v>-5.9163437438999759E-2</v>
      </c>
      <c r="BX4" s="56">
        <v>0.7983550457341142</v>
      </c>
      <c r="BY4" s="57">
        <f>IF('Kinetic Curves'!$B$4=6,#REF!,IF('Kinetic Curves'!$B$4=5,#REF!, IF( 'Kinetic Curves'!$B$4=4, BX4,IF('Kinetic Curves'!$B$4=3, BS4, 0))))</f>
        <v>0.7983550457341142</v>
      </c>
      <c r="BZ4" s="57">
        <f>IF('Kinetic Curves'!$B$4=6,#REF!,IF('Kinetic Curves'!$B$4=5,#REF!, IF( 'Kinetic Curves'!$B$4=4, BW4,IF('Kinetic Curves'!$B$4=3, BR4, 0))))</f>
        <v>-5.9163437438999759E-2</v>
      </c>
      <c r="CA4" s="57">
        <f>IF('Kinetic Curves'!$B$4=6,#REF!,IF('Kinetic Curves'!$B$4=5,#REF!, IF( 'Kinetic Curves'!$B$4=4, BV4,IF('Kinetic Curves'!$B$4=3, BQ4, 0))))</f>
        <v>1.0948430560836912E-3</v>
      </c>
      <c r="CB4" s="57">
        <f>IF('Kinetic Curves'!$B$4=6,#REF!,IF('Kinetic Curves'!$B$4=5,#REF!, IF( 'Kinetic Curves'!$B$4=4, BU4,IF('Kinetic Curves'!$B$4=3, BP4, 0))))</f>
        <v>-2.4580857752535237E-6</v>
      </c>
      <c r="CC4" s="57">
        <f>IF('Kinetic Curves'!$B$4=6,#REF!,IF('Kinetic Curves'!$B$4=5,#REF!, IF( 'Kinetic Curves'!$B$4=4,BT4, 0)))</f>
        <v>1.1476995537319962E-10</v>
      </c>
      <c r="CD4" s="57">
        <f>IF('Kinetic Curves'!$B$4=6,#REF!,IF('Kinetic Curves'!$B$4=5,#REF!, 0))</f>
        <v>0</v>
      </c>
      <c r="CE4" s="57">
        <f>IF('Kinetic Curves'!$B$4=6,#REF!,0)</f>
        <v>0</v>
      </c>
      <c r="CF4" s="49"/>
      <c r="CG4" s="76">
        <f>IF(ISBLANK('In Process Calc.'!C4),"",'In Process Calc.'!C4)</f>
        <v>21.116666666697711</v>
      </c>
      <c r="CH4" s="76">
        <f t="shared" ref="CH4:CH17" si="0">$BY$4+$BZ$4*$CG4+$CA$4*$CG4^2+$CB$4*$CG4^3+$CC$4*$CG4^4+$CD$4*$CG4^5+$CE$4*$CG4^6</f>
        <v>1.4102850339589154E-2</v>
      </c>
      <c r="CI4" s="76">
        <f t="shared" ref="CI4:CI17" si="1">$BY$5+$BZ$5*$CG4+$CA$5*$CG4^2+$CB$5*$CG4^3+$CC$5*$CG4^4+$CD$5*$CG4^5+$CE$5*$CG4^6</f>
        <v>-497.94518683128467</v>
      </c>
      <c r="CJ4" s="76">
        <f t="shared" ref="CJ4:CJ17" si="2">$BY$6+$BZ$6*$CG4+$CA$6*$CG4^2+$CB$6*$CG4^3+$CC$6*$CG4^4+$CD$6*$CG4^5+$CE$6*$CG4^6</f>
        <v>0</v>
      </c>
      <c r="CK4" s="76">
        <f t="shared" ref="CK4:CK17" si="3">$BY$7+$BZ$7*$CG4+$CA$7*$CG4^2+$CB$7*$CG4^3+$CC$7*$CG4^4+$CD$7*$CG4^5+$CE$7*$CG4^6</f>
        <v>-48.963478091507909</v>
      </c>
      <c r="CL4" s="76">
        <f t="shared" ref="CL4:CL17" si="4">$BY$8+$BZ$8*$CG4+$CA$8*$CG4^2+$CB$8*$CG4^3+$CC$8*$CG4^4+$CD$8*$CG4^5+$CE$8*$CG4^6</f>
        <v>0.60376035056368538</v>
      </c>
      <c r="CM4" s="76">
        <f t="shared" ref="CM4:CM17" si="5">$BY$9+$BZ$9*$CG4+$CA$9*$CG4^2+$CB$9*$CG4^3+$CC$9*$CG4^4+$CD$9*$CG4^5+$CE$9*$CG4^6</f>
        <v>0.19847758727512943</v>
      </c>
      <c r="CN4" s="76">
        <f t="shared" ref="CN4:CN17" si="6">$BY$10+$BZ$10*$CG4+$CA$10*$CG4^2+$CB$10*$CG4^3+$CC$10*$CG4^4+$CD$10*$CG4^5+$CE$10*$CG4^6</f>
        <v>0.55576788220391127</v>
      </c>
      <c r="CO4" s="76">
        <f t="shared" ref="CO4:CO17" si="7">$BY$11+$BZ$11*$CG4+$CA$11*$CG4^2+$CB$11*$CG4^3+$CC$11*$CG4^4+$CD$11*$CG4^5+$CE$11*$CG4^6</f>
        <v>0.43392391196958741</v>
      </c>
      <c r="CP4" s="76">
        <f t="shared" ref="CP4:CP17" si="8">$BY$12+$BZ$12*$CG4+$CA$12*$CG4^2+$CB$12*$CG4^3+$CC$12*$CG4^4+$CD$12*$CG4^5+$CE$12*$CG4^6</f>
        <v>-7.0490567092186707E-2</v>
      </c>
      <c r="CQ4" s="76">
        <f t="shared" ref="CQ4:CQ17" si="9">$BY$13+$BZ$13*$CG4+$CA$13*$CG4^2+$CB$13*$CG4^3+$CC$13*$CG4^4+$CD$13*$CG4^5+$CE$13*$CG4^6</f>
        <v>0.65234599372360258</v>
      </c>
      <c r="CR4" s="76">
        <f t="shared" ref="CR4:CR17" si="10">$BY$14+$BZ$14*$CG4+$CA$14*$CG4^2+$CB$14*$CG4^3+$CC$14*$CG4^4+$CD$14*$CG4^5+$CE$14*$CG4^6</f>
        <v>-0.47639746210412753</v>
      </c>
      <c r="CS4" s="76">
        <f t="shared" ref="CS4:CS17" si="11">$BY$15+$BZ$15*$CG4+$CA$15*$CG4^2+$CB$15*$CG4^3+$CC$15*$CG4^4+$CD$15*$CG4^5+$CE$15*$CG4^6</f>
        <v>0.7399606267343033</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0.68718293325873592</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2.613399793446447</v>
      </c>
      <c r="DK4" s="76">
        <f t="shared" ref="DK4:DK17" si="29">$BY$33+$BZ$33*$CG4+$CA$33*$CG4^2+$CB$33*$CG4^3+$CC$33*$CG4^4+$CD$33*$CG4^5+$CE$33*$CG4^6</f>
        <v>3.2171601440101383</v>
      </c>
      <c r="DL4" s="76">
        <f t="shared" ref="DL4:DL17" si="30">$BY$34+$BZ$34*$CG4+$CA$34*$CG4^2+$CB$34*$CG4^3+$CC$34*$CG4^4+$CD$34*$CG4^5+$CE$34*$CG4^6</f>
        <v>4.3428175981952348</v>
      </c>
    </row>
    <row r="5" spans="1:116" s="48" customFormat="1" ht="11.25">
      <c r="A5" s="111">
        <f>IF(ISBLANK('In Process Calc.'!C5),"",'In Process Calc.'!C5)</f>
        <v>48.383333333360497</v>
      </c>
      <c r="B5" s="111">
        <f>IF(ISBLANK('Measured Data'!H9),"",'Measured Data'!H9)</f>
        <v>0.81999999999999984</v>
      </c>
      <c r="C5" s="111">
        <f>IF(ISBLANK('In Process Calc.'!L5),"",'In Process Calc.'!L5)</f>
        <v>1058.9999999999995</v>
      </c>
      <c r="D5" s="111">
        <f>IF(ISBLANK('In Process Calc.'!M5),"",'In Process Calc.'!M5)</f>
        <v>0</v>
      </c>
      <c r="E5" s="111">
        <f>IF(ISBLANK('In Process Calc.'!N5),"",'In Process Calc.'!N5)</f>
        <v>0</v>
      </c>
      <c r="F5" s="111">
        <f>IF(ISBLANK('In Process Calc.'!O5),"",'In Process Calc.'!O5)</f>
        <v>-1.1565000000000013E-2</v>
      </c>
      <c r="G5" s="111">
        <f>IF(ISBLANK('In Process Calc.'!P5),"",'In Process Calc.'!P5)</f>
        <v>0.30857999999999991</v>
      </c>
      <c r="H5" s="111">
        <f>IF(ISBLANK('In Process Calc.'!Q5),"",'In Process Calc.'!Q5)</f>
        <v>1.1179500000000007</v>
      </c>
      <c r="I5" s="111">
        <f>IF(ISBLANK('In Process Calc.'!R5),"",'In Process Calc.'!R5)</f>
        <v>3.3825000000000272E-2</v>
      </c>
      <c r="J5" s="111">
        <f>IF(ISBLANK('In Process Calc.'!S5),"",'In Process Calc.'!S5)</f>
        <v>3.8099999999999523E-3</v>
      </c>
      <c r="K5" s="111">
        <f>IF(ISBLANK('In Process Calc.'!T5),"",'In Process Calc.'!T5)</f>
        <v>2.0986998078639494</v>
      </c>
      <c r="L5" s="111">
        <f>IF(ISBLANK('In Process Calc.'!U5),"",'In Process Calc.'!U5)</f>
        <v>-0.52387499999999998</v>
      </c>
      <c r="M5" s="111">
        <f>IF(ISBLANK('In Process Calc.'!V5),"",'In Process Calc.'!V5)</f>
        <v>7.3394999999999516E-2</v>
      </c>
      <c r="N5" s="111">
        <f>IF(ISBLANK('In Process Calc.'!W5),"",'In Process Calc.'!W5)</f>
        <v>0</v>
      </c>
      <c r="O5" s="111">
        <f>IF(ISBLANK('In Process Calc.'!X5),"",'In Process Calc.'!X5)</f>
        <v>0</v>
      </c>
      <c r="P5" s="111">
        <f>IF(ISBLANK('In Process Calc.'!Y5),"",'In Process Calc.'!Y5)</f>
        <v>0</v>
      </c>
      <c r="Q5" s="111">
        <f>IF(ISBLANK('In Process Calc.'!Z5),"",'In Process Calc.'!Z5)</f>
        <v>3.1422069271758435</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2.5257450000000006</v>
      </c>
      <c r="AE5" s="111">
        <f>IF(ISBLANK('In Process Calc.'!AN5),"",'In Process Calc.'!AN5)</f>
        <v>2.5141800000000005</v>
      </c>
      <c r="AF5" s="111">
        <f>IF(ISBLANK('In Process Calc.'!AO5),"",'In Process Calc.'!AO5)</f>
        <v>4.2637350000000005</v>
      </c>
      <c r="AH5" s="111">
        <f>IF(ISBLANK('In Process Calc.'!C5),"",'In Process Calc.'!C5)</f>
        <v>48.383333333360497</v>
      </c>
      <c r="AI5" s="111">
        <f>IF(ISBLANK('Measured Data'!H9),"",'Measured Data'!H9)</f>
        <v>0.81999999999999984</v>
      </c>
      <c r="AJ5" s="111">
        <f>IF(ISBLANK('In Process Calc.'!L5),"",'In Process Calc.'!L5)</f>
        <v>1058.9999999999995</v>
      </c>
      <c r="AK5" s="111">
        <f>IF(ISBLANK('In Process Calc.'!M5),"",'In Process Calc.'!M5)</f>
        <v>0</v>
      </c>
      <c r="AL5" s="111">
        <f>IF(ISBLANK('In Process Calc.'!N5),"",'In Process Calc.'!N5)</f>
        <v>0</v>
      </c>
      <c r="AM5" s="111">
        <f>IF(ISBLANK('In Process Calc.'!O5),"",'In Process Calc.'!O5)</f>
        <v>-1.1565000000000013E-2</v>
      </c>
      <c r="AN5" s="111">
        <f>IF(ISBLANK('In Process Calc.'!P5),"",'In Process Calc.'!P5)</f>
        <v>0.30857999999999991</v>
      </c>
      <c r="AO5" s="111">
        <f>IF(ISBLANK('In Process Calc.'!Q5),"",'In Process Calc.'!Q5)</f>
        <v>1.1179500000000007</v>
      </c>
      <c r="AP5" s="111">
        <f>IF(ISBLANK('In Process Calc.'!R5),"",'In Process Calc.'!R5)</f>
        <v>3.3825000000000272E-2</v>
      </c>
      <c r="AQ5" s="111">
        <f>IF(ISBLANK('In Process Calc.'!S5),"",'In Process Calc.'!S5)</f>
        <v>3.8099999999999523E-3</v>
      </c>
      <c r="AR5" s="111">
        <f>IF(ISBLANK('In Process Calc.'!T5),"",'In Process Calc.'!T5)</f>
        <v>2.0986998078639494</v>
      </c>
      <c r="AS5" s="111">
        <f>IF(ISBLANK('In Process Calc.'!U5),"",'In Process Calc.'!U5)</f>
        <v>-0.52387499999999998</v>
      </c>
      <c r="AT5" s="111">
        <f>IF(ISBLANK('In Process Calc.'!V5),"",'In Process Calc.'!V5)</f>
        <v>7.3394999999999516E-2</v>
      </c>
      <c r="AU5" s="111">
        <f>IF(ISBLANK('In Process Calc.'!W5),"",'In Process Calc.'!W5)</f>
        <v>0</v>
      </c>
      <c r="AV5" s="111">
        <f>IF(ISBLANK('In Process Calc.'!X5),"",'In Process Calc.'!X5)</f>
        <v>0</v>
      </c>
      <c r="AW5" s="111">
        <f>IF(ISBLANK('In Process Calc.'!Y5),"",'In Process Calc.'!Y5)</f>
        <v>0</v>
      </c>
      <c r="AX5" s="111">
        <f>IF(ISBLANK('In Process Calc.'!Z5),"",'In Process Calc.'!Z5)</f>
        <v>3.1422069271758435</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2.5257450000000006</v>
      </c>
      <c r="BL5" s="111">
        <f>IF(ISBLANK('In Process Calc.'!AN5),"",'In Process Calc.'!AN5)</f>
        <v>2.5141800000000005</v>
      </c>
      <c r="BM5" s="111">
        <f>IF(ISBLANK('In Process Calc.'!AO5),"",'In Process Calc.'!AO5)</f>
        <v>4.2637350000000005</v>
      </c>
      <c r="BO5" s="54" t="s">
        <v>110</v>
      </c>
      <c r="BP5" s="56">
        <f t="array" ref="BP5:BS5">LINEST($C3:INDEX($C:$C,COUNT($C:$C)+2), $A$3:INDEX($A:$A,COUNT($A:$A)+2)^{1,2,3},TRUE,TRUE)</f>
        <v>-4.5988163809168765E-3</v>
      </c>
      <c r="BQ5" s="56">
        <v>2.0558864246836963</v>
      </c>
      <c r="BR5" s="56">
        <v>-109.26452624681437</v>
      </c>
      <c r="BS5" s="56">
        <v>935.91306934967724</v>
      </c>
      <c r="BT5" s="56">
        <f t="array" ref="BT5:BX5">LINEST($C3:INDEX($C:$C,COUNT($C:$C)+2),$A$3:INDEX($A:$A,COUNT($A:$A)+2)^{1,2,3,4},TRUE,TRUE)</f>
        <v>2.3539438599327671E-6</v>
      </c>
      <c r="BU5" s="56">
        <v>-6.1687580460818162E-3</v>
      </c>
      <c r="BV5" s="56">
        <v>2.3854840991189978</v>
      </c>
      <c r="BW5" s="56">
        <v>-131.85560992843091</v>
      </c>
      <c r="BX5" s="56">
        <v>1194.0789724738888</v>
      </c>
      <c r="BY5" s="57">
        <f>IF('Cumulative Curves'!$B$9=6,#REF!,IF('Cumulative Curves'!$B$9=5,#REF!, IF( 'Cumulative Curves'!$B$9=4, BX5,IF('Cumulative Curves'!$B$9=3, BS5, 0))))</f>
        <v>935.91306934967724</v>
      </c>
      <c r="BZ5" s="57">
        <f>IF('Cumulative Curves'!$B$9=6,#REF!,IF('Cumulative Curves'!$B$9=5,#REF!, IF( 'Cumulative Curves'!$B$9=4, BW5,IF('Cumulative Curves'!$B$9=3, BR5, 0))))</f>
        <v>-109.26452624681437</v>
      </c>
      <c r="CA5" s="57">
        <f>IF('Cumulative Curves'!$B$9=6,#REF!,IF('Cumulative Curves'!$B$9=5,#REF!, IF( 'Cumulative Curves'!$B$9=4, BV5,IF('Cumulative Curves'!$B$9=3, BQ5, 0))))</f>
        <v>2.0558864246836963</v>
      </c>
      <c r="CB5" s="57">
        <f>IF('Cumulative Curves'!$B$9=6,#REF!,IF('Cumulative Curves'!$B$9=5,#REF!, IF( 'Cumulative Curves'!$B$9=4, BU5,IF('Cumulative Curves'!$B$9=3, BP5, 0))))</f>
        <v>-4.5988163809168765E-3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48.383333333360497</v>
      </c>
      <c r="CH5" s="76">
        <f t="shared" si="0"/>
        <v>0.22101946317714158</v>
      </c>
      <c r="CI5" s="76">
        <f t="shared" si="1"/>
        <v>-58.822776650242531</v>
      </c>
      <c r="CJ5" s="76">
        <f t="shared" si="2"/>
        <v>0</v>
      </c>
      <c r="CK5" s="76">
        <f t="shared" si="3"/>
        <v>-219.69541498467464</v>
      </c>
      <c r="CL5" s="76">
        <f t="shared" si="4"/>
        <v>1.3283926298995117</v>
      </c>
      <c r="CM5" s="76">
        <f t="shared" si="5"/>
        <v>-0.12476451606233363</v>
      </c>
      <c r="CN5" s="76">
        <f t="shared" si="6"/>
        <v>0.4116516696954079</v>
      </c>
      <c r="CO5" s="76">
        <f t="shared" si="7"/>
        <v>0.79023249855156952</v>
      </c>
      <c r="CP5" s="76">
        <f t="shared" si="8"/>
        <v>-3.9237699529391219E-2</v>
      </c>
      <c r="CQ5" s="76">
        <f t="shared" si="9"/>
        <v>2.3802406813074923</v>
      </c>
      <c r="CR5" s="76">
        <f t="shared" si="10"/>
        <v>-0.33813474976097008</v>
      </c>
      <c r="CS5" s="76">
        <f t="shared" si="11"/>
        <v>-3.8717120392974165</v>
      </c>
      <c r="CT5" s="76">
        <f t="shared" si="12"/>
        <v>0</v>
      </c>
      <c r="CU5" s="76">
        <f t="shared" si="13"/>
        <v>0</v>
      </c>
      <c r="CV5" s="76">
        <f t="shared" si="14"/>
        <v>0</v>
      </c>
      <c r="CW5" s="76">
        <f t="shared" si="15"/>
        <v>2.5812406619182164</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-5.1844431459141891</v>
      </c>
      <c r="DK5" s="76">
        <f t="shared" si="29"/>
        <v>-3.8560505160146699</v>
      </c>
      <c r="DL5" s="76">
        <f t="shared" si="30"/>
        <v>-28.582332584870816</v>
      </c>
    </row>
    <row r="6" spans="1:116" s="48" customFormat="1" ht="11.25">
      <c r="A6" s="111">
        <f>IF(ISBLANK('In Process Calc.'!C6),"",'In Process Calc.'!C6)</f>
        <v>70.883333333360497</v>
      </c>
      <c r="B6" s="111">
        <f>IF(ISBLANK('Measured Data'!H10),"",'Measured Data'!H10)</f>
        <v>1.4616999460220337</v>
      </c>
      <c r="C6" s="111">
        <f>IF(ISBLANK('In Process Calc.'!L6),"",'In Process Calc.'!L6)</f>
        <v>2239.049098737335</v>
      </c>
      <c r="D6" s="111">
        <f>IF(ISBLANK('In Process Calc.'!M6),"",'In Process Calc.'!M6)</f>
        <v>0</v>
      </c>
      <c r="E6" s="111">
        <f>IF(ISBLANK('In Process Calc.'!N6),"",'In Process Calc.'!N6)</f>
        <v>0</v>
      </c>
      <c r="F6" s="111">
        <f>IF(ISBLANK('In Process Calc.'!O6),"",'In Process Calc.'!O6)</f>
        <v>-7.9062999999999994E-2</v>
      </c>
      <c r="G6" s="111">
        <f>IF(ISBLANK('In Process Calc.'!P6),"",'In Process Calc.'!P6)</f>
        <v>0.6113519999999999</v>
      </c>
      <c r="H6" s="111">
        <f>IF(ISBLANK('In Process Calc.'!Q6),"",'In Process Calc.'!Q6)</f>
        <v>3.0061669999999996</v>
      </c>
      <c r="I6" s="111">
        <f>IF(ISBLANK('In Process Calc.'!R6),"",'In Process Calc.'!R6)</f>
        <v>0.15276899999999977</v>
      </c>
      <c r="J6" s="111">
        <f>IF(ISBLANK('In Process Calc.'!S6),"",'In Process Calc.'!S6)</f>
        <v>0.19689200000000007</v>
      </c>
      <c r="K6" s="111">
        <f>IF(ISBLANK('In Process Calc.'!T6),"",'In Process Calc.'!T6)</f>
        <v>5.7751611128562113</v>
      </c>
      <c r="L6" s="111">
        <f>IF(ISBLANK('In Process Calc.'!U6),"",'In Process Calc.'!U6)</f>
        <v>-0.686616</v>
      </c>
      <c r="M6" s="111">
        <f>IF(ISBLANK('In Process Calc.'!V6),"",'In Process Calc.'!V6)</f>
        <v>0.1856319999999996</v>
      </c>
      <c r="N6" s="111">
        <f>IF(ISBLANK('In Process Calc.'!W6),"",'In Process Calc.'!W6)</f>
        <v>0</v>
      </c>
      <c r="O6" s="111">
        <f>IF(ISBLANK('In Process Calc.'!X6),"",'In Process Calc.'!X6)</f>
        <v>0</v>
      </c>
      <c r="P6" s="111">
        <f>IF(ISBLANK('In Process Calc.'!Y6),"",'In Process Calc.'!Y6)</f>
        <v>0</v>
      </c>
      <c r="Q6" s="111">
        <f>IF(ISBLANK('In Process Calc.'!Z6),"",'In Process Calc.'!Z6)</f>
        <v>5.3557948490230913</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7.7376319999999978</v>
      </c>
      <c r="AE6" s="111">
        <f>IF(ISBLANK('In Process Calc.'!AN6),"",'In Process Calc.'!AN6)</f>
        <v>7.6585689999999982</v>
      </c>
      <c r="AF6" s="111">
        <f>IF(ISBLANK('In Process Calc.'!AO6),"",'In Process Calc.'!AO6)</f>
        <v>15.217476999999995</v>
      </c>
      <c r="AH6" s="111">
        <f>IF(ISBLANK('In Process Calc.'!C6),"",'In Process Calc.'!C6)</f>
        <v>70.883333333360497</v>
      </c>
      <c r="AI6" s="111">
        <f>IF(ISBLANK('Measured Data'!H10),"",'Measured Data'!H10)</f>
        <v>1.4616999460220337</v>
      </c>
      <c r="AJ6" s="111">
        <f>IF(ISBLANK('In Process Calc.'!L6),"",'In Process Calc.'!L6)</f>
        <v>2239.049098737335</v>
      </c>
      <c r="AK6" s="111">
        <f>IF(ISBLANK('In Process Calc.'!M6),"",'In Process Calc.'!M6)</f>
        <v>0</v>
      </c>
      <c r="AL6" s="111">
        <f>IF(ISBLANK('In Process Calc.'!N6),"",'In Process Calc.'!N6)</f>
        <v>0</v>
      </c>
      <c r="AM6" s="111">
        <f>IF(ISBLANK('In Process Calc.'!O6),"",'In Process Calc.'!O6)</f>
        <v>-7.9062999999999994E-2</v>
      </c>
      <c r="AN6" s="111">
        <f>IF(ISBLANK('In Process Calc.'!P6),"",'In Process Calc.'!P6)</f>
        <v>0.6113519999999999</v>
      </c>
      <c r="AO6" s="111">
        <f>IF(ISBLANK('In Process Calc.'!Q6),"",'In Process Calc.'!Q6)</f>
        <v>3.0061669999999996</v>
      </c>
      <c r="AP6" s="111">
        <f>IF(ISBLANK('In Process Calc.'!R6),"",'In Process Calc.'!R6)</f>
        <v>0.15276899999999977</v>
      </c>
      <c r="AQ6" s="111">
        <f>IF(ISBLANK('In Process Calc.'!S6),"",'In Process Calc.'!S6)</f>
        <v>0.19689200000000007</v>
      </c>
      <c r="AR6" s="111">
        <f>IF(ISBLANK('In Process Calc.'!T6),"",'In Process Calc.'!T6)</f>
        <v>5.7751611128562113</v>
      </c>
      <c r="AS6" s="111">
        <f>IF(ISBLANK('In Process Calc.'!U6),"",'In Process Calc.'!U6)</f>
        <v>-0.686616</v>
      </c>
      <c r="AT6" s="111">
        <f>IF(ISBLANK('In Process Calc.'!V6),"",'In Process Calc.'!V6)</f>
        <v>0.1856319999999996</v>
      </c>
      <c r="AU6" s="111">
        <f>IF(ISBLANK('In Process Calc.'!W6),"",'In Process Calc.'!W6)</f>
        <v>0</v>
      </c>
      <c r="AV6" s="111">
        <f>IF(ISBLANK('In Process Calc.'!X6),"",'In Process Calc.'!X6)</f>
        <v>0</v>
      </c>
      <c r="AW6" s="111">
        <f>IF(ISBLANK('In Process Calc.'!Y6),"",'In Process Calc.'!Y6)</f>
        <v>0</v>
      </c>
      <c r="AX6" s="111">
        <f>IF(ISBLANK('In Process Calc.'!Z6),"",'In Process Calc.'!Z6)</f>
        <v>5.3557948490230913</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7.7376319999999978</v>
      </c>
      <c r="BL6" s="111">
        <f>IF(ISBLANK('In Process Calc.'!AN6),"",'In Process Calc.'!AN6)</f>
        <v>7.6585689999999982</v>
      </c>
      <c r="BM6" s="111">
        <f>IF(ISBLANK('In Process Calc.'!AO6),"",'In Process Calc.'!AO6)</f>
        <v>15.217476999999995</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70.883333333360497</v>
      </c>
      <c r="CH6" s="76">
        <f t="shared" si="0"/>
        <v>1.2330854748451967</v>
      </c>
      <c r="CI6" s="76">
        <f t="shared" si="1"/>
        <v>1882.7051250567854</v>
      </c>
      <c r="CJ6" s="76">
        <f t="shared" si="2"/>
        <v>0</v>
      </c>
      <c r="CK6" s="76">
        <f t="shared" si="3"/>
        <v>-207.06699490588858</v>
      </c>
      <c r="CL6" s="76">
        <f t="shared" si="4"/>
        <v>0.85175217136419779</v>
      </c>
      <c r="CM6" s="76">
        <f t="shared" si="5"/>
        <v>-0.4154735163115042</v>
      </c>
      <c r="CN6" s="76">
        <f t="shared" si="6"/>
        <v>0.26377275749905216</v>
      </c>
      <c r="CO6" s="76">
        <f t="shared" si="7"/>
        <v>0.4557741768949708</v>
      </c>
      <c r="CP6" s="76">
        <f t="shared" si="8"/>
        <v>7.5251490278354108E-2</v>
      </c>
      <c r="CQ6" s="76">
        <f t="shared" si="9"/>
        <v>4.6803512478579448</v>
      </c>
      <c r="CR6" s="76">
        <f t="shared" si="10"/>
        <v>-0.39399295887388974</v>
      </c>
      <c r="CS6" s="76">
        <f t="shared" si="11"/>
        <v>-7.4227367113818215</v>
      </c>
      <c r="CT6" s="76">
        <f t="shared" si="12"/>
        <v>0</v>
      </c>
      <c r="CU6" s="76">
        <f t="shared" si="13"/>
        <v>0</v>
      </c>
      <c r="CV6" s="76">
        <f t="shared" si="14"/>
        <v>0</v>
      </c>
      <c r="CW6" s="76">
        <f t="shared" si="15"/>
        <v>5.3251125007164486</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-11.44304370779196</v>
      </c>
      <c r="DK6" s="76">
        <f t="shared" si="29"/>
        <v>-10.591291536427756</v>
      </c>
      <c r="DL6" s="76">
        <f t="shared" si="30"/>
        <v>-49.585057108888549</v>
      </c>
    </row>
    <row r="7" spans="1:116" s="48" customFormat="1" ht="11.25">
      <c r="A7" s="111">
        <f>IF(ISBLANK('In Process Calc.'!C7),"",'In Process Calc.'!C7)</f>
        <v>95.366666666697711</v>
      </c>
      <c r="B7" s="111">
        <f>IF(ISBLANK('Measured Data'!H11),"",'Measured Data'!H11)</f>
        <v>2.7349999977111819</v>
      </c>
      <c r="C7" s="111">
        <f>IF(ISBLANK('In Process Calc.'!L7),"",'In Process Calc.'!L7)</f>
        <v>4586.7349957405095</v>
      </c>
      <c r="D7" s="111">
        <f>IF(ISBLANK('In Process Calc.'!M7),"",'In Process Calc.'!M7)</f>
        <v>0</v>
      </c>
      <c r="E7" s="111">
        <f>IF(ISBLANK('In Process Calc.'!N7),"",'In Process Calc.'!N7)</f>
        <v>47.362449999999995</v>
      </c>
      <c r="F7" s="111">
        <f>IF(ISBLANK('In Process Calc.'!O7),"",'In Process Calc.'!O7)</f>
        <v>-0.39761000000000002</v>
      </c>
      <c r="G7" s="111">
        <f>IF(ISBLANK('In Process Calc.'!P7),"",'In Process Calc.'!P7)</f>
        <v>-7.4980000000000491E-2</v>
      </c>
      <c r="H7" s="111">
        <f>IF(ISBLANK('In Process Calc.'!Q7),"",'In Process Calc.'!Q7)</f>
        <v>0.75444199999999917</v>
      </c>
      <c r="I7" s="111">
        <f>IF(ISBLANK('In Process Calc.'!R7),"",'In Process Calc.'!R7)</f>
        <v>0.23180300000000031</v>
      </c>
      <c r="J7" s="111">
        <f>IF(ISBLANK('In Process Calc.'!S7),"",'In Process Calc.'!S7)</f>
        <v>0.35433400000000004</v>
      </c>
      <c r="K7" s="111">
        <f>IF(ISBLANK('In Process Calc.'!T7),"",'In Process Calc.'!T7)</f>
        <v>8.3995945045974914</v>
      </c>
      <c r="L7" s="111">
        <f>IF(ISBLANK('In Process Calc.'!U7),"",'In Process Calc.'!U7)</f>
        <v>-1.2431480000000001</v>
      </c>
      <c r="M7" s="111">
        <f>IF(ISBLANK('In Process Calc.'!V7),"",'In Process Calc.'!V7)</f>
        <v>-7.5766770000000001</v>
      </c>
      <c r="N7" s="111">
        <f>IF(ISBLANK('In Process Calc.'!W7),"",'In Process Calc.'!W7)</f>
        <v>0</v>
      </c>
      <c r="O7" s="111">
        <f>IF(ISBLANK('In Process Calc.'!X7),"",'In Process Calc.'!X7)</f>
        <v>0</v>
      </c>
      <c r="P7" s="111">
        <f>IF(ISBLANK('In Process Calc.'!Y7),"",'In Process Calc.'!Y7)</f>
        <v>0</v>
      </c>
      <c r="Q7" s="111">
        <f>IF(ISBLANK('In Process Calc.'!Z7),"",'In Process Calc.'!Z7)</f>
        <v>8.3964253996447624</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-8.3111480000000029</v>
      </c>
      <c r="AE7" s="111">
        <f>IF(ISBLANK('In Process Calc.'!AN7),"",'In Process Calc.'!AN7)</f>
        <v>-8.7087580000000031</v>
      </c>
      <c r="AF7" s="111">
        <f>IF(ISBLANK('In Process Calc.'!AO7),"",'In Process Calc.'!AO7)</f>
        <v>-37.285191000000012</v>
      </c>
      <c r="AH7" s="111">
        <f>IF(ISBLANK('In Process Calc.'!C7),"",'In Process Calc.'!C7)</f>
        <v>95.366666666697711</v>
      </c>
      <c r="AI7" s="111">
        <f>IF(ISBLANK('Measured Data'!H11),"",'Measured Data'!H11)</f>
        <v>2.7349999977111819</v>
      </c>
      <c r="AJ7" s="111">
        <f>IF(ISBLANK('In Process Calc.'!L7),"",'In Process Calc.'!L7)</f>
        <v>4586.7349957405095</v>
      </c>
      <c r="AK7" s="111">
        <f>IF(ISBLANK('In Process Calc.'!M7),"",'In Process Calc.'!M7)</f>
        <v>0</v>
      </c>
      <c r="AL7" s="111">
        <f>IF(ISBLANK('In Process Calc.'!N7),"",'In Process Calc.'!N7)</f>
        <v>47.362449999999995</v>
      </c>
      <c r="AM7" s="111">
        <f>IF(ISBLANK('In Process Calc.'!O7),"",'In Process Calc.'!O7)</f>
        <v>-0.39761000000000002</v>
      </c>
      <c r="AN7" s="111">
        <f>IF(ISBLANK('In Process Calc.'!P7),"",'In Process Calc.'!P7)</f>
        <v>-7.4980000000000491E-2</v>
      </c>
      <c r="AO7" s="111">
        <f>IF(ISBLANK('In Process Calc.'!Q7),"",'In Process Calc.'!Q7)</f>
        <v>0.75444199999999917</v>
      </c>
      <c r="AP7" s="111">
        <f>IF(ISBLANK('In Process Calc.'!R7),"",'In Process Calc.'!R7)</f>
        <v>0.23180300000000031</v>
      </c>
      <c r="AQ7" s="111">
        <f>IF(ISBLANK('In Process Calc.'!S7),"",'In Process Calc.'!S7)</f>
        <v>0.35433400000000004</v>
      </c>
      <c r="AR7" s="111">
        <f>IF(ISBLANK('In Process Calc.'!T7),"",'In Process Calc.'!T7)</f>
        <v>8.3995945045974914</v>
      </c>
      <c r="AS7" s="111">
        <f>IF(ISBLANK('In Process Calc.'!U7),"",'In Process Calc.'!U7)</f>
        <v>-1.2431480000000001</v>
      </c>
      <c r="AT7" s="111">
        <f>IF(ISBLANK('In Process Calc.'!V7),"",'In Process Calc.'!V7)</f>
        <v>-7.5766770000000001</v>
      </c>
      <c r="AU7" s="111">
        <f>IF(ISBLANK('In Process Calc.'!W7),"",'In Process Calc.'!W7)</f>
        <v>0</v>
      </c>
      <c r="AV7" s="111">
        <f>IF(ISBLANK('In Process Calc.'!X7),"",'In Process Calc.'!X7)</f>
        <v>0</v>
      </c>
      <c r="AW7" s="111">
        <f>IF(ISBLANK('In Process Calc.'!Y7),"",'In Process Calc.'!Y7)</f>
        <v>0</v>
      </c>
      <c r="AX7" s="111">
        <f>IF(ISBLANK('In Process Calc.'!Z7),"",'In Process Calc.'!Z7)</f>
        <v>8.3964253996447624</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-8.3111480000000029</v>
      </c>
      <c r="BL7" s="111">
        <f>IF(ISBLANK('In Process Calc.'!AN7),"",'In Process Calc.'!AN7)</f>
        <v>-8.7087580000000031</v>
      </c>
      <c r="BM7" s="111">
        <f>IF(ISBLANK('In Process Calc.'!AO7),"",'In Process Calc.'!AO7)</f>
        <v>-37.285191000000012</v>
      </c>
      <c r="BO7" s="54" t="s">
        <v>105</v>
      </c>
      <c r="BP7" s="56">
        <f t="array" ref="BP7:BS7">LINEST($E3:INDEX($E:$E,COUNT($E:$E)+2),$A$3:INDEX($A:$A,COUNT($A:$A)+2)^{1,2,3},TRUE,TRUE)</f>
        <v>-1.9019263127514088E-4</v>
      </c>
      <c r="BQ7" s="56">
        <v>0.16379617010895461</v>
      </c>
      <c r="BR7" s="56">
        <v>-16.921037150688747</v>
      </c>
      <c r="BS7" s="56">
        <v>237.10437495781071</v>
      </c>
      <c r="BT7" s="56">
        <f t="array" ref="BT7:BX7">LINEST($E3:INDEX($E:$E,COUNT($E:$E)+2),$A$3:INDEX($A:$A,COUNT($A:$A)+2)^{1,2,3,4},TRUE,TRUE)</f>
        <v>-2.4195292890001026E-6</v>
      </c>
      <c r="BU7" s="56">
        <v>1.4234906453500906E-3</v>
      </c>
      <c r="BV7" s="56">
        <v>-0.17498473306233234</v>
      </c>
      <c r="BW7" s="56">
        <v>6.2994778192325631</v>
      </c>
      <c r="BX7" s="56">
        <v>-28.254529586343779</v>
      </c>
      <c r="BY7" s="57">
        <f>IF('Cumulative Curves'!$B$5=6,#REF!,IF('Cumulative Curves'!$B$5=5,#REF!, IF( 'Cumulative Curves'!$B$5=4, BX7,IF('Cumulative Curves'!$B$5=3, BS7, 0))))</f>
        <v>237.10437495781071</v>
      </c>
      <c r="BZ7" s="57">
        <f>IF('Cumulative Curves'!$B$5=6,#REF!,IF('Cumulative Curves'!$B$5=5,#REF!, IF( 'Cumulative Curves'!$B$5=4, BW7,IF('Cumulative Curves'!$B$5=3, BR7, 0))))</f>
        <v>-16.921037150688747</v>
      </c>
      <c r="CA7" s="57">
        <f>IF('Cumulative Curves'!$B$5=6,#REF!,IF('Cumulative Curves'!$B$5=5,#REF!, IF( 'Cumulative Curves'!$B$5=4, BV7,IF('Cumulative Curves'!$B$5=3, BQ7, 0))))</f>
        <v>0.16379617010895461</v>
      </c>
      <c r="CB7" s="57">
        <f>IF('Cumulative Curves'!$B$5=6,#REF!,IF('Cumulative Curves'!$B$5=5,#REF!, IF( 'Cumulative Curves'!$B$5=4, BU7,IF('Cumulative Curves'!$B$5=3, BP7, 0))))</f>
        <v>-1.9019263127514088E-4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95.366666666697711</v>
      </c>
      <c r="CH7" s="76">
        <f t="shared" si="0"/>
        <v>2.9910100702788553</v>
      </c>
      <c r="CI7" s="76">
        <f t="shared" si="1"/>
        <v>5224.8561735857929</v>
      </c>
      <c r="CJ7" s="76">
        <f t="shared" si="2"/>
        <v>0</v>
      </c>
      <c r="CK7" s="76">
        <f t="shared" si="3"/>
        <v>-51.866786253212922</v>
      </c>
      <c r="CL7" s="76">
        <f t="shared" si="4"/>
        <v>-0.50128232350712087</v>
      </c>
      <c r="CM7" s="76">
        <f t="shared" si="5"/>
        <v>-0.72849498034753846</v>
      </c>
      <c r="CN7" s="76">
        <f t="shared" si="6"/>
        <v>0.37084676250392712</v>
      </c>
      <c r="CO7" s="76">
        <f t="shared" si="7"/>
        <v>-0.24065663253221359</v>
      </c>
      <c r="CP7" s="76">
        <f t="shared" si="8"/>
        <v>0.26893118111539349</v>
      </c>
      <c r="CQ7" s="76">
        <f t="shared" si="9"/>
        <v>8.6034405511582381</v>
      </c>
      <c r="CR7" s="76">
        <f t="shared" si="10"/>
        <v>-1.0676014087611601</v>
      </c>
      <c r="CS7" s="76">
        <f t="shared" si="11"/>
        <v>-10.888024947234198</v>
      </c>
      <c r="CT7" s="76">
        <f t="shared" si="12"/>
        <v>0</v>
      </c>
      <c r="CU7" s="76">
        <f t="shared" si="13"/>
        <v>0</v>
      </c>
      <c r="CV7" s="76">
        <f t="shared" si="14"/>
        <v>0</v>
      </c>
      <c r="CW7" s="76">
        <f t="shared" si="15"/>
        <v>9.1169062967737968</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-17.691081808210139</v>
      </c>
      <c r="DK7" s="76">
        <f t="shared" si="29"/>
        <v>-18.192364131717259</v>
      </c>
      <c r="DL7" s="76">
        <f t="shared" si="30"/>
        <v>-66.202058398401036</v>
      </c>
    </row>
    <row r="8" spans="1:116" s="48" customFormat="1" ht="11.25">
      <c r="A8" s="111">
        <f>IF(ISBLANK('In Process Calc.'!C8),"",'In Process Calc.'!C8)</f>
        <v>115.80000000010477</v>
      </c>
      <c r="B8" s="111">
        <f>IF(ISBLANK('Measured Data'!H12),"",'Measured Data'!H12)</f>
        <v>4.0441001487731931</v>
      </c>
      <c r="C8" s="111">
        <f>IF(ISBLANK('In Process Calc.'!L8),"",'In Process Calc.'!L8)</f>
        <v>7069.4026378343078</v>
      </c>
      <c r="D8" s="111">
        <f>IF(ISBLANK('In Process Calc.'!M8),"",'In Process Calc.'!M8)</f>
        <v>0</v>
      </c>
      <c r="E8" s="111">
        <f>IF(ISBLANK('In Process Calc.'!N8),"",'In Process Calc.'!N8)</f>
        <v>154.21757481481481</v>
      </c>
      <c r="F8" s="111">
        <f>IF(ISBLANK('In Process Calc.'!O8),"",'In Process Calc.'!O8)</f>
        <v>-1.0074514074074075</v>
      </c>
      <c r="G8" s="111">
        <f>IF(ISBLANK('In Process Calc.'!P8),"",'In Process Calc.'!P8)</f>
        <v>-0.85278262962962981</v>
      </c>
      <c r="H8" s="111">
        <f>IF(ISBLANK('In Process Calc.'!Q8),"",'In Process Calc.'!Q8)</f>
        <v>-0.9669200370370381</v>
      </c>
      <c r="I8" s="111">
        <f>IF(ISBLANK('In Process Calc.'!R8),"",'In Process Calc.'!R8)</f>
        <v>2.008481481481475E-2</v>
      </c>
      <c r="J8" s="111">
        <f>IF(ISBLANK('In Process Calc.'!S8),"",'In Process Calc.'!S8)</f>
        <v>0.51104188888888891</v>
      </c>
      <c r="K8" s="111">
        <f>IF(ISBLANK('In Process Calc.'!T8),"",'In Process Calc.'!T8)</f>
        <v>13.105289423155925</v>
      </c>
      <c r="L8" s="111">
        <f>IF(ISBLANK('In Process Calc.'!U8),"",'In Process Calc.'!U8)</f>
        <v>-1.8837163703703705</v>
      </c>
      <c r="M8" s="111">
        <f>IF(ISBLANK('In Process Calc.'!V8),"",'In Process Calc.'!V8)</f>
        <v>-13.325845037037038</v>
      </c>
      <c r="N8" s="111">
        <f>IF(ISBLANK('In Process Calc.'!W8),"",'In Process Calc.'!W8)</f>
        <v>0</v>
      </c>
      <c r="O8" s="111">
        <f>IF(ISBLANK('In Process Calc.'!X8),"",'In Process Calc.'!X8)</f>
        <v>0</v>
      </c>
      <c r="P8" s="111">
        <f>IF(ISBLANK('In Process Calc.'!Y8),"",'In Process Calc.'!Y8)</f>
        <v>0</v>
      </c>
      <c r="Q8" s="111">
        <f>IF(ISBLANK('In Process Calc.'!Z8),"",'In Process Calc.'!Z8)</f>
        <v>11.578185645681208</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-22.403531185185187</v>
      </c>
      <c r="AE8" s="111">
        <f>IF(ISBLANK('In Process Calc.'!AN8),"",'In Process Calc.'!AN8)</f>
        <v>-23.410982592592596</v>
      </c>
      <c r="AF8" s="111">
        <f>IF(ISBLANK('In Process Calc.'!AO8),"",'In Process Calc.'!AO8)</f>
        <v>-78.863238148148156</v>
      </c>
      <c r="AH8" s="111">
        <f>IF(ISBLANK('In Process Calc.'!C8),"",'In Process Calc.'!C8)</f>
        <v>115.80000000010477</v>
      </c>
      <c r="AI8" s="111">
        <f>IF(ISBLANK('Measured Data'!H12),"",'Measured Data'!H12)</f>
        <v>4.0441001487731931</v>
      </c>
      <c r="AJ8" s="111">
        <f>IF(ISBLANK('In Process Calc.'!L8),"",'In Process Calc.'!L8)</f>
        <v>7069.4026378343078</v>
      </c>
      <c r="AK8" s="111">
        <f>IF(ISBLANK('In Process Calc.'!M8),"",'In Process Calc.'!M8)</f>
        <v>0</v>
      </c>
      <c r="AL8" s="111">
        <f>IF(ISBLANK('In Process Calc.'!N8),"",'In Process Calc.'!N8)</f>
        <v>154.21757481481481</v>
      </c>
      <c r="AM8" s="111">
        <f>IF(ISBLANK('In Process Calc.'!O8),"",'In Process Calc.'!O8)</f>
        <v>-1.0074514074074075</v>
      </c>
      <c r="AN8" s="111">
        <f>IF(ISBLANK('In Process Calc.'!P8),"",'In Process Calc.'!P8)</f>
        <v>-0.85278262962962981</v>
      </c>
      <c r="AO8" s="111">
        <f>IF(ISBLANK('In Process Calc.'!Q8),"",'In Process Calc.'!Q8)</f>
        <v>-0.9669200370370381</v>
      </c>
      <c r="AP8" s="111">
        <f>IF(ISBLANK('In Process Calc.'!R8),"",'In Process Calc.'!R8)</f>
        <v>2.008481481481475E-2</v>
      </c>
      <c r="AQ8" s="111">
        <f>IF(ISBLANK('In Process Calc.'!S8),"",'In Process Calc.'!S8)</f>
        <v>0.51104188888888891</v>
      </c>
      <c r="AR8" s="111">
        <f>IF(ISBLANK('In Process Calc.'!T8),"",'In Process Calc.'!T8)</f>
        <v>13.105289423155925</v>
      </c>
      <c r="AS8" s="111">
        <f>IF(ISBLANK('In Process Calc.'!U8),"",'In Process Calc.'!U8)</f>
        <v>-1.8837163703703705</v>
      </c>
      <c r="AT8" s="111">
        <f>IF(ISBLANK('In Process Calc.'!V8),"",'In Process Calc.'!V8)</f>
        <v>-13.325845037037038</v>
      </c>
      <c r="AU8" s="111">
        <f>IF(ISBLANK('In Process Calc.'!W8),"",'In Process Calc.'!W8)</f>
        <v>0</v>
      </c>
      <c r="AV8" s="111">
        <f>IF(ISBLANK('In Process Calc.'!X8),"",'In Process Calc.'!X8)</f>
        <v>0</v>
      </c>
      <c r="AW8" s="111">
        <f>IF(ISBLANK('In Process Calc.'!Y8),"",'In Process Calc.'!Y8)</f>
        <v>0</v>
      </c>
      <c r="AX8" s="111">
        <f>IF(ISBLANK('In Process Calc.'!Z8),"",'In Process Calc.'!Z8)</f>
        <v>11.578185645681208</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-22.403531185185187</v>
      </c>
      <c r="BL8" s="111">
        <f>IF(ISBLANK('In Process Calc.'!AN8),"",'In Process Calc.'!AN8)</f>
        <v>-23.410982592592596</v>
      </c>
      <c r="BM8" s="111">
        <f>IF(ISBLANK('In Process Calc.'!AO8),"",'In Process Calc.'!AO8)</f>
        <v>-78.863238148148156</v>
      </c>
      <c r="BO8" s="54" t="s">
        <v>290</v>
      </c>
      <c r="BP8" s="56">
        <f t="array" ref="BP8:BS8">LINEST($AM3:INDEX($AM:$AM,COUNT($AM:$AM)+2),$AH$3:INDEX($AH:$AH,COUNT($AH:$AH)+2)^{1,2,3},TRUE,TRUE)</f>
        <v>3.155847116383953E-6</v>
      </c>
      <c r="BQ8" s="56">
        <v>-1.4027023432857501E-3</v>
      </c>
      <c r="BR8" s="56">
        <v>0.11204435063332378</v>
      </c>
      <c r="BS8" s="56">
        <v>-1.1664749027340555</v>
      </c>
      <c r="BT8" s="56">
        <f t="array" ref="BT8:BX8">LINEST($AM3:INDEX($AM:$AM,COUNT($AM:$AM)+2),$AH$3:INDEX($AH:$AH,COUNT($AH:$AH)+2)^{1,2,3,4},TRUE,TRUE)</f>
        <v>1.8968896488924469E-9</v>
      </c>
      <c r="BU8" s="56">
        <v>1.8907336424791884E-6</v>
      </c>
      <c r="BV8" s="56">
        <v>-1.1371010995274563E-3</v>
      </c>
      <c r="BW8" s="56">
        <v>9.3839671446902945E-2</v>
      </c>
      <c r="BX8" s="56">
        <v>-0.95843585912352136</v>
      </c>
      <c r="BY8" s="57">
        <f>IF('Cumulative Curves'!$B$4=6,#REF!,IF('Cumulative Curves'!$B$4=5,#REF!, IF( 'Cumulative Curves'!$B$4=4, BX8,IF('Cumulative Curves'!$B$4=3, BS8, 0))))</f>
        <v>-1.1664749027340555</v>
      </c>
      <c r="BZ8" s="57">
        <f>IF('Cumulative Curves'!$B$4=6,#REF!,IF('Cumulative Curves'!$B$4=5,#REF!, IF( 'Cumulative Curves'!$B$4=4, BW8,IF('Cumulative Curves'!$B$4=3, BR8, 0))))</f>
        <v>0.11204435063332378</v>
      </c>
      <c r="CA8" s="57">
        <f>IF('Cumulative Curves'!$B$4=6,#REF!,IF('Cumulative Curves'!$B$4=5,#REF!, IF( 'Cumulative Curves'!$B$4=4, BV8,IF('Cumulative Curves'!$B$4=3, BQ8, 0))))</f>
        <v>-1.4027023432857501E-3</v>
      </c>
      <c r="CB8" s="57">
        <f>IF('Cumulative Curves'!$B$4=6,#REF!,IF('Cumulative Curves'!$B$4=5,#REF!, IF( 'Cumulative Curves'!$B$4=4, BU8,IF('Cumulative Curves'!$B$4=3, BP8, 0))))</f>
        <v>3.155847116383953E-6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115.80000000010477</v>
      </c>
      <c r="CH8" s="76">
        <f t="shared" si="0"/>
        <v>4.8323131339656378</v>
      </c>
      <c r="CI8" s="76">
        <f t="shared" si="1"/>
        <v>8710.568697374958</v>
      </c>
      <c r="CJ8" s="76">
        <f t="shared" si="2"/>
        <v>0</v>
      </c>
      <c r="CK8" s="76">
        <f t="shared" si="3"/>
        <v>178.75792333043012</v>
      </c>
      <c r="CL8" s="76">
        <f t="shared" si="4"/>
        <v>-2.100958552580992</v>
      </c>
      <c r="CM8" s="76">
        <f t="shared" si="5"/>
        <v>-0.96685097446921586</v>
      </c>
      <c r="CN8" s="76">
        <f t="shared" si="6"/>
        <v>0.81747863103543583</v>
      </c>
      <c r="CO8" s="76">
        <f t="shared" si="7"/>
        <v>-0.90321398440518386</v>
      </c>
      <c r="CP8" s="76">
        <f t="shared" si="8"/>
        <v>0.46975062002572587</v>
      </c>
      <c r="CQ8" s="76">
        <f t="shared" si="9"/>
        <v>13.285360510333309</v>
      </c>
      <c r="CR8" s="76">
        <f t="shared" si="10"/>
        <v>-2.0998545635243149</v>
      </c>
      <c r="CS8" s="76">
        <f t="shared" si="11"/>
        <v>-13.362429357793637</v>
      </c>
      <c r="CT8" s="76">
        <f t="shared" si="12"/>
        <v>0</v>
      </c>
      <c r="CU8" s="76">
        <f t="shared" si="13"/>
        <v>0</v>
      </c>
      <c r="CV8" s="76">
        <f t="shared" si="14"/>
        <v>0</v>
      </c>
      <c r="CW8" s="76">
        <f t="shared" si="15"/>
        <v>12.457907682159412</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-22.180681732927983</v>
      </c>
      <c r="DK8" s="76">
        <f t="shared" si="29"/>
        <v>-24.281640285508978</v>
      </c>
      <c r="DL8" s="76">
        <f t="shared" si="30"/>
        <v>-75.16475373396915</v>
      </c>
    </row>
    <row r="9" spans="1:116" s="48" customFormat="1" ht="11.25">
      <c r="A9" s="111">
        <f>IF(ISBLANK('In Process Calc.'!C9),"",'In Process Calc.'!C9)</f>
        <v>141</v>
      </c>
      <c r="B9" s="111">
        <f>IF(ISBLANK('Measured Data'!H13),"",'Measured Data'!H13)</f>
        <v>6.7267001701354987</v>
      </c>
      <c r="C9" s="111">
        <f>IF(ISBLANK('In Process Calc.'!L9),"",'In Process Calc.'!L9)</f>
        <v>12168.508298275252</v>
      </c>
      <c r="D9" s="111">
        <f>IF(ISBLANK('In Process Calc.'!M9),"",'In Process Calc.'!M9)</f>
        <v>0</v>
      </c>
      <c r="E9" s="111">
        <f>IF(ISBLANK('In Process Calc.'!N9),"",'In Process Calc.'!N9)</f>
        <v>394.08631111111106</v>
      </c>
      <c r="F9" s="111">
        <f>IF(ISBLANK('In Process Calc.'!O9),"",'In Process Calc.'!O9)</f>
        <v>-2.6060101111111109</v>
      </c>
      <c r="G9" s="111">
        <f>IF(ISBLANK('In Process Calc.'!P9),"",'In Process Calc.'!P9)</f>
        <v>-1.8050884444444455</v>
      </c>
      <c r="H9" s="111">
        <f>IF(ISBLANK('In Process Calc.'!Q9),"",'In Process Calc.'!Q9)</f>
        <v>-1.1663105555555557</v>
      </c>
      <c r="I9" s="111">
        <f>IF(ISBLANK('In Process Calc.'!R9),"",'In Process Calc.'!R9)</f>
        <v>-0.82472188888888887</v>
      </c>
      <c r="J9" s="111">
        <f>IF(ISBLANK('In Process Calc.'!S9),"",'In Process Calc.'!S9)</f>
        <v>0.66615333333333338</v>
      </c>
      <c r="K9" s="111">
        <f>IF(ISBLANK('In Process Calc.'!T9),"",'In Process Calc.'!T9)</f>
        <v>20.413562680083089</v>
      </c>
      <c r="L9" s="111">
        <f>IF(ISBLANK('In Process Calc.'!U9),"",'In Process Calc.'!U9)</f>
        <v>-3.1779331111111118</v>
      </c>
      <c r="M9" s="111">
        <f>IF(ISBLANK('In Process Calc.'!V9),"",'In Process Calc.'!V9)</f>
        <v>-20.133170000000003</v>
      </c>
      <c r="N9" s="111">
        <f>IF(ISBLANK('In Process Calc.'!W9),"",'In Process Calc.'!W9)</f>
        <v>0</v>
      </c>
      <c r="O9" s="111">
        <f>IF(ISBLANK('In Process Calc.'!X9),"",'In Process Calc.'!X9)</f>
        <v>0</v>
      </c>
      <c r="P9" s="111">
        <f>IF(ISBLANK('In Process Calc.'!Y9),"",'In Process Calc.'!Y9)</f>
        <v>0</v>
      </c>
      <c r="Q9" s="111">
        <f>IF(ISBLANK('In Process Calc.'!Z9),"",'In Process Calc.'!Z9)</f>
        <v>15.842152654430633</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-38.140436444444447</v>
      </c>
      <c r="AE9" s="111">
        <f>IF(ISBLANK('In Process Calc.'!AN9),"",'In Process Calc.'!AN9)</f>
        <v>-40.746446555555558</v>
      </c>
      <c r="AF9" s="111">
        <f>IF(ISBLANK('In Process Calc.'!AO9),"",'In Process Calc.'!AO9)</f>
        <v>-123.53522566666669</v>
      </c>
      <c r="AH9" s="111">
        <f>IF(ISBLANK('In Process Calc.'!C9),"",'In Process Calc.'!C9)</f>
        <v>141</v>
      </c>
      <c r="AI9" s="111">
        <f>IF(ISBLANK('Measured Data'!H13),"",'Measured Data'!H13)</f>
        <v>6.7267001701354987</v>
      </c>
      <c r="AJ9" s="111">
        <f>IF(ISBLANK('In Process Calc.'!L9),"",'In Process Calc.'!L9)</f>
        <v>12168.508298275252</v>
      </c>
      <c r="AK9" s="111">
        <f>IF(ISBLANK('In Process Calc.'!M9),"",'In Process Calc.'!M9)</f>
        <v>0</v>
      </c>
      <c r="AL9" s="111">
        <f>IF(ISBLANK('In Process Calc.'!N9),"",'In Process Calc.'!N9)</f>
        <v>394.08631111111106</v>
      </c>
      <c r="AM9" s="111">
        <f>IF(ISBLANK('In Process Calc.'!O9),"",'In Process Calc.'!O9)</f>
        <v>-2.6060101111111109</v>
      </c>
      <c r="AN9" s="111">
        <f>IF(ISBLANK('In Process Calc.'!P9),"",'In Process Calc.'!P9)</f>
        <v>-1.8050884444444455</v>
      </c>
      <c r="AO9" s="111">
        <f>IF(ISBLANK('In Process Calc.'!Q9),"",'In Process Calc.'!Q9)</f>
        <v>-1.1663105555555557</v>
      </c>
      <c r="AP9" s="111">
        <f>IF(ISBLANK('In Process Calc.'!R9),"",'In Process Calc.'!R9)</f>
        <v>-0.82472188888888887</v>
      </c>
      <c r="AQ9" s="111">
        <f>IF(ISBLANK('In Process Calc.'!S9),"",'In Process Calc.'!S9)</f>
        <v>0.66615333333333338</v>
      </c>
      <c r="AR9" s="111">
        <f>IF(ISBLANK('In Process Calc.'!T9),"",'In Process Calc.'!T9)</f>
        <v>20.413562680083089</v>
      </c>
      <c r="AS9" s="111">
        <f>IF(ISBLANK('In Process Calc.'!U9),"",'In Process Calc.'!U9)</f>
        <v>-3.1779331111111118</v>
      </c>
      <c r="AT9" s="111">
        <f>IF(ISBLANK('In Process Calc.'!V9),"",'In Process Calc.'!V9)</f>
        <v>-20.133170000000003</v>
      </c>
      <c r="AU9" s="111">
        <f>IF(ISBLANK('In Process Calc.'!W9),"",'In Process Calc.'!W9)</f>
        <v>0</v>
      </c>
      <c r="AV9" s="111">
        <f>IF(ISBLANK('In Process Calc.'!X9),"",'In Process Calc.'!X9)</f>
        <v>0</v>
      </c>
      <c r="AW9" s="111">
        <f>IF(ISBLANK('In Process Calc.'!Y9),"",'In Process Calc.'!Y9)</f>
        <v>0</v>
      </c>
      <c r="AX9" s="111">
        <f>IF(ISBLANK('In Process Calc.'!Z9),"",'In Process Calc.'!Z9)</f>
        <v>15.842152654430633</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-38.140436444444447</v>
      </c>
      <c r="BL9" s="111">
        <f>IF(ISBLANK('In Process Calc.'!AN9),"",'In Process Calc.'!AN9)</f>
        <v>-40.746446555555558</v>
      </c>
      <c r="BM9" s="111">
        <f>IF(ISBLANK('In Process Calc.'!AO9),"",'In Process Calc.'!AO9)</f>
        <v>-123.53522566666669</v>
      </c>
      <c r="BO9" s="54" t="s">
        <v>54</v>
      </c>
      <c r="BP9" s="56">
        <f t="array" ref="BP9:BS9">LINEST($AN3:INDEX($AN:$AN,COUNT($AN:$AN)+2),$AH$3:INDEX($AH:$AH,COUNT($AH:$AH)+2)^{1,2,3},TRUE,TRUE)</f>
        <v>3.2715305592920529E-7</v>
      </c>
      <c r="BQ9" s="56">
        <v>-6.7337857507494153E-5</v>
      </c>
      <c r="BR9" s="56">
        <v>-8.4208442667063239E-3</v>
      </c>
      <c r="BS9" s="56">
        <v>0.4032440743346708</v>
      </c>
      <c r="BT9" s="56">
        <f t="array" ref="BT9:BX9">LINEST($AN3:INDEX($AN:$AN,COUNT($AN:$AN)+2),$AH$3:INDEX($AH:$AH,COUNT($AH:$AH)+2)^{1,2,3,4},TRUE,TRUE)</f>
        <v>-7.9721830362239436E-9</v>
      </c>
      <c r="BU9" s="56">
        <v>5.6441287595241683E-6</v>
      </c>
      <c r="BV9" s="56">
        <v>-1.1835976943019915E-3</v>
      </c>
      <c r="BW9" s="56">
        <v>6.8089159715139666E-2</v>
      </c>
      <c r="BX9" s="56">
        <v>-0.47109531346919553</v>
      </c>
      <c r="BY9" s="57">
        <f>IF('Cumulative Curves'!$B$6=6,#REF!,IF('Cumulative Curves'!$B$6=5,#REF!, IF( 'Cumulative Curves'!$B$6=4, BX9,IF('Cumulative Curves'!$B$6=3, BS9, 0))))</f>
        <v>0.4032440743346708</v>
      </c>
      <c r="BZ9" s="57">
        <f>IF('Cumulative Curves'!$B$6=6,#REF!,IF('Cumulative Curves'!$B$6=5,#REF!, IF( 'Cumulative Curves'!$B$6=4, BW9,IF('Cumulative Curves'!$B$6=3, BR9, 0))))</f>
        <v>-8.4208442667063239E-3</v>
      </c>
      <c r="CA9" s="57">
        <f>IF('Cumulative Curves'!$B$6=6,#REF!,IF('Cumulative Curves'!$B$6=5,#REF!, IF( 'Cumulative Curves'!$B$6=4, BV9,IF('Cumulative Curves'!$B$6=3, BQ9, 0))))</f>
        <v>-6.7337857507494153E-5</v>
      </c>
      <c r="CB9" s="57">
        <f>IF('Cumulative Curves'!$B$6=6,#REF!,IF('Cumulative Curves'!$B$6=5,#REF!, IF( 'Cumulative Curves'!$B$6=4, BU9,IF('Cumulative Curves'!$B$6=3, BP9, 0))))</f>
        <v>3.2715305592920529E-7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v>
      </c>
      <c r="CH9" s="76">
        <f t="shared" si="0"/>
        <v>7.3776908022620935</v>
      </c>
      <c r="CI9" s="76">
        <f t="shared" si="1"/>
        <v>13511.194223555231</v>
      </c>
      <c r="CJ9" s="76">
        <f t="shared" si="2"/>
        <v>0</v>
      </c>
      <c r="CK9" s="76">
        <f t="shared" si="3"/>
        <v>574.51781661109226</v>
      </c>
      <c r="CL9" s="76">
        <f t="shared" si="4"/>
        <v>-4.4088098408624603</v>
      </c>
      <c r="CM9" s="76">
        <f t="shared" si="5"/>
        <v>-1.2057565957824896</v>
      </c>
      <c r="CN9" s="76">
        <f t="shared" si="6"/>
        <v>1.9107933138810997</v>
      </c>
      <c r="CO9" s="76">
        <f t="shared" si="7"/>
        <v>-1.6371939891733538</v>
      </c>
      <c r="CP9" s="76">
        <f t="shared" si="8"/>
        <v>0.74571551334656949</v>
      </c>
      <c r="CQ9" s="76">
        <f t="shared" si="9"/>
        <v>21.049183060634345</v>
      </c>
      <c r="CR9" s="76">
        <f t="shared" si="10"/>
        <v>-3.6928332347553896</v>
      </c>
      <c r="CS9" s="76">
        <f t="shared" si="11"/>
        <v>-15.761077855001879</v>
      </c>
      <c r="CT9" s="76">
        <f t="shared" si="12"/>
        <v>0</v>
      </c>
      <c r="CU9" s="76">
        <f t="shared" si="13"/>
        <v>0</v>
      </c>
      <c r="CV9" s="76">
        <f t="shared" si="14"/>
        <v>0</v>
      </c>
      <c r="CW9" s="76">
        <f t="shared" si="15"/>
        <v>16.092546643539457</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-26.449295697935966</v>
      </c>
      <c r="DK9" s="76">
        <f t="shared" si="29"/>
        <v>-30.858105538798426</v>
      </c>
      <c r="DL9" s="76">
        <f t="shared" si="30"/>
        <v>-80.16412948986553</v>
      </c>
    </row>
    <row r="10" spans="1:116" s="48" customFormat="1" ht="11.25">
      <c r="A10" s="111">
        <f>IF(ISBLANK('In Process Calc.'!C10),"",'In Process Calc.'!C10)</f>
        <v>164.65000000008149</v>
      </c>
      <c r="B10" s="111">
        <f>IF(ISBLANK('Measured Data'!H14),"",'Measured Data'!H14)</f>
        <v>9.945699555969238</v>
      </c>
      <c r="C10" s="111">
        <f>IF(ISBLANK('In Process Calc.'!L10),"",'In Process Calc.'!L10)</f>
        <v>18352.104561903609</v>
      </c>
      <c r="D10" s="111">
        <f>IF(ISBLANK('In Process Calc.'!M10),"",'In Process Calc.'!M10)</f>
        <v>0</v>
      </c>
      <c r="E10" s="111">
        <f>IF(ISBLANK('In Process Calc.'!N10),"",'In Process Calc.'!N10)</f>
        <v>778.13719074074072</v>
      </c>
      <c r="F10" s="111">
        <f>IF(ISBLANK('In Process Calc.'!O10),"",'In Process Calc.'!O10)</f>
        <v>-5.288907222222222</v>
      </c>
      <c r="G10" s="111">
        <f>IF(ISBLANK('In Process Calc.'!P10),"",'In Process Calc.'!P10)</f>
        <v>-2.7577387407407414</v>
      </c>
      <c r="H10" s="111">
        <f>IF(ISBLANK('In Process Calc.'!Q10),"",'In Process Calc.'!Q10)</f>
        <v>0.56920181481481458</v>
      </c>
      <c r="I10" s="111">
        <f>IF(ISBLANK('In Process Calc.'!R10),"",'In Process Calc.'!R10)</f>
        <v>-2.0984448888888889</v>
      </c>
      <c r="J10" s="111">
        <f>IF(ISBLANK('In Process Calc.'!S10),"",'In Process Calc.'!S10)</f>
        <v>0.85311670370370385</v>
      </c>
      <c r="K10" s="111">
        <f>IF(ISBLANK('In Process Calc.'!T10),"",'In Process Calc.'!T10)</f>
        <v>30.245775927447482</v>
      </c>
      <c r="L10" s="111">
        <f>IF(ISBLANK('In Process Calc.'!U10),"",'In Process Calc.'!U10)</f>
        <v>-5.0845753333333334</v>
      </c>
      <c r="M10" s="111">
        <f>IF(ISBLANK('In Process Calc.'!V10),"",'In Process Calc.'!V10)</f>
        <v>-25.480452629629632</v>
      </c>
      <c r="N10" s="111">
        <f>IF(ISBLANK('In Process Calc.'!W10),"",'In Process Calc.'!W10)</f>
        <v>0</v>
      </c>
      <c r="O10" s="111">
        <f>IF(ISBLANK('In Process Calc.'!X10),"",'In Process Calc.'!X10)</f>
        <v>0</v>
      </c>
      <c r="P10" s="111">
        <f>IF(ISBLANK('In Process Calc.'!Y10),"",'In Process Calc.'!Y10)</f>
        <v>0</v>
      </c>
      <c r="Q10" s="111">
        <f>IF(ISBLANK('In Process Calc.'!Z10),"",'In Process Calc.'!Z10)</f>
        <v>18.90216104203671</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-51.223273333333339</v>
      </c>
      <c r="AE10" s="111">
        <f>IF(ISBLANK('In Process Calc.'!AN10),"",'In Process Calc.'!AN10)</f>
        <v>-56.51218055555556</v>
      </c>
      <c r="AF10" s="111">
        <f>IF(ISBLANK('In Process Calc.'!AO10),"",'In Process Calc.'!AO10)</f>
        <v>-154.50312266666668</v>
      </c>
      <c r="AH10" s="111">
        <f>IF(ISBLANK('In Process Calc.'!C10),"",'In Process Calc.'!C10)</f>
        <v>164.65000000008149</v>
      </c>
      <c r="AI10" s="111">
        <f>IF(ISBLANK('Measured Data'!H14),"",'Measured Data'!H14)</f>
        <v>9.945699555969238</v>
      </c>
      <c r="AJ10" s="111">
        <f>IF(ISBLANK('In Process Calc.'!L10),"",'In Process Calc.'!L10)</f>
        <v>18352.104561903609</v>
      </c>
      <c r="AK10" s="111">
        <f>IF(ISBLANK('In Process Calc.'!M10),"",'In Process Calc.'!M10)</f>
        <v>0</v>
      </c>
      <c r="AL10" s="111">
        <f>IF(ISBLANK('In Process Calc.'!N10),"",'In Process Calc.'!N10)</f>
        <v>778.13719074074072</v>
      </c>
      <c r="AM10" s="111">
        <f>IF(ISBLANK('In Process Calc.'!O10),"",'In Process Calc.'!O10)</f>
        <v>-5.288907222222222</v>
      </c>
      <c r="AN10" s="111">
        <f>IF(ISBLANK('In Process Calc.'!P10),"",'In Process Calc.'!P10)</f>
        <v>-2.7577387407407414</v>
      </c>
      <c r="AO10" s="111">
        <f>IF(ISBLANK('In Process Calc.'!Q10),"",'In Process Calc.'!Q10)</f>
        <v>0.56920181481481458</v>
      </c>
      <c r="AP10" s="111">
        <f>IF(ISBLANK('In Process Calc.'!R10),"",'In Process Calc.'!R10)</f>
        <v>-2.0984448888888889</v>
      </c>
      <c r="AQ10" s="111">
        <f>IF(ISBLANK('In Process Calc.'!S10),"",'In Process Calc.'!S10)</f>
        <v>0.85311670370370385</v>
      </c>
      <c r="AR10" s="111">
        <f>IF(ISBLANK('In Process Calc.'!T10),"",'In Process Calc.'!T10)</f>
        <v>30.245775927447482</v>
      </c>
      <c r="AS10" s="111">
        <f>IF(ISBLANK('In Process Calc.'!U10),"",'In Process Calc.'!U10)</f>
        <v>-5.0845753333333334</v>
      </c>
      <c r="AT10" s="111">
        <f>IF(ISBLANK('In Process Calc.'!V10),"",'In Process Calc.'!V10)</f>
        <v>-25.480452629629632</v>
      </c>
      <c r="AU10" s="111">
        <f>IF(ISBLANK('In Process Calc.'!W10),"",'In Process Calc.'!W10)</f>
        <v>0</v>
      </c>
      <c r="AV10" s="111">
        <f>IF(ISBLANK('In Process Calc.'!X10),"",'In Process Calc.'!X10)</f>
        <v>0</v>
      </c>
      <c r="AW10" s="111">
        <f>IF(ISBLANK('In Process Calc.'!Y10),"",'In Process Calc.'!Y10)</f>
        <v>0</v>
      </c>
      <c r="AX10" s="111">
        <f>IF(ISBLANK('In Process Calc.'!Z10),"",'In Process Calc.'!Z10)</f>
        <v>18.90216104203671</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-51.223273333333339</v>
      </c>
      <c r="BL10" s="111">
        <f>IF(ISBLANK('In Process Calc.'!AN10),"",'In Process Calc.'!AN10)</f>
        <v>-56.51218055555556</v>
      </c>
      <c r="BM10" s="111">
        <f>IF(ISBLANK('In Process Calc.'!AO10),"",'In Process Calc.'!AO10)</f>
        <v>-154.50312266666668</v>
      </c>
      <c r="BO10" s="54" t="s">
        <v>49</v>
      </c>
      <c r="BP10" s="56">
        <f t="array" ref="BP10:BS10">LINEST($AO3:INDEX($AO:$AO,COUNT($AO:$AO)+2),$AH$3:INDEX($AH:$AH,COUNT($AH:$AH)+2)^{1,2,3},TRUE,TRUE)</f>
        <v>-1.8310917425664701E-6</v>
      </c>
      <c r="BQ10" s="56">
        <v>9.7292227263916296E-4</v>
      </c>
      <c r="BR10" s="56">
        <v>-9.3208050063879333E-2</v>
      </c>
      <c r="BS10" s="56">
        <v>1.6557271487905183</v>
      </c>
      <c r="BT10" s="56">
        <f t="array" ref="BT10:BX10">LINEST($AO3:INDEX($AO:$AO,COUNT($AO:$AO)+2),$AH$3:INDEX($AH:$AH,COUNT($AH:$AH)+2)^{1,2,3,4},TRUE,TRUE)</f>
        <v>-1.2331020914642025E-8</v>
      </c>
      <c r="BU10" s="56">
        <v>6.3929716420503873E-6</v>
      </c>
      <c r="BV10" s="56">
        <v>-7.5365918329884654E-4</v>
      </c>
      <c r="BW10" s="56">
        <v>2.5134247772568057E-2</v>
      </c>
      <c r="BX10" s="56">
        <v>0.3033375676035277</v>
      </c>
      <c r="BY10" s="57">
        <f>IF('Cumulative Curves'!$B$7=6,#REF!,IF('Cumulative Curves'!$B$7=5,#REF!, IF( 'Cumulative Curves'!$B$7=4, BX10,IF('Cumulative Curves'!$B$7=3, BS10, 0))))</f>
        <v>0.3033375676035277</v>
      </c>
      <c r="BZ10" s="57">
        <f>IF('Cumulative Curves'!$B$7=6,#REF!,IF('Cumulative Curves'!$B$7=5,#REF!, IF( 'Cumulative Curves'!$B$7=4, BW10,IF('Cumulative Curves'!$B$7=3, BR10, 0))))</f>
        <v>2.5134247772568057E-2</v>
      </c>
      <c r="CA10" s="57">
        <f>IF('Cumulative Curves'!$B$7=6,#REF!,IF('Cumulative Curves'!$B$7=5,#REF!, IF( 'Cumulative Curves'!$B$7=4, BV10,IF('Cumulative Curves'!$B$7=3, BQ10, 0))))</f>
        <v>-7.5365918329884654E-4</v>
      </c>
      <c r="CB10" s="57">
        <f>IF('Cumulative Curves'!$B$7=6,#REF!,IF('Cumulative Curves'!$B$7=5,#REF!, IF( 'Cumulative Curves'!$B$7=4, BU10,IF('Cumulative Curves'!$B$7=3, BP10, 0))))</f>
        <v>6.3929716420503873E-6</v>
      </c>
      <c r="CC10" s="57">
        <f>IF('Cumulative Curves'!$B$7=6,#REF!,IF('Cumulative Curves'!$B$7=5,#REF!, IF( 'Cumulative Curves'!$B$7=4,BT10, 0)))</f>
        <v>-1.2331020914642025E-8</v>
      </c>
      <c r="CD10" s="57">
        <f>IF('Cumulative Curves'!$B$7=6,#REF!,IF('Cumulative Curves'!$B$7=5,#REF!, 0))</f>
        <v>0</v>
      </c>
      <c r="CE10" s="57">
        <f>IF('Cumulative Curves'!$B$7=6,#REF!,0)</f>
        <v>0</v>
      </c>
      <c r="CF10" s="49"/>
      <c r="CG10" s="76">
        <f>IF(ISBLANK('In Process Calc.'!C10),"",'In Process Calc.'!C10)</f>
        <v>164.65000000008149</v>
      </c>
      <c r="CH10" s="76">
        <f t="shared" si="0"/>
        <v>9.850315033750384</v>
      </c>
      <c r="CI10" s="76">
        <f t="shared" si="1"/>
        <v>18152.539914965884</v>
      </c>
      <c r="CJ10" s="76">
        <f t="shared" si="2"/>
        <v>0</v>
      </c>
      <c r="CK10" s="76">
        <f t="shared" si="3"/>
        <v>1042.5642423859854</v>
      </c>
      <c r="CL10" s="76">
        <f t="shared" si="4"/>
        <v>-6.6586664568788763</v>
      </c>
      <c r="CM10" s="76">
        <f t="shared" si="5"/>
        <v>-1.3484716651281414</v>
      </c>
      <c r="CN10" s="76">
        <f t="shared" si="6"/>
        <v>3.4834822159707013</v>
      </c>
      <c r="CO10" s="76">
        <f t="shared" si="7"/>
        <v>-2.1137678819848569</v>
      </c>
      <c r="CP10" s="76">
        <f t="shared" si="8"/>
        <v>1.0124981972974512</v>
      </c>
      <c r="CQ10" s="76">
        <f t="shared" si="9"/>
        <v>30.425873876786994</v>
      </c>
      <c r="CR10" s="76">
        <f t="shared" si="10"/>
        <v>-5.1446406179903388</v>
      </c>
      <c r="CS10" s="76">
        <f t="shared" si="11"/>
        <v>-17.227448350130622</v>
      </c>
      <c r="CT10" s="76">
        <f t="shared" si="12"/>
        <v>0</v>
      </c>
      <c r="CU10" s="76">
        <f t="shared" si="13"/>
        <v>0</v>
      </c>
      <c r="CV10" s="76">
        <f t="shared" si="14"/>
        <v>0</v>
      </c>
      <c r="CW10" s="76">
        <f t="shared" si="15"/>
        <v>18.332038423906472</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-28.823723057979137</v>
      </c>
      <c r="DK10" s="76">
        <f t="shared" si="29"/>
        <v>-35.482389514858006</v>
      </c>
      <c r="DL10" s="76">
        <f t="shared" si="30"/>
        <v>-78.865381983600869</v>
      </c>
    </row>
    <row r="11" spans="1:116" s="48" customFormat="1" ht="11.25">
      <c r="A11" s="111">
        <f>IF(ISBLANK('In Process Calc.'!C11),"",'In Process Calc.'!C11)</f>
        <v>189.03333333326736</v>
      </c>
      <c r="B11" s="111">
        <f>IF(ISBLANK('Measured Data'!H15),"",'Measured Data'!H15)</f>
        <v>12.503599984741211</v>
      </c>
      <c r="C11" s="111">
        <f>IF(ISBLANK('In Process Calc.'!L11),"",'In Process Calc.'!L11)</f>
        <v>23515.852474392137</v>
      </c>
      <c r="D11" s="111">
        <f>IF(ISBLANK('In Process Calc.'!M11),"",'In Process Calc.'!M11)</f>
        <v>0</v>
      </c>
      <c r="E11" s="111">
        <f>IF(ISBLANK('In Process Calc.'!N11),"",'In Process Calc.'!N11)</f>
        <v>1424.1058925925927</v>
      </c>
      <c r="F11" s="111">
        <f>IF(ISBLANK('In Process Calc.'!O11),"",'In Process Calc.'!O11)</f>
        <v>-9.2851067777777772</v>
      </c>
      <c r="G11" s="111">
        <f>IF(ISBLANK('In Process Calc.'!P11),"",'In Process Calc.'!P11)</f>
        <v>-2.0959375555555564</v>
      </c>
      <c r="H11" s="111">
        <f>IF(ISBLANK('In Process Calc.'!Q11),"",'In Process Calc.'!Q11)</f>
        <v>8.9346979629629626</v>
      </c>
      <c r="I11" s="111">
        <f>IF(ISBLANK('In Process Calc.'!R11),"",'In Process Calc.'!R11)</f>
        <v>-3.5645098888888898</v>
      </c>
      <c r="J11" s="111">
        <f>IF(ISBLANK('In Process Calc.'!S11),"",'In Process Calc.'!S11)</f>
        <v>1.1783651851851853</v>
      </c>
      <c r="K11" s="111">
        <f>IF(ISBLANK('In Process Calc.'!T11),"",'In Process Calc.'!T11)</f>
        <v>43.420829621683531</v>
      </c>
      <c r="L11" s="111">
        <f>IF(ISBLANK('In Process Calc.'!U11),"",'In Process Calc.'!U11)</f>
        <v>-6.6868720740740741</v>
      </c>
      <c r="M11" s="111">
        <f>IF(ISBLANK('In Process Calc.'!V11),"",'In Process Calc.'!V11)</f>
        <v>-23.68069925925926</v>
      </c>
      <c r="N11" s="111">
        <f>IF(ISBLANK('In Process Calc.'!W11),"",'In Process Calc.'!W11)</f>
        <v>0</v>
      </c>
      <c r="O11" s="111">
        <f>IF(ISBLANK('In Process Calc.'!X11),"",'In Process Calc.'!X11)</f>
        <v>0</v>
      </c>
      <c r="P11" s="111">
        <f>IF(ISBLANK('In Process Calc.'!Y11),"",'In Process Calc.'!Y11)</f>
        <v>0</v>
      </c>
      <c r="Q11" s="111">
        <f>IF(ISBLANK('In Process Calc.'!Z11),"",'In Process Calc.'!Z11)</f>
        <v>22.377306591671598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-38.061684000000007</v>
      </c>
      <c r="AE11" s="111">
        <f>IF(ISBLANK('In Process Calc.'!AN11),"",'In Process Calc.'!AN11)</f>
        <v>-47.346790777777784</v>
      </c>
      <c r="AF11" s="111">
        <f>IF(ISBLANK('In Process Calc.'!AO11),"",'In Process Calc.'!AO11)</f>
        <v>-108.00721825925926</v>
      </c>
      <c r="AH11" s="111">
        <f>IF(ISBLANK('In Process Calc.'!C11),"",'In Process Calc.'!C11)</f>
        <v>189.03333333326736</v>
      </c>
      <c r="AI11" s="111">
        <f>IF(ISBLANK('Measured Data'!H15),"",'Measured Data'!H15)</f>
        <v>12.503599984741211</v>
      </c>
      <c r="AJ11" s="111">
        <f>IF(ISBLANK('In Process Calc.'!L11),"",'In Process Calc.'!L11)</f>
        <v>23515.852474392137</v>
      </c>
      <c r="AK11" s="111">
        <f>IF(ISBLANK('In Process Calc.'!M11),"",'In Process Calc.'!M11)</f>
        <v>0</v>
      </c>
      <c r="AL11" s="111">
        <f>IF(ISBLANK('In Process Calc.'!N11),"",'In Process Calc.'!N11)</f>
        <v>1424.1058925925927</v>
      </c>
      <c r="AM11" s="111">
        <f>IF(ISBLANK('In Process Calc.'!O11),"",'In Process Calc.'!O11)</f>
        <v>-9.2851067777777772</v>
      </c>
      <c r="AN11" s="111">
        <f>IF(ISBLANK('In Process Calc.'!P11),"",'In Process Calc.'!P11)</f>
        <v>-2.0959375555555564</v>
      </c>
      <c r="AO11" s="111">
        <f>IF(ISBLANK('In Process Calc.'!Q11),"",'In Process Calc.'!Q11)</f>
        <v>8.9346979629629626</v>
      </c>
      <c r="AP11" s="111">
        <f>IF(ISBLANK('In Process Calc.'!R11),"",'In Process Calc.'!R11)</f>
        <v>-3.5645098888888898</v>
      </c>
      <c r="AQ11" s="111">
        <f>IF(ISBLANK('In Process Calc.'!S11),"",'In Process Calc.'!S11)</f>
        <v>1.1783651851851853</v>
      </c>
      <c r="AR11" s="111">
        <f>IF(ISBLANK('In Process Calc.'!T11),"",'In Process Calc.'!T11)</f>
        <v>43.420829621683531</v>
      </c>
      <c r="AS11" s="111">
        <f>IF(ISBLANK('In Process Calc.'!U11),"",'In Process Calc.'!U11)</f>
        <v>-6.6868720740740741</v>
      </c>
      <c r="AT11" s="111">
        <f>IF(ISBLANK('In Process Calc.'!V11),"",'In Process Calc.'!V11)</f>
        <v>-23.68069925925926</v>
      </c>
      <c r="AU11" s="111">
        <f>IF(ISBLANK('In Process Calc.'!W11),"",'In Process Calc.'!W11)</f>
        <v>0</v>
      </c>
      <c r="AV11" s="111">
        <f>IF(ISBLANK('In Process Calc.'!X11),"",'In Process Calc.'!X11)</f>
        <v>0</v>
      </c>
      <c r="AW11" s="111">
        <f>IF(ISBLANK('In Process Calc.'!Y11),"",'In Process Calc.'!Y11)</f>
        <v>0</v>
      </c>
      <c r="AX11" s="111">
        <f>IF(ISBLANK('In Process Calc.'!Z11),"",'In Process Calc.'!Z11)</f>
        <v>22.377306591671598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-38.061684000000007</v>
      </c>
      <c r="BL11" s="111">
        <f>IF(ISBLANK('In Process Calc.'!AN11),"",'In Process Calc.'!AN11)</f>
        <v>-47.346790777777784</v>
      </c>
      <c r="BM11" s="111">
        <f>IF(ISBLANK('In Process Calc.'!AO11),"",'In Process Calc.'!AO11)</f>
        <v>-108.00721825925926</v>
      </c>
      <c r="BO11" s="54" t="s">
        <v>47</v>
      </c>
      <c r="BP11" s="56">
        <f t="array" ref="BP11:BS11">LINEST($AP3:INDEX($AP:$AP,COUNT($AP:$AP)+2),$AH$3:INDEX($AH:$AH,COUNT($AH:$AH)+2)^{1,2,3},TRUE,TRUE)</f>
        <v>5.0913283026237958E-7</v>
      </c>
      <c r="BQ11" s="56">
        <v>-1.9231579595932005E-4</v>
      </c>
      <c r="BR11" s="56">
        <v>8.2970517532627089E-3</v>
      </c>
      <c r="BS11" s="56">
        <v>7.1476425804849697E-2</v>
      </c>
      <c r="BT11" s="56">
        <f t="array" ref="BT11:BX11">LINEST($AP3:INDEX($AP:$AP,COUNT($AP:$AP)+2),$AH$3:INDEX($AH:$AH,COUNT($AH:$AH)+2)^{1,2,3,4},TRUE,TRUE)</f>
        <v>-7.3219409419473847E-9</v>
      </c>
      <c r="BU11" s="56">
        <v>5.3924354231154282E-6</v>
      </c>
      <c r="BV11" s="56">
        <v>-1.2175291614502865E-3</v>
      </c>
      <c r="BW11" s="56">
        <v>7.8566603779074914E-2</v>
      </c>
      <c r="BX11" s="56">
        <v>-0.73154845854986306</v>
      </c>
      <c r="BY11" s="57">
        <f>IF('Cumulative Curves'!$B$8=6,#REF!,IF('Cumulative Curves'!$B$8=5,#REF!, IF( 'Cumulative Curves'!$B$8=4, BX11,IF('Cumulative Curves'!$B$8=3, BS11, 0))))</f>
        <v>-0.73154845854986306</v>
      </c>
      <c r="BZ11" s="57">
        <f>IF('Cumulative Curves'!$B$8=6,#REF!,IF('Cumulative Curves'!$B$8=5,#REF!, IF( 'Cumulative Curves'!$B$8=4, BW11,IF('Cumulative Curves'!$B$8=3, BR11, 0))))</f>
        <v>7.8566603779074914E-2</v>
      </c>
      <c r="CA11" s="57">
        <f>IF('Cumulative Curves'!$B$8=6,#REF!,IF('Cumulative Curves'!$B$8=5,#REF!, IF( 'Cumulative Curves'!$B$8=4, BV11,IF('Cumulative Curves'!$B$8=3, BQ11, 0))))</f>
        <v>-1.2175291614502865E-3</v>
      </c>
      <c r="CB11" s="57">
        <f>IF('Cumulative Curves'!$B$8=6,#REF!,IF('Cumulative Curves'!$B$8=5,#REF!, IF( 'Cumulative Curves'!$B$8=4, BU11,IF('Cumulative Curves'!$B$8=3, BP11, 0))))</f>
        <v>5.3924354231154282E-6</v>
      </c>
      <c r="CC11" s="57">
        <f>IF('Cumulative Curves'!$B$8=6,#REF!,IF('Cumulative Curves'!$B$8=5,#REF!, IF( 'Cumulative Curves'!$B$8=4,BT11, 0)))</f>
        <v>-7.3219409419473847E-9</v>
      </c>
      <c r="CD11" s="57">
        <f>IF('Cumulative Curves'!$B$8=6,#REF!,IF('Cumulative Curves'!$B$8=5,#REF!, 0))</f>
        <v>0</v>
      </c>
      <c r="CE11" s="57">
        <f>IF('Cumulative Curves'!$B$8=6,#REF!,0)</f>
        <v>0</v>
      </c>
      <c r="CF11" s="49"/>
      <c r="CG11" s="76">
        <f>IF(ISBLANK('In Process Calc.'!C11),"",'In Process Calc.'!C11)</f>
        <v>189.03333333326736</v>
      </c>
      <c r="CH11" s="76">
        <f t="shared" si="0"/>
        <v>12.27974656666883</v>
      </c>
      <c r="CI11" s="76">
        <f t="shared" si="1"/>
        <v>22681.224088615687</v>
      </c>
      <c r="CJ11" s="76">
        <f t="shared" si="2"/>
        <v>0</v>
      </c>
      <c r="CK11" s="76">
        <f t="shared" si="3"/>
        <v>1606.7702026225409</v>
      </c>
      <c r="CL11" s="76">
        <f t="shared" si="4"/>
        <v>-8.7927160385692744</v>
      </c>
      <c r="CM11" s="76">
        <f t="shared" si="5"/>
        <v>-1.3849332124316911</v>
      </c>
      <c r="CN11" s="76">
        <f t="shared" si="6"/>
        <v>5.5617428434822145</v>
      </c>
      <c r="CO11" s="76">
        <f t="shared" si="7"/>
        <v>-2.3108100192311216</v>
      </c>
      <c r="CP11" s="76">
        <f t="shared" si="8"/>
        <v>1.2733371356350103</v>
      </c>
      <c r="CQ11" s="76">
        <f t="shared" si="9"/>
        <v>42.168438584598164</v>
      </c>
      <c r="CR11" s="76">
        <f t="shared" si="10"/>
        <v>-6.230245649150266</v>
      </c>
      <c r="CS11" s="76">
        <f t="shared" si="11"/>
        <v>-17.805799674982985</v>
      </c>
      <c r="CT11" s="76">
        <f t="shared" si="12"/>
        <v>0</v>
      </c>
      <c r="CU11" s="76">
        <f t="shared" si="13"/>
        <v>0</v>
      </c>
      <c r="CV11" s="76">
        <f t="shared" si="14"/>
        <v>0</v>
      </c>
      <c r="CW11" s="76">
        <f t="shared" si="15"/>
        <v>18.867629102871895</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-29.234666997937573</v>
      </c>
      <c r="DK11" s="76">
        <f t="shared" si="29"/>
        <v>-38.027383036506855</v>
      </c>
      <c r="DL11" s="76">
        <f t="shared" si="30"/>
        <v>-71.551431439844109</v>
      </c>
    </row>
    <row r="12" spans="1:116" s="48" customFormat="1" ht="11.25">
      <c r="A12" s="111">
        <f>IF(ISBLANK('In Process Calc.'!C12),"",'In Process Calc.'!C12)</f>
        <v>212.98333333327901</v>
      </c>
      <c r="B12" s="111">
        <f>IF(ISBLANK('Measured Data'!H16),"",'Measured Data'!H16)</f>
        <v>15.666299684143066</v>
      </c>
      <c r="C12" s="111">
        <f>IF(ISBLANK('In Process Calc.'!L12),"",'In Process Calc.'!L12)</f>
        <v>29557.482868931962</v>
      </c>
      <c r="D12" s="111">
        <f>IF(ISBLANK('In Process Calc.'!M12),"",'In Process Calc.'!M12)</f>
        <v>0</v>
      </c>
      <c r="E12" s="111">
        <f>IF(ISBLANK('In Process Calc.'!N12),"",'In Process Calc.'!N12)</f>
        <v>2265.8599163888889</v>
      </c>
      <c r="F12" s="111">
        <f>IF(ISBLANK('In Process Calc.'!O12),"",'In Process Calc.'!O12)</f>
        <v>-12.406041250000001</v>
      </c>
      <c r="G12" s="111">
        <f>IF(ISBLANK('In Process Calc.'!P12),"",'In Process Calc.'!P12)</f>
        <v>-1.1760944722222231</v>
      </c>
      <c r="H12" s="111">
        <f>IF(ISBLANK('In Process Calc.'!Q12),"",'In Process Calc.'!Q12)</f>
        <v>11.163015</v>
      </c>
      <c r="I12" s="111">
        <f>IF(ISBLANK('In Process Calc.'!R12),"",'In Process Calc.'!R12)</f>
        <v>-2.7720229444444451</v>
      </c>
      <c r="J12" s="111">
        <f>IF(ISBLANK('In Process Calc.'!S12),"",'In Process Calc.'!S12)</f>
        <v>1.5112030833333334</v>
      </c>
      <c r="K12" s="111">
        <f>IF(ISBLANK('In Process Calc.'!T12),"",'In Process Calc.'!T12)</f>
        <v>56.427587154105098</v>
      </c>
      <c r="L12" s="111">
        <f>IF(ISBLANK('In Process Calc.'!U12),"",'In Process Calc.'!U12)</f>
        <v>-6.890430750000001</v>
      </c>
      <c r="M12" s="111">
        <f>IF(ISBLANK('In Process Calc.'!V12),"",'In Process Calc.'!V12)</f>
        <v>-17.816032222222226</v>
      </c>
      <c r="N12" s="111">
        <f>IF(ISBLANK('In Process Calc.'!W12),"",'In Process Calc.'!W12)</f>
        <v>0</v>
      </c>
      <c r="O12" s="111">
        <f>IF(ISBLANK('In Process Calc.'!X12),"",'In Process Calc.'!X12)</f>
        <v>0</v>
      </c>
      <c r="P12" s="111">
        <f>IF(ISBLANK('In Process Calc.'!Y12),"",'In Process Calc.'!Y12)</f>
        <v>0</v>
      </c>
      <c r="Q12" s="111">
        <f>IF(ISBLANK('In Process Calc.'!Z12),"",'In Process Calc.'!Z12)</f>
        <v>15.320631660746004</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-26.130899638888899</v>
      </c>
      <c r="AE12" s="111">
        <f>IF(ISBLANK('In Process Calc.'!AN12),"",'In Process Calc.'!AN12)</f>
        <v>-38.5369408888889</v>
      </c>
      <c r="AF12" s="111">
        <f>IF(ISBLANK('In Process Calc.'!AO12),"",'In Process Calc.'!AO12)</f>
        <v>-50.739571222222253</v>
      </c>
      <c r="AH12" s="111">
        <f>IF(ISBLANK('In Process Calc.'!C12),"",'In Process Calc.'!C12)</f>
        <v>212.98333333327901</v>
      </c>
      <c r="AI12" s="111">
        <f>IF(ISBLANK('Measured Data'!H16),"",'Measured Data'!H16)</f>
        <v>15.666299684143066</v>
      </c>
      <c r="AJ12" s="111">
        <f>IF(ISBLANK('In Process Calc.'!L12),"",'In Process Calc.'!L12)</f>
        <v>29557.482868931962</v>
      </c>
      <c r="AK12" s="111">
        <f>IF(ISBLANK('In Process Calc.'!M12),"",'In Process Calc.'!M12)</f>
        <v>0</v>
      </c>
      <c r="AL12" s="111">
        <f>IF(ISBLANK('In Process Calc.'!N12),"",'In Process Calc.'!N12)</f>
        <v>2265.8599163888889</v>
      </c>
      <c r="AM12" s="111">
        <f>IF(ISBLANK('In Process Calc.'!O12),"",'In Process Calc.'!O12)</f>
        <v>-12.406041250000001</v>
      </c>
      <c r="AN12" s="111">
        <f>IF(ISBLANK('In Process Calc.'!P12),"",'In Process Calc.'!P12)</f>
        <v>-1.1760944722222231</v>
      </c>
      <c r="AO12" s="111">
        <f>IF(ISBLANK('In Process Calc.'!Q12),"",'In Process Calc.'!Q12)</f>
        <v>11.163015</v>
      </c>
      <c r="AP12" s="111">
        <f>IF(ISBLANK('In Process Calc.'!R12),"",'In Process Calc.'!R12)</f>
        <v>-2.7720229444444451</v>
      </c>
      <c r="AQ12" s="111">
        <f>IF(ISBLANK('In Process Calc.'!S12),"",'In Process Calc.'!S12)</f>
        <v>1.5112030833333334</v>
      </c>
      <c r="AR12" s="111">
        <f>IF(ISBLANK('In Process Calc.'!T12),"",'In Process Calc.'!T12)</f>
        <v>56.427587154105098</v>
      </c>
      <c r="AS12" s="111">
        <f>IF(ISBLANK('In Process Calc.'!U12),"",'In Process Calc.'!U12)</f>
        <v>-6.890430750000001</v>
      </c>
      <c r="AT12" s="111">
        <f>IF(ISBLANK('In Process Calc.'!V12),"",'In Process Calc.'!V12)</f>
        <v>-17.816032222222226</v>
      </c>
      <c r="AU12" s="111">
        <f>IF(ISBLANK('In Process Calc.'!W12),"",'In Process Calc.'!W12)</f>
        <v>0</v>
      </c>
      <c r="AV12" s="111">
        <f>IF(ISBLANK('In Process Calc.'!X12),"",'In Process Calc.'!X12)</f>
        <v>0</v>
      </c>
      <c r="AW12" s="111">
        <f>IF(ISBLANK('In Process Calc.'!Y12),"",'In Process Calc.'!Y12)</f>
        <v>0</v>
      </c>
      <c r="AX12" s="111">
        <f>IF(ISBLANK('In Process Calc.'!Z12),"",'In Process Calc.'!Z12)</f>
        <v>15.320631660746004</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-26.130899638888899</v>
      </c>
      <c r="BL12" s="111">
        <f>IF(ISBLANK('In Process Calc.'!AN12),"",'In Process Calc.'!AN12)</f>
        <v>-38.5369408888889</v>
      </c>
      <c r="BM12" s="111">
        <f>IF(ISBLANK('In Process Calc.'!AO12),"",'In Process Calc.'!AO12)</f>
        <v>-50.739571222222253</v>
      </c>
      <c r="BO12" s="54" t="s">
        <v>347</v>
      </c>
      <c r="BP12" s="56">
        <f t="array" ref="BP12:BS12">LINEST($AQ3:INDEX($AQ:$AQ,COUNT($AQ:$AQ)+2),$AH$3:INDEX($AH:$AH,COUNT($AH:$AH)+2)^{1,2,3},TRUE,TRUE)</f>
        <v>-2.5783765607569235E-7</v>
      </c>
      <c r="BQ12" s="56">
        <v>1.1541007979293416E-4</v>
      </c>
      <c r="BR12" s="56">
        <v>-5.8928183928574065E-3</v>
      </c>
      <c r="BS12" s="56">
        <v>4.9110424782980999E-3</v>
      </c>
      <c r="BT12" s="56">
        <f t="array" ref="BT12:BX12">LINEST($AQ3:INDEX($AQ:$AQ,COUNT($AQ:$AQ)+2),$AH$3:INDEX($AH:$AH,COUNT($AH:$AH)+2)^{1,2,3,4},TRUE,TRUE)</f>
        <v>-8.0905938658048536E-10</v>
      </c>
      <c r="BU12" s="56">
        <v>2.8175721795913989E-7</v>
      </c>
      <c r="BV12" s="56">
        <v>2.1261154486891028E-6</v>
      </c>
      <c r="BW12" s="56">
        <v>1.8718223093890005E-3</v>
      </c>
      <c r="BX12" s="56">
        <v>-8.3821552539341315E-2</v>
      </c>
      <c r="BY12" s="57">
        <f>IF('Cumulative Curves'!$B$10=6,#REF!,IF('Cumulative Curves'!$B$10=5,#REF!, IF( 'Cumulative Curves'!$B$10=4, BX12,IF('Cumulative Curves'!$B$10=3, BS12, 0))))</f>
        <v>4.9110424782980999E-3</v>
      </c>
      <c r="BZ12" s="57">
        <f>IF('Cumulative Curves'!$B$10=6,#REF!,IF('Cumulative Curves'!$B$10=5,#REF!, IF( 'Cumulative Curves'!$B$10=4, BW12,IF('Cumulative Curves'!$B$10=3, BR12, 0))))</f>
        <v>-5.8928183928574065E-3</v>
      </c>
      <c r="CA12" s="57">
        <f>IF('Cumulative Curves'!$B$10=6,#REF!,IF('Cumulative Curves'!$B$10=5,#REF!, IF( 'Cumulative Curves'!$B$10=4, BV12,IF('Cumulative Curves'!$B$10=3, BQ12, 0))))</f>
        <v>1.1541007979293416E-4</v>
      </c>
      <c r="CB12" s="57">
        <f>IF('Cumulative Curves'!$B$10=6,#REF!,IF('Cumulative Curves'!$B$10=5,#REF!, IF( 'Cumulative Curves'!$B$10=4, BU12,IF('Cumulative Curves'!$B$10=3, BP12, 0))))</f>
        <v>-2.5783765607569235E-7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212.98333333327901</v>
      </c>
      <c r="CH12" s="76">
        <f t="shared" si="0"/>
        <v>14.349478109640236</v>
      </c>
      <c r="CI12" s="76">
        <f t="shared" si="1"/>
        <v>26492.628219718434</v>
      </c>
      <c r="CJ12" s="76">
        <f t="shared" si="2"/>
        <v>0</v>
      </c>
      <c r="CK12" s="76">
        <f t="shared" si="3"/>
        <v>2225.7974812133589</v>
      </c>
      <c r="CL12" s="76">
        <f t="shared" si="4"/>
        <v>-10.44246303410663</v>
      </c>
      <c r="CM12" s="76">
        <f t="shared" si="5"/>
        <v>-1.2840953667071622</v>
      </c>
      <c r="CN12" s="76">
        <f t="shared" si="6"/>
        <v>7.8601349434188386</v>
      </c>
      <c r="CO12" s="76">
        <f t="shared" si="7"/>
        <v>-2.1958889362671083</v>
      </c>
      <c r="CP12" s="76">
        <f t="shared" si="8"/>
        <v>1.494005115382405</v>
      </c>
      <c r="CQ12" s="76">
        <f t="shared" si="9"/>
        <v>55.567282295158634</v>
      </c>
      <c r="CR12" s="76">
        <f t="shared" si="10"/>
        <v>-6.6506641483054487</v>
      </c>
      <c r="CS12" s="76">
        <f t="shared" si="11"/>
        <v>-17.3172411194553</v>
      </c>
      <c r="CT12" s="76">
        <f t="shared" si="12"/>
        <v>0</v>
      </c>
      <c r="CU12" s="76">
        <f t="shared" si="13"/>
        <v>0</v>
      </c>
      <c r="CV12" s="76">
        <f t="shared" si="14"/>
        <v>0</v>
      </c>
      <c r="CW12" s="76">
        <f t="shared" si="15"/>
        <v>17.348094508110563</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-27.252816973804549</v>
      </c>
      <c r="DK12" s="76">
        <f t="shared" si="29"/>
        <v>-37.69528000791118</v>
      </c>
      <c r="DL12" s="76">
        <f t="shared" si="30"/>
        <v>-58.557452001336699</v>
      </c>
    </row>
    <row r="13" spans="1:116" s="48" customFormat="1" ht="11.25">
      <c r="A13" s="111">
        <f>IF(ISBLANK('In Process Calc.'!C13),"",'In Process Calc.'!C13)</f>
        <v>238.10000000009313</v>
      </c>
      <c r="B13" s="111">
        <f>IF(ISBLANK('Measured Data'!H17),"",'Measured Data'!H17)</f>
        <v>16.470799310302734</v>
      </c>
      <c r="C13" s="111">
        <f>IF(ISBLANK('In Process Calc.'!L13),"",'In Process Calc.'!L13)</f>
        <v>30178.796459672551</v>
      </c>
      <c r="D13" s="111">
        <f>IF(ISBLANK('In Process Calc.'!M13),"",'In Process Calc.'!M13)</f>
        <v>0</v>
      </c>
      <c r="E13" s="111">
        <f>IF(ISBLANK('In Process Calc.'!N13),"",'In Process Calc.'!N13)</f>
        <v>2953.124275277778</v>
      </c>
      <c r="F13" s="111">
        <f>IF(ISBLANK('In Process Calc.'!O13),"",'In Process Calc.'!O13)</f>
        <v>-13.573730222222224</v>
      </c>
      <c r="G13" s="111">
        <f>IF(ISBLANK('In Process Calc.'!P13),"",'In Process Calc.'!P13)</f>
        <v>-0.62070363888888924</v>
      </c>
      <c r="H13" s="111">
        <f>IF(ISBLANK('In Process Calc.'!Q13),"",'In Process Calc.'!Q13)</f>
        <v>11.163015</v>
      </c>
      <c r="I13" s="111">
        <f>IF(ISBLANK('In Process Calc.'!R13),"",'In Process Calc.'!R13)</f>
        <v>-1.6656349722222223</v>
      </c>
      <c r="J13" s="111">
        <f>IF(ISBLANK('In Process Calc.'!S13),"",'In Process Calc.'!S13)</f>
        <v>1.7163440555555556</v>
      </c>
      <c r="K13" s="111">
        <f>IF(ISBLANK('In Process Calc.'!T13),"",'In Process Calc.'!T13)</f>
        <v>69.74347642302024</v>
      </c>
      <c r="L13" s="111">
        <f>IF(ISBLANK('In Process Calc.'!U13),"",'In Process Calc.'!U13)</f>
        <v>-6.5160938333333345</v>
      </c>
      <c r="M13" s="111">
        <f>IF(ISBLANK('In Process Calc.'!V13),"",'In Process Calc.'!V13)</f>
        <v>-12.301161305555556</v>
      </c>
      <c r="N13" s="111">
        <f>IF(ISBLANK('In Process Calc.'!W13),"",'In Process Calc.'!W13)</f>
        <v>0</v>
      </c>
      <c r="O13" s="111">
        <f>IF(ISBLANK('In Process Calc.'!X13),"",'In Process Calc.'!X13)</f>
        <v>0</v>
      </c>
      <c r="P13" s="111">
        <f>IF(ISBLANK('In Process Calc.'!Y13),"",'In Process Calc.'!Y13)</f>
        <v>0</v>
      </c>
      <c r="Q13" s="111">
        <f>IF(ISBLANK('In Process Calc.'!Z13),"",'In Process Calc.'!Z13)</f>
        <v>11.715160597986976</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-17.29681061111112</v>
      </c>
      <c r="AE13" s="111">
        <f>IF(ISBLANK('In Process Calc.'!AN13),"",'In Process Calc.'!AN13)</f>
        <v>-30.870540833333344</v>
      </c>
      <c r="AF13" s="111">
        <f>IF(ISBLANK('In Process Calc.'!AO13),"",'In Process Calc.'!AO13)</f>
        <v>-8.8017224166666779</v>
      </c>
      <c r="AH13" s="111">
        <f>IF(ISBLANK('In Process Calc.'!C13),"",'In Process Calc.'!C13)</f>
        <v>238.10000000009313</v>
      </c>
      <c r="AI13" s="111">
        <f>IF(ISBLANK('Measured Data'!H17),"",'Measured Data'!H17)</f>
        <v>16.470799310302734</v>
      </c>
      <c r="AJ13" s="111">
        <f>IF(ISBLANK('In Process Calc.'!L13),"",'In Process Calc.'!L13)</f>
        <v>30178.796459672551</v>
      </c>
      <c r="AK13" s="111">
        <f>IF(ISBLANK('In Process Calc.'!M13),"",'In Process Calc.'!M13)</f>
        <v>0</v>
      </c>
      <c r="AL13" s="111">
        <f>IF(ISBLANK('In Process Calc.'!N13),"",'In Process Calc.'!N13)</f>
        <v>2953.124275277778</v>
      </c>
      <c r="AM13" s="111">
        <f>IF(ISBLANK('In Process Calc.'!O13),"",'In Process Calc.'!O13)</f>
        <v>-13.573730222222224</v>
      </c>
      <c r="AN13" s="111">
        <f>IF(ISBLANK('In Process Calc.'!P13),"",'In Process Calc.'!P13)</f>
        <v>-0.62070363888888924</v>
      </c>
      <c r="AO13" s="111">
        <f>IF(ISBLANK('In Process Calc.'!Q13),"",'In Process Calc.'!Q13)</f>
        <v>11.163015</v>
      </c>
      <c r="AP13" s="111">
        <f>IF(ISBLANK('In Process Calc.'!R13),"",'In Process Calc.'!R13)</f>
        <v>-1.6656349722222223</v>
      </c>
      <c r="AQ13" s="111">
        <f>IF(ISBLANK('In Process Calc.'!S13),"",'In Process Calc.'!S13)</f>
        <v>1.7163440555555556</v>
      </c>
      <c r="AR13" s="111">
        <f>IF(ISBLANK('In Process Calc.'!T13),"",'In Process Calc.'!T13)</f>
        <v>69.74347642302024</v>
      </c>
      <c r="AS13" s="111">
        <f>IF(ISBLANK('In Process Calc.'!U13),"",'In Process Calc.'!U13)</f>
        <v>-6.5160938333333345</v>
      </c>
      <c r="AT13" s="111">
        <f>IF(ISBLANK('In Process Calc.'!V13),"",'In Process Calc.'!V13)</f>
        <v>-12.301161305555556</v>
      </c>
      <c r="AU13" s="111">
        <f>IF(ISBLANK('In Process Calc.'!W13),"",'In Process Calc.'!W13)</f>
        <v>0</v>
      </c>
      <c r="AV13" s="111">
        <f>IF(ISBLANK('In Process Calc.'!X13),"",'In Process Calc.'!X13)</f>
        <v>0</v>
      </c>
      <c r="AW13" s="111">
        <f>IF(ISBLANK('In Process Calc.'!Y13),"",'In Process Calc.'!Y13)</f>
        <v>0</v>
      </c>
      <c r="AX13" s="111">
        <f>IF(ISBLANK('In Process Calc.'!Z13),"",'In Process Calc.'!Z13)</f>
        <v>11.715160597986976</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-17.29681061111112</v>
      </c>
      <c r="BL13" s="111">
        <f>IF(ISBLANK('In Process Calc.'!AN13),"",'In Process Calc.'!AN13)</f>
        <v>-30.870540833333344</v>
      </c>
      <c r="BM13" s="111">
        <f>IF(ISBLANK('In Process Calc.'!AO13),"",'In Process Calc.'!AO13)</f>
        <v>-8.8017224166666779</v>
      </c>
      <c r="BO13" s="54" t="s">
        <v>106</v>
      </c>
      <c r="BP13" s="56">
        <f t="array" ref="BP13:BS13">LINEST($K3:INDEX($K:$K,COUNT($K:$K)+2),$A$3:INDEX($A:$A,COUNT($A:$A)+2)^{1,2,3},TRUE,TRUE)</f>
        <v>-1.5121499546599232E-6</v>
      </c>
      <c r="BQ13" s="56">
        <v>2.0567322671591858E-3</v>
      </c>
      <c r="BR13" s="56">
        <v>-0.11293188885190154</v>
      </c>
      <c r="BS13" s="56">
        <v>1.4864662706853018</v>
      </c>
      <c r="BT13" s="56">
        <f t="array" ref="BT13:BX13">LINEST($K3:INDEX($K:$K,COUNT($K:$K)+2),$A$3:INDEX($A:$A,COUNT($A:$A)+2)^{1,2,3,4},TRUE,TRUE)</f>
        <v>-1.7683225430142732E-8</v>
      </c>
      <c r="BU13" s="56">
        <v>1.0281518046444457E-5</v>
      </c>
      <c r="BV13" s="56">
        <v>-4.1926135252580806E-4</v>
      </c>
      <c r="BW13" s="56">
        <v>5.6776162496719719E-2</v>
      </c>
      <c r="BX13" s="56">
        <v>-0.45291977034469255</v>
      </c>
      <c r="BY13" s="57">
        <f>IF('Cumulative Curves'!$B$12=6,#REF!,IF('Cumulative Curves'!$B$12=5,#REF!, IF( 'Cumulative Curves'!$B$12=4, BX13,IF('Cumulative Curves'!$B$12=3, BS13, 0))))</f>
        <v>-0.45291977034469255</v>
      </c>
      <c r="BZ13" s="57">
        <f>IF('Cumulative Curves'!$B$12=6,#REF!,IF('Cumulative Curves'!$B$12=5,#REF!, IF( 'Cumulative Curves'!$B$12=4, BW13,IF('Cumulative Curves'!$B$12=3, BR13, 0))))</f>
        <v>5.6776162496719719E-2</v>
      </c>
      <c r="CA13" s="57">
        <f>IF('Cumulative Curves'!$B$12=6,#REF!,IF('Cumulative Curves'!$B$12=5,#REF!, IF( 'Cumulative Curves'!$B$12=4, BV13,IF('Cumulative Curves'!$B$12=3, BQ13, 0))))</f>
        <v>-4.1926135252580806E-4</v>
      </c>
      <c r="CB13" s="57">
        <f>IF('Cumulative Curves'!$B$12=6,#REF!,IF('Cumulative Curves'!$B$12=5,#REF!, IF( 'Cumulative Curves'!$B$12=4, BU13,IF('Cumulative Curves'!$B$12=3, BP13, 0))))</f>
        <v>1.0281518046444457E-5</v>
      </c>
      <c r="CC13" s="57">
        <f>IF('Cumulative Curves'!$B$12=6,#REF!,IF('Cumulative Curves'!$B$12=5,#REF!, IF( 'Cumulative Curves'!$B$12=4,BT13, 0)))</f>
        <v>-1.7683225430142732E-8</v>
      </c>
      <c r="CD13" s="57">
        <f>IF('Cumulative Curves'!$B$12=6,#REF!,IF('Cumulative Curves'!$B$12=5,#REF!, 0))</f>
        <v>0</v>
      </c>
      <c r="CE13" s="57">
        <f>IF('Cumulative Curves'!$B$12=6,#REF!,0)</f>
        <v>0</v>
      </c>
      <c r="CF13" s="49"/>
      <c r="CG13" s="76">
        <f>IF(ISBLANK('In Process Calc.'!C13),"",'In Process Calc.'!C13)</f>
        <v>238.10000000009313</v>
      </c>
      <c r="CH13" s="76">
        <f t="shared" si="0"/>
        <v>15.968908501096609</v>
      </c>
      <c r="CI13" s="76">
        <f t="shared" si="1"/>
        <v>29395.46480658582</v>
      </c>
      <c r="CJ13" s="76">
        <f t="shared" si="2"/>
        <v>0</v>
      </c>
      <c r="CK13" s="76">
        <f t="shared" si="3"/>
        <v>2926.8020904887612</v>
      </c>
      <c r="CL13" s="76">
        <f t="shared" si="4"/>
        <v>-11.41168536507319</v>
      </c>
      <c r="CM13" s="76">
        <f t="shared" si="5"/>
        <v>-1.0032494554943074</v>
      </c>
      <c r="CN13" s="76">
        <f t="shared" si="6"/>
        <v>10.224577120074301</v>
      </c>
      <c r="CO13" s="76">
        <f t="shared" si="7"/>
        <v>-1.7922355061306519</v>
      </c>
      <c r="CP13" s="76">
        <f t="shared" si="8"/>
        <v>1.6642513153545506</v>
      </c>
      <c r="CQ13" s="76">
        <f t="shared" si="9"/>
        <v>71.246812537099999</v>
      </c>
      <c r="CR13" s="76">
        <f t="shared" si="10"/>
        <v>-6.3389308752906857</v>
      </c>
      <c r="CS13" s="76">
        <f t="shared" si="11"/>
        <v>-15.534394648268382</v>
      </c>
      <c r="CT13" s="76">
        <f t="shared" si="12"/>
        <v>0</v>
      </c>
      <c r="CU13" s="76">
        <f t="shared" si="13"/>
        <v>0</v>
      </c>
      <c r="CV13" s="76">
        <f t="shared" si="14"/>
        <v>0</v>
      </c>
      <c r="CW13" s="76">
        <f t="shared" si="15"/>
        <v>13.702572773125638</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-22.23057020438381</v>
      </c>
      <c r="DK13" s="76">
        <f t="shared" si="29"/>
        <v>-33.642255569457006</v>
      </c>
      <c r="DL13" s="76">
        <f t="shared" si="30"/>
        <v>-38.84865001196097</v>
      </c>
    </row>
    <row r="14" spans="1:116" s="48" customFormat="1" ht="11.25">
      <c r="A14" s="111">
        <f>IF(ISBLANK('In Process Calc.'!C14),"",'In Process Calc.'!C14)</f>
        <v>261.75</v>
      </c>
      <c r="B14" s="111">
        <f>IF(ISBLANK('Measured Data'!H18),"",'Measured Data'!H18)</f>
        <v>15.796199662780761</v>
      </c>
      <c r="C14" s="111">
        <f>IF(ISBLANK('In Process Calc.'!L14),"",'In Process Calc.'!L14)</f>
        <v>28768.135541780684</v>
      </c>
      <c r="D14" s="111">
        <f>IF(ISBLANK('In Process Calc.'!M14),"",'In Process Calc.'!M14)</f>
        <v>0</v>
      </c>
      <c r="E14" s="111">
        <f>IF(ISBLANK('In Process Calc.'!N14),"",'In Process Calc.'!N14)</f>
        <v>3744.339647222223</v>
      </c>
      <c r="F14" s="111">
        <f>IF(ISBLANK('In Process Calc.'!O14),"",'In Process Calc.'!O14)</f>
        <v>-11.380338611111114</v>
      </c>
      <c r="G14" s="111">
        <f>IF(ISBLANK('In Process Calc.'!P14),"",'In Process Calc.'!P14)</f>
        <v>3.3720555555555087E-2</v>
      </c>
      <c r="H14" s="111">
        <f>IF(ISBLANK('In Process Calc.'!Q14),"",'In Process Calc.'!Q14)</f>
        <v>11.037007222222222</v>
      </c>
      <c r="I14" s="111">
        <f>IF(ISBLANK('In Process Calc.'!R14),"",'In Process Calc.'!R14)</f>
        <v>-1.3265433333333343</v>
      </c>
      <c r="J14" s="111">
        <f>IF(ISBLANK('In Process Calc.'!S14),"",'In Process Calc.'!S14)</f>
        <v>1.8084502777777778</v>
      </c>
      <c r="K14" s="111">
        <f>IF(ISBLANK('In Process Calc.'!T14),"",'In Process Calc.'!T14)</f>
        <v>85.905125900117042</v>
      </c>
      <c r="L14" s="111">
        <f>IF(ISBLANK('In Process Calc.'!U14),"",'In Process Calc.'!U14)</f>
        <v>-4.7493813888888905</v>
      </c>
      <c r="M14" s="111">
        <f>IF(ISBLANK('In Process Calc.'!V14),"",'In Process Calc.'!V14)</f>
        <v>-7.5238444444444479</v>
      </c>
      <c r="N14" s="111">
        <f>IF(ISBLANK('In Process Calc.'!W14),"",'In Process Calc.'!W14)</f>
        <v>0</v>
      </c>
      <c r="O14" s="111">
        <f>IF(ISBLANK('In Process Calc.'!X14),"",'In Process Calc.'!X14)</f>
        <v>0</v>
      </c>
      <c r="P14" s="111">
        <f>IF(ISBLANK('In Process Calc.'!Y14),"",'In Process Calc.'!Y14)</f>
        <v>0</v>
      </c>
      <c r="Q14" s="111">
        <f>IF(ISBLANK('In Process Calc.'!Z14),"",'In Process Calc.'!Z14)</f>
        <v>8.9694654134596412</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-3.9036919444444553</v>
      </c>
      <c r="AE14" s="111">
        <f>IF(ISBLANK('In Process Calc.'!AN14),"",'In Process Calc.'!AN14)</f>
        <v>-15.284030555555569</v>
      </c>
      <c r="AF14" s="111">
        <f>IF(ISBLANK('In Process Calc.'!AO14),"",'In Process Calc.'!AO14)</f>
        <v>22.669767222222205</v>
      </c>
      <c r="AH14" s="111">
        <f>IF(ISBLANK('In Process Calc.'!C14),"",'In Process Calc.'!C14)</f>
        <v>261.75</v>
      </c>
      <c r="AI14" s="111">
        <f>IF(ISBLANK('Measured Data'!H18),"",'Measured Data'!H18)</f>
        <v>15.796199662780761</v>
      </c>
      <c r="AJ14" s="111">
        <f>IF(ISBLANK('In Process Calc.'!L14),"",'In Process Calc.'!L14)</f>
        <v>28768.135541780684</v>
      </c>
      <c r="AK14" s="111">
        <f>IF(ISBLANK('In Process Calc.'!M14),"",'In Process Calc.'!M14)</f>
        <v>0</v>
      </c>
      <c r="AL14" s="111">
        <f>IF(ISBLANK('In Process Calc.'!N14),"",'In Process Calc.'!N14)</f>
        <v>3744.339647222223</v>
      </c>
      <c r="AM14" s="111">
        <f>IF(ISBLANK('In Process Calc.'!O14),"",'In Process Calc.'!O14)</f>
        <v>-11.380338611111114</v>
      </c>
      <c r="AN14" s="111">
        <f>IF(ISBLANK('In Process Calc.'!P14),"",'In Process Calc.'!P14)</f>
        <v>3.3720555555555087E-2</v>
      </c>
      <c r="AO14" s="111">
        <f>IF(ISBLANK('In Process Calc.'!Q14),"",'In Process Calc.'!Q14)</f>
        <v>11.037007222222222</v>
      </c>
      <c r="AP14" s="111">
        <f>IF(ISBLANK('In Process Calc.'!R14),"",'In Process Calc.'!R14)</f>
        <v>-1.3265433333333343</v>
      </c>
      <c r="AQ14" s="111">
        <f>IF(ISBLANK('In Process Calc.'!S14),"",'In Process Calc.'!S14)</f>
        <v>1.8084502777777778</v>
      </c>
      <c r="AR14" s="111">
        <f>IF(ISBLANK('In Process Calc.'!T14),"",'In Process Calc.'!T14)</f>
        <v>85.905125900117042</v>
      </c>
      <c r="AS14" s="111">
        <f>IF(ISBLANK('In Process Calc.'!U14),"",'In Process Calc.'!U14)</f>
        <v>-4.7493813888888905</v>
      </c>
      <c r="AT14" s="111">
        <f>IF(ISBLANK('In Process Calc.'!V14),"",'In Process Calc.'!V14)</f>
        <v>-7.5238444444444479</v>
      </c>
      <c r="AU14" s="111">
        <f>IF(ISBLANK('In Process Calc.'!W14),"",'In Process Calc.'!W14)</f>
        <v>0</v>
      </c>
      <c r="AV14" s="111">
        <f>IF(ISBLANK('In Process Calc.'!X14),"",'In Process Calc.'!X14)</f>
        <v>0</v>
      </c>
      <c r="AW14" s="111">
        <f>IF(ISBLANK('In Process Calc.'!Y14),"",'In Process Calc.'!Y14)</f>
        <v>0</v>
      </c>
      <c r="AX14" s="111">
        <f>IF(ISBLANK('In Process Calc.'!Z14),"",'In Process Calc.'!Z14)</f>
        <v>8.9694654134596412</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-3.9036919444444553</v>
      </c>
      <c r="BL14" s="111">
        <f>IF(ISBLANK('In Process Calc.'!AN14),"",'In Process Calc.'!AN14)</f>
        <v>-15.284030555555569</v>
      </c>
      <c r="BM14" s="111">
        <f>IF(ISBLANK('In Process Calc.'!AO14),"",'In Process Calc.'!AO14)</f>
        <v>22.669767222222205</v>
      </c>
      <c r="BO14" s="54" t="s">
        <v>51</v>
      </c>
      <c r="BP14" s="56">
        <f t="array" ref="BP14:BS14">LINEST($L3:INDEX($L:$L,COUNT($L:$L)+2),$A$3:INDEX($A:$A,COUNT($A:$A)+2)^{1,2,3},TRUE,TRUE)</f>
        <v>1.0307330500913038E-6</v>
      </c>
      <c r="BQ14" s="56">
        <v>-3.917074900223405E-4</v>
      </c>
      <c r="BR14" s="56">
        <v>8.2762640682631141E-3</v>
      </c>
      <c r="BS14" s="56">
        <v>0.11162844228354984</v>
      </c>
      <c r="BT14" s="56">
        <f t="array" ref="BT14:BX14">LINEST($L3:INDEX($L:$L,COUNT($L:$L)+2),$A$3:INDEX($A:$A,COUNT($A:$A)+2)^{1,2,3,4},TRUE,TRUE)</f>
        <v>-5.868614397764617E-9</v>
      </c>
      <c r="BU14" s="56">
        <v>4.9447525883910192E-6</v>
      </c>
      <c r="BV14" s="56">
        <v>-1.2134270265774659E-3</v>
      </c>
      <c r="BW14" s="56">
        <v>6.4598065625087894E-2</v>
      </c>
      <c r="BX14" s="56">
        <v>-0.53200463744925663</v>
      </c>
      <c r="BY14" s="57">
        <f t="array" ref="BY14">IF('Cumulative Curves'!$B$13=6,CB37,IF('Cumulative Curves'!$B$13=5,BU37, IF( 'Cumulative Curves'!$B$13=4, BX14,IF('Cumulative Curves'!$B$13=3, BS14, 0))))</f>
        <v>0.22257066100971201</v>
      </c>
      <c r="BZ14" s="57">
        <f t="array" ref="BZ14">IF('Cumulative Curves'!$B$13=6,CA37,IF('Cumulative Curves'!$B$13=5,BT37, IF( 'Cumulative Curves'!$B$13=4, BW14,IF('Cumulative Curves'!$B$13=3, BR14, 0))))</f>
        <v>-7.1368160204168002E-2</v>
      </c>
      <c r="CA14" s="57">
        <f>IF('Cumulative Curves'!$B$13=6,BZ37,IF('Cumulative Curves'!$B$13=5,BS37, IF( 'Cumulative Curves'!$B$13=4, BV14,IF('Cumulative Curves'!$B$13=3, BQ14, 0))))</f>
        <v>2.3936905922913704E-3</v>
      </c>
      <c r="CB14" s="57">
        <f>IF('Cumulative Curves'!$B$13=6,BY37,IF('Cumulative Curves'!$B$13=5,BR37, IF( 'Cumulative Curves'!$B$13=4, BU14,IF('Cumulative Curves'!$B$13=3, BP14, 0))))</f>
        <v>-3.0643084354969385E-5</v>
      </c>
      <c r="CC14" s="57">
        <f>IF('Cumulative Curves'!$B$13=6,BX37,IF('Cumulative Curves'!$B$13=5,BQ37, IF( 'Cumulative Curves'!$B$13=4,BT14, 0)))</f>
        <v>1.5396292431283129E-7</v>
      </c>
      <c r="CD14" s="57">
        <f>IF('Cumulative Curves'!$B$13=6,BW37,IF('Cumulative Curves'!$B$13=5,BP37, 0))</f>
        <v>-3.2964206228672864E-10</v>
      </c>
      <c r="CE14" s="57">
        <f>IF('Cumulative Curves'!$B$13=6,BV37,0)</f>
        <v>2.5128671539414321E-13</v>
      </c>
      <c r="CF14" s="49"/>
      <c r="CG14" s="76">
        <f>IF(ISBLANK('In Process Calc.'!C14),"",'In Process Calc.'!C14)</f>
        <v>261.75</v>
      </c>
      <c r="CH14" s="76">
        <f t="shared" si="0"/>
        <v>16.780535602227602</v>
      </c>
      <c r="CI14" s="76">
        <f t="shared" si="1"/>
        <v>30719.071717507773</v>
      </c>
      <c r="CJ14" s="76">
        <f t="shared" si="2"/>
        <v>0</v>
      </c>
      <c r="CK14" s="76">
        <f t="shared" si="3"/>
        <v>3619.4197466074547</v>
      </c>
      <c r="CL14" s="76">
        <f t="shared" si="4"/>
        <v>-11.347564936558186</v>
      </c>
      <c r="CM14" s="76">
        <f t="shared" si="5"/>
        <v>-0.54750278174350342</v>
      </c>
      <c r="CN14" s="76">
        <f t="shared" si="6"/>
        <v>12.011466759430817</v>
      </c>
      <c r="CO14" s="76">
        <f t="shared" si="7"/>
        <v>-1.248742749976401</v>
      </c>
      <c r="CP14" s="76">
        <f t="shared" si="8"/>
        <v>1.7456853192538873</v>
      </c>
      <c r="CQ14" s="76">
        <f t="shared" si="9"/>
        <v>87.059085752506149</v>
      </c>
      <c r="CR14" s="76">
        <f t="shared" si="10"/>
        <v>-5.487392680986261</v>
      </c>
      <c r="CS14" s="76">
        <f t="shared" si="11"/>
        <v>-12.531795912783107</v>
      </c>
      <c r="CT14" s="76">
        <f t="shared" si="12"/>
        <v>0</v>
      </c>
      <c r="CU14" s="76">
        <f t="shared" si="13"/>
        <v>0</v>
      </c>
      <c r="CV14" s="76">
        <f t="shared" si="14"/>
        <v>0</v>
      </c>
      <c r="CW14" s="76">
        <f t="shared" si="15"/>
        <v>9.0096852572813475</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-14.372091960210923</v>
      </c>
      <c r="DK14" s="76">
        <f t="shared" si="29"/>
        <v>-25.719656896769095</v>
      </c>
      <c r="DL14" s="76">
        <f t="shared" si="30"/>
        <v>-14.695042302398335</v>
      </c>
    </row>
    <row r="15" spans="1:116" s="48" customFormat="1" ht="11.25">
      <c r="A15" s="111">
        <f>IF(ISBLANK('In Process Calc.'!C15),"",'In Process Calc.'!C15)</f>
        <v>284.75000000005821</v>
      </c>
      <c r="B15" s="111">
        <f>IF(ISBLANK('Measured Data'!H19),"",'Measured Data'!H19)</f>
        <v>16.004000527954101</v>
      </c>
      <c r="C15" s="111">
        <f>IF(ISBLANK('In Process Calc.'!L15),"",'In Process Calc.'!L15)</f>
        <v>28435.689399102786</v>
      </c>
      <c r="D15" s="111">
        <f>IF(ISBLANK('In Process Calc.'!M15),"",'In Process Calc.'!M15)</f>
        <v>0</v>
      </c>
      <c r="E15" s="111">
        <f>IF(ISBLANK('In Process Calc.'!N15),"",'In Process Calc.'!N15)</f>
        <v>4536.1062666666667</v>
      </c>
      <c r="F15" s="111">
        <f>IF(ISBLANK('In Process Calc.'!O15),"",'In Process Calc.'!O15)</f>
        <v>-8.7425074444444455</v>
      </c>
      <c r="G15" s="111">
        <f>IF(ISBLANK('In Process Calc.'!P15),"",'In Process Calc.'!P15)</f>
        <v>0.73322133333333284</v>
      </c>
      <c r="H15" s="111">
        <f>IF(ISBLANK('In Process Calc.'!Q15),"",'In Process Calc.'!Q15)</f>
        <v>11.049097</v>
      </c>
      <c r="I15" s="111">
        <f>IF(ISBLANK('In Process Calc.'!R15),"",'In Process Calc.'!R15)</f>
        <v>-0.4301398888888901</v>
      </c>
      <c r="J15" s="111">
        <f>IF(ISBLANK('In Process Calc.'!S15),"",'In Process Calc.'!S15)</f>
        <v>1.7905624444444443</v>
      </c>
      <c r="K15" s="111">
        <f>IF(ISBLANK('In Process Calc.'!T15),"",'In Process Calc.'!T15)</f>
        <v>103.61341164067417</v>
      </c>
      <c r="L15" s="111">
        <f>IF(ISBLANK('In Process Calc.'!U15),"",'In Process Calc.'!U15)</f>
        <v>-4.4572677777777789</v>
      </c>
      <c r="M15" s="111">
        <f>IF(ISBLANK('In Process Calc.'!V15),"",'In Process Calc.'!V15)</f>
        <v>-3.1116388888888915</v>
      </c>
      <c r="N15" s="111">
        <f>IF(ISBLANK('In Process Calc.'!W15),"",'In Process Calc.'!W15)</f>
        <v>0</v>
      </c>
      <c r="O15" s="111">
        <f>IF(ISBLANK('In Process Calc.'!X15),"",'In Process Calc.'!X15)</f>
        <v>0</v>
      </c>
      <c r="P15" s="111">
        <f>IF(ISBLANK('In Process Calc.'!Y15),"",'In Process Calc.'!Y15)</f>
        <v>0</v>
      </c>
      <c r="Q15" s="111">
        <f>IF(ISBLANK('In Process Calc.'!Z15),"",'In Process Calc.'!Z15)</f>
        <v>6.0961244326031192</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7.4133824444444345</v>
      </c>
      <c r="AE15" s="111">
        <f>IF(ISBLANK('In Process Calc.'!AN15),"",'In Process Calc.'!AN15)</f>
        <v>-1.329125000000011</v>
      </c>
      <c r="AF15" s="111">
        <f>IF(ISBLANK('In Process Calc.'!AO15),"",'In Process Calc.'!AO15)</f>
        <v>46.001520111111105</v>
      </c>
      <c r="AH15" s="111">
        <f>IF(ISBLANK('In Process Calc.'!C15),"",'In Process Calc.'!C15)</f>
        <v>284.75000000005821</v>
      </c>
      <c r="AI15" s="111">
        <f>IF(ISBLANK('Measured Data'!H19),"",'Measured Data'!H19)</f>
        <v>16.004000527954101</v>
      </c>
      <c r="AJ15" s="111">
        <f>IF(ISBLANK('In Process Calc.'!L15),"",'In Process Calc.'!L15)</f>
        <v>28435.689399102786</v>
      </c>
      <c r="AK15" s="111">
        <f>IF(ISBLANK('In Process Calc.'!M15),"",'In Process Calc.'!M15)</f>
        <v>0</v>
      </c>
      <c r="AL15" s="111">
        <f>IF(ISBLANK('In Process Calc.'!N15),"",'In Process Calc.'!N15)</f>
        <v>4536.1062666666667</v>
      </c>
      <c r="AM15" s="111">
        <f>IF(ISBLANK('In Process Calc.'!O15),"",'In Process Calc.'!O15)</f>
        <v>-8.7425074444444455</v>
      </c>
      <c r="AN15" s="111">
        <f>IF(ISBLANK('In Process Calc.'!P15),"",'In Process Calc.'!P15)</f>
        <v>0.73322133333333284</v>
      </c>
      <c r="AO15" s="111">
        <f>IF(ISBLANK('In Process Calc.'!Q15),"",'In Process Calc.'!Q15)</f>
        <v>11.049097</v>
      </c>
      <c r="AP15" s="111">
        <f>IF(ISBLANK('In Process Calc.'!R15),"",'In Process Calc.'!R15)</f>
        <v>-0.4301398888888901</v>
      </c>
      <c r="AQ15" s="111">
        <f>IF(ISBLANK('In Process Calc.'!S15),"",'In Process Calc.'!S15)</f>
        <v>1.7905624444444443</v>
      </c>
      <c r="AR15" s="111">
        <f>IF(ISBLANK('In Process Calc.'!T15),"",'In Process Calc.'!T15)</f>
        <v>103.61341164067417</v>
      </c>
      <c r="AS15" s="111">
        <f>IF(ISBLANK('In Process Calc.'!U15),"",'In Process Calc.'!U15)</f>
        <v>-4.4572677777777789</v>
      </c>
      <c r="AT15" s="111">
        <f>IF(ISBLANK('In Process Calc.'!V15),"",'In Process Calc.'!V15)</f>
        <v>-3.1116388888888915</v>
      </c>
      <c r="AU15" s="111">
        <f>IF(ISBLANK('In Process Calc.'!W15),"",'In Process Calc.'!W15)</f>
        <v>0</v>
      </c>
      <c r="AV15" s="111">
        <f>IF(ISBLANK('In Process Calc.'!X15),"",'In Process Calc.'!X15)</f>
        <v>0</v>
      </c>
      <c r="AW15" s="111">
        <f>IF(ISBLANK('In Process Calc.'!Y15),"",'In Process Calc.'!Y15)</f>
        <v>0</v>
      </c>
      <c r="AX15" s="111">
        <f>IF(ISBLANK('In Process Calc.'!Z15),"",'In Process Calc.'!Z15)</f>
        <v>6.0961244326031192</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7.4133824444444345</v>
      </c>
      <c r="BL15" s="111">
        <f>IF(ISBLANK('In Process Calc.'!AN15),"",'In Process Calc.'!AN15)</f>
        <v>-1.329125000000011</v>
      </c>
      <c r="BM15" s="111">
        <f>IF(ISBLANK('In Process Calc.'!AO15),"",'In Process Calc.'!AO15)</f>
        <v>46.001520111111105</v>
      </c>
      <c r="BO15" s="54" t="s">
        <v>48</v>
      </c>
      <c r="BP15" s="56">
        <f t="array" ref="BP15:BS15">LINEST($M3:INDEX($M:$M,COUNT($M:$M)+2),$A$3:INDEX($A:$A,COUNT($A:$A)+2)^{1,2,3},TRUE,TRUE)</f>
        <v>1.6082071182359536E-6</v>
      </c>
      <c r="BQ15" s="56">
        <v>1.4735851268827191E-6</v>
      </c>
      <c r="BR15" s="56">
        <v>-0.17535960923973601</v>
      </c>
      <c r="BS15" s="56">
        <v>4.427170735704836</v>
      </c>
      <c r="BT15" s="56">
        <f t="array" ref="BT15:BX15">LINEST($M3:INDEX($M:$M,COUNT($M:$M)+2),$A$3:INDEX($A:$A,COUNT($A:$A)+2)^{1,2,3,4},TRUE,TRUE)</f>
        <v>-6.1351725321501798E-8</v>
      </c>
      <c r="BU15" s="56">
        <v>4.2526187980673053E-5</v>
      </c>
      <c r="BV15" s="56">
        <v>-8.5889547308389269E-3</v>
      </c>
      <c r="BW15" s="56">
        <v>0.41344031260257119</v>
      </c>
      <c r="BX15" s="56">
        <v>-2.3015044232289483</v>
      </c>
      <c r="BY15" s="57">
        <f>IF('Cumulative Curves'!$B$14=6,#REF!,IF('Cumulative Curves'!$B$14=5,#REF!, IF( 'Cumulative Curves'!$B$14=4, BX15,IF('Cumulative Curves'!$B$14=3, BS15, 0))))</f>
        <v>4.427170735704836</v>
      </c>
      <c r="BZ15" s="57">
        <f>IF('Cumulative Curves'!$B$14=6,#REF!,IF('Cumulative Curves'!$B$14=5,#REF!, IF( 'Cumulative Curves'!$B$14=4, BW15,IF('Cumulative Curves'!$B$14=3, BR15, 0))))</f>
        <v>-0.17535960923973601</v>
      </c>
      <c r="CA15" s="57">
        <f>IF('Cumulative Curves'!$B$14=6,#REF!,IF('Cumulative Curves'!$B$14=5,#REF!, IF( 'Cumulative Curves'!$B$14=4, BV15,IF('Cumulative Curves'!$B$14=3, BQ15, 0))))</f>
        <v>1.4735851268827191E-6</v>
      </c>
      <c r="CB15" s="57">
        <f>IF('Cumulative Curves'!$B$14=6,#REF!,IF('Cumulative Curves'!$B$14=5,#REF!, IF( 'Cumulative Curves'!$B$14=4, BU15,IF('Cumulative Curves'!$B$14=3, BP15, 0))))</f>
        <v>1.6082071182359536E-6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284.75000000005821</v>
      </c>
      <c r="CH15" s="76">
        <f t="shared" si="0"/>
        <v>16.7258656048189</v>
      </c>
      <c r="CI15" s="76">
        <f t="shared" si="1"/>
        <v>30340.71195700203</v>
      </c>
      <c r="CJ15" s="76">
        <f t="shared" si="2"/>
        <v>0</v>
      </c>
      <c r="CK15" s="76">
        <f t="shared" si="3"/>
        <v>4308.6353878632572</v>
      </c>
      <c r="CL15" s="76">
        <f t="shared" si="4"/>
        <v>-10.13352877044305</v>
      </c>
      <c r="CM15" s="76">
        <f t="shared" si="5"/>
        <v>9.8877337165403034E-2</v>
      </c>
      <c r="CN15" s="76">
        <f t="shared" si="6"/>
        <v>12.885444911607564</v>
      </c>
      <c r="CO15" s="76">
        <f t="shared" si="7"/>
        <v>-0.71537935457099167</v>
      </c>
      <c r="CP15" s="76">
        <f t="shared" si="8"/>
        <v>1.7316532563893707</v>
      </c>
      <c r="CQ15" s="76">
        <f t="shared" si="9"/>
        <v>102.84538822142818</v>
      </c>
      <c r="CR15" s="76">
        <f t="shared" si="10"/>
        <v>-4.4526811503815509</v>
      </c>
      <c r="CS15" s="76">
        <f t="shared" si="11"/>
        <v>-8.2562923851583676</v>
      </c>
      <c r="CT15" s="76">
        <f t="shared" si="12"/>
        <v>0</v>
      </c>
      <c r="CU15" s="76">
        <f t="shared" si="13"/>
        <v>0</v>
      </c>
      <c r="CV15" s="76">
        <f t="shared" si="14"/>
        <v>0</v>
      </c>
      <c r="CW15" s="76">
        <f t="shared" si="15"/>
        <v>4.4902627959175163</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-3.4743616471101291</v>
      </c>
      <c r="DK15" s="76">
        <f t="shared" si="29"/>
        <v>-13.607890417553193</v>
      </c>
      <c r="DL15" s="76">
        <f t="shared" si="30"/>
        <v>13.912265867155398</v>
      </c>
    </row>
    <row r="16" spans="1:116" s="48" customFormat="1" ht="11.25">
      <c r="A16" s="111">
        <f>IF(ISBLANK('In Process Calc.'!C16),"",'In Process Calc.'!C16)</f>
        <v>308.58333333337214</v>
      </c>
      <c r="B16" s="111">
        <f>IF(ISBLANK('Measured Data'!H20),"",'Measured Data'!H20)</f>
        <v>15.927300317382812</v>
      </c>
      <c r="C16" s="111">
        <f>IF(ISBLANK('In Process Calc.'!L16),"",'In Process Calc.'!L16)</f>
        <v>28204.089122047259</v>
      </c>
      <c r="D16" s="111">
        <f>IF(ISBLANK('In Process Calc.'!M16),"",'In Process Calc.'!M16)</f>
        <v>0</v>
      </c>
      <c r="E16" s="111">
        <f>IF(ISBLANK('In Process Calc.'!N16),"",'In Process Calc.'!N16)</f>
        <v>5200.0721833333337</v>
      </c>
      <c r="F16" s="111">
        <f>IF(ISBLANK('In Process Calc.'!O16),"",'In Process Calc.'!O16)</f>
        <v>-5.1722416111111125</v>
      </c>
      <c r="G16" s="111">
        <f>IF(ISBLANK('In Process Calc.'!P16),"",'In Process Calc.'!P16)</f>
        <v>1.4727088333333325</v>
      </c>
      <c r="H16" s="111">
        <f>IF(ISBLANK('In Process Calc.'!Q16),"",'In Process Calc.'!Q16)</f>
        <v>11.035045388888889</v>
      </c>
      <c r="I16" s="111">
        <f>IF(ISBLANK('In Process Calc.'!R16),"",'In Process Calc.'!R16)</f>
        <v>0.62002944444444363</v>
      </c>
      <c r="J16" s="111">
        <f>IF(ISBLANK('In Process Calc.'!S16),"",'In Process Calc.'!S16)</f>
        <v>1.6559491111111111</v>
      </c>
      <c r="K16" s="111">
        <f>IF(ISBLANK('In Process Calc.'!T16),"",'In Process Calc.'!T16)</f>
        <v>120.05977473905473</v>
      </c>
      <c r="L16" s="111">
        <f>IF(ISBLANK('In Process Calc.'!U16),"",'In Process Calc.'!U16)</f>
        <v>-4.0661893333333348</v>
      </c>
      <c r="M16" s="111">
        <f>IF(ISBLANK('In Process Calc.'!V16),"",'In Process Calc.'!V16)</f>
        <v>0.1171293888888858</v>
      </c>
      <c r="N16" s="111">
        <f>IF(ISBLANK('In Process Calc.'!W16),"",'In Process Calc.'!W16)</f>
        <v>0</v>
      </c>
      <c r="O16" s="111">
        <f>IF(ISBLANK('In Process Calc.'!X16),"",'In Process Calc.'!X16)</f>
        <v>0</v>
      </c>
      <c r="P16" s="111">
        <f>IF(ISBLANK('In Process Calc.'!Y16),"",'In Process Calc.'!Y16)</f>
        <v>0</v>
      </c>
      <c r="Q16" s="111">
        <f>IF(ISBLANK('In Process Calc.'!Z16),"",'In Process Calc.'!Z16)</f>
        <v>1.6682948490230904</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18.705362888888878</v>
      </c>
      <c r="AE16" s="111">
        <f>IF(ISBLANK('In Process Calc.'!AN16),"",'In Process Calc.'!AN16)</f>
        <v>13.533121277777767</v>
      </c>
      <c r="AF16" s="111">
        <f>IF(ISBLANK('In Process Calc.'!AO16),"",'In Process Calc.'!AO16)</f>
        <v>61.16367211111109</v>
      </c>
      <c r="AH16" s="111">
        <f>IF(ISBLANK('In Process Calc.'!C16),"",'In Process Calc.'!C16)</f>
        <v>308.58333333337214</v>
      </c>
      <c r="AI16" s="111">
        <f>IF(ISBLANK('Measured Data'!H20),"",'Measured Data'!H20)</f>
        <v>15.927300317382812</v>
      </c>
      <c r="AJ16" s="111">
        <f>IF(ISBLANK('In Process Calc.'!L16),"",'In Process Calc.'!L16)</f>
        <v>28204.089122047259</v>
      </c>
      <c r="AK16" s="111">
        <f>IF(ISBLANK('In Process Calc.'!M16),"",'In Process Calc.'!M16)</f>
        <v>0</v>
      </c>
      <c r="AL16" s="111">
        <f>IF(ISBLANK('In Process Calc.'!N16),"",'In Process Calc.'!N16)</f>
        <v>5200.0721833333337</v>
      </c>
      <c r="AM16" s="111">
        <f>IF(ISBLANK('In Process Calc.'!O16),"",'In Process Calc.'!O16)</f>
        <v>-5.1722416111111125</v>
      </c>
      <c r="AN16" s="111">
        <f>IF(ISBLANK('In Process Calc.'!P16),"",'In Process Calc.'!P16)</f>
        <v>1.4727088333333325</v>
      </c>
      <c r="AO16" s="111">
        <f>IF(ISBLANK('In Process Calc.'!Q16),"",'In Process Calc.'!Q16)</f>
        <v>11.035045388888889</v>
      </c>
      <c r="AP16" s="111">
        <f>IF(ISBLANK('In Process Calc.'!R16),"",'In Process Calc.'!R16)</f>
        <v>0.62002944444444363</v>
      </c>
      <c r="AQ16" s="111">
        <f>IF(ISBLANK('In Process Calc.'!S16),"",'In Process Calc.'!S16)</f>
        <v>1.6559491111111111</v>
      </c>
      <c r="AR16" s="111">
        <f>IF(ISBLANK('In Process Calc.'!T16),"",'In Process Calc.'!T16)</f>
        <v>120.05977473905473</v>
      </c>
      <c r="AS16" s="111">
        <f>IF(ISBLANK('In Process Calc.'!U16),"",'In Process Calc.'!U16)</f>
        <v>-4.0661893333333348</v>
      </c>
      <c r="AT16" s="111">
        <f>IF(ISBLANK('In Process Calc.'!V16),"",'In Process Calc.'!V16)</f>
        <v>0.1171293888888858</v>
      </c>
      <c r="AU16" s="111">
        <f>IF(ISBLANK('In Process Calc.'!W16),"",'In Process Calc.'!W16)</f>
        <v>0</v>
      </c>
      <c r="AV16" s="111">
        <f>IF(ISBLANK('In Process Calc.'!X16),"",'In Process Calc.'!X16)</f>
        <v>0</v>
      </c>
      <c r="AW16" s="111">
        <f>IF(ISBLANK('In Process Calc.'!Y16),"",'In Process Calc.'!Y16)</f>
        <v>0</v>
      </c>
      <c r="AX16" s="111">
        <f>IF(ISBLANK('In Process Calc.'!Z16),"",'In Process Calc.'!Z16)</f>
        <v>1.6682948490230904</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18.705362888888878</v>
      </c>
      <c r="BL16" s="111">
        <f>IF(ISBLANK('In Process Calc.'!AN16),"",'In Process Calc.'!AN16)</f>
        <v>13.533121277777767</v>
      </c>
      <c r="BM16" s="111">
        <f>IF(ISBLANK('In Process Calc.'!AO16),"",'In Process Calc.'!AO16)</f>
        <v>61.16367211111109</v>
      </c>
      <c r="BO16" s="54" t="s">
        <v>52</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308.58333333337214</v>
      </c>
      <c r="CH16" s="76">
        <f t="shared" si="0"/>
        <v>15.607693644651452</v>
      </c>
      <c r="CI16" s="76">
        <f t="shared" si="1"/>
        <v>27854.121583155124</v>
      </c>
      <c r="CJ16" s="76">
        <f t="shared" si="2"/>
        <v>0</v>
      </c>
      <c r="CK16" s="76">
        <f t="shared" si="3"/>
        <v>5024.1236699868705</v>
      </c>
      <c r="CL16" s="76">
        <f t="shared" si="4"/>
        <v>-7.4291299434911195</v>
      </c>
      <c r="CM16" s="76">
        <f t="shared" si="5"/>
        <v>1.0057626057845059</v>
      </c>
      <c r="CN16" s="76">
        <f t="shared" si="6"/>
        <v>12.334909996161088</v>
      </c>
      <c r="CO16" s="76">
        <f t="shared" si="7"/>
        <v>-0.36316684230527585</v>
      </c>
      <c r="CP16" s="76">
        <f t="shared" si="8"/>
        <v>1.599842492083269</v>
      </c>
      <c r="CQ16" s="76">
        <f t="shared" si="9"/>
        <v>118.91679175706039</v>
      </c>
      <c r="CR16" s="76">
        <f t="shared" si="10"/>
        <v>-3.6252881877490211</v>
      </c>
      <c r="CS16" s="76">
        <f t="shared" si="11"/>
        <v>-2.2892984800811575</v>
      </c>
      <c r="CT16" s="76">
        <f t="shared" si="12"/>
        <v>0</v>
      </c>
      <c r="CU16" s="76">
        <f t="shared" si="13"/>
        <v>0</v>
      </c>
      <c r="CV16" s="76">
        <f t="shared" si="14"/>
        <v>0</v>
      </c>
      <c r="CW16" s="76">
        <f t="shared" si="15"/>
        <v>1.8408118300055207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11.555956812125913</v>
      </c>
      <c r="DK16" s="76">
        <f t="shared" si="29"/>
        <v>4.1268268686348506</v>
      </c>
      <c r="DL16" s="76">
        <f t="shared" si="30"/>
        <v>48.789807379759445</v>
      </c>
    </row>
    <row r="17" spans="1:116" s="48" customFormat="1" ht="11.25">
      <c r="A17" s="111">
        <f>IF(ISBLANK('In Process Calc.'!C17),"",'In Process Calc.'!C17)</f>
        <v>332.93333333329065</v>
      </c>
      <c r="B17" s="111">
        <f>IF(ISBLANK('Measured Data'!H21),"",'Measured Data'!H21)</f>
        <v>13.334700448608398</v>
      </c>
      <c r="C17" s="111">
        <f>IF(ISBLANK('In Process Calc.'!L17),"",'In Process Calc.'!L17)</f>
        <v>23502.324074261476</v>
      </c>
      <c r="D17" s="111">
        <f>IF(ISBLANK('In Process Calc.'!M17),"",'In Process Calc.'!M17)</f>
        <v>0</v>
      </c>
      <c r="E17" s="111">
        <f>IF(ISBLANK('In Process Calc.'!N17),"",'In Process Calc.'!N17)</f>
        <v>5452.5130666666673</v>
      </c>
      <c r="F17" s="111">
        <f>IF(ISBLANK('In Process Calc.'!O17),"",'In Process Calc.'!O17)</f>
        <v>-4.4764016666666677</v>
      </c>
      <c r="G17" s="111">
        <f>IF(ISBLANK('In Process Calc.'!P17),"",'In Process Calc.'!P17)</f>
        <v>1.3043462222222213</v>
      </c>
      <c r="H17" s="111">
        <f>IF(ISBLANK('In Process Calc.'!Q17),"",'In Process Calc.'!Q17)</f>
        <v>11.008195888888888</v>
      </c>
      <c r="I17" s="111">
        <f>IF(ISBLANK('In Process Calc.'!R17),"",'In Process Calc.'!R17)</f>
        <v>-1.1877874444444463</v>
      </c>
      <c r="J17" s="111">
        <f>IF(ISBLANK('In Process Calc.'!S17),"",'In Process Calc.'!S17)</f>
        <v>1.2224682222222223</v>
      </c>
      <c r="K17" s="111">
        <f>IF(ISBLANK('In Process Calc.'!T17),"",'In Process Calc.'!T17)</f>
        <v>133.47772652711561</v>
      </c>
      <c r="L17" s="111">
        <f>IF(ISBLANK('In Process Calc.'!U17),"",'In Process Calc.'!U17)</f>
        <v>-3.4366242222222239</v>
      </c>
      <c r="M17" s="111">
        <f>IF(ISBLANK('In Process Calc.'!V17),"",'In Process Calc.'!V17)</f>
        <v>-0.82288044444444775</v>
      </c>
      <c r="N17" s="111">
        <f>IF(ISBLANK('In Process Calc.'!W17),"",'In Process Calc.'!W17)</f>
        <v>0</v>
      </c>
      <c r="O17" s="111">
        <f>IF(ISBLANK('In Process Calc.'!X17),"",'In Process Calc.'!X17)</f>
        <v>0</v>
      </c>
      <c r="P17" s="111">
        <f>IF(ISBLANK('In Process Calc.'!Y17),"",'In Process Calc.'!Y17)</f>
        <v>0</v>
      </c>
      <c r="Q17" s="111">
        <f>IF(ISBLANK('In Process Calc.'!Z17),"",'In Process Calc.'!Z17)</f>
        <v>4.0621299585553583</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16.318395111111098</v>
      </c>
      <c r="AE17" s="111">
        <f>IF(ISBLANK('In Process Calc.'!AN17),"",'In Process Calc.'!AN17)</f>
        <v>11.84199344444443</v>
      </c>
      <c r="AF17" s="111">
        <f>IF(ISBLANK('In Process Calc.'!AO17),"",'In Process Calc.'!AO17)</f>
        <v>46.574202111111077</v>
      </c>
      <c r="AH17" s="111">
        <f>IF(ISBLANK('In Process Calc.'!C17),"",'In Process Calc.'!C17)</f>
        <v>332.93333333329065</v>
      </c>
      <c r="AI17" s="111">
        <f>IF(ISBLANK('Measured Data'!H21),"",'Measured Data'!H21)</f>
        <v>13.334700448608398</v>
      </c>
      <c r="AJ17" s="111">
        <f>IF(ISBLANK('In Process Calc.'!L17),"",'In Process Calc.'!L17)</f>
        <v>23502.324074261476</v>
      </c>
      <c r="AK17" s="111">
        <f>IF(ISBLANK('In Process Calc.'!M17),"",'In Process Calc.'!M17)</f>
        <v>0</v>
      </c>
      <c r="AL17" s="111">
        <f>IF(ISBLANK('In Process Calc.'!N17),"",'In Process Calc.'!N17)</f>
        <v>5452.5130666666673</v>
      </c>
      <c r="AM17" s="111">
        <f>IF(ISBLANK('In Process Calc.'!O17),"",'In Process Calc.'!O17)</f>
        <v>-4.4764016666666677</v>
      </c>
      <c r="AN17" s="111">
        <f>IF(ISBLANK('In Process Calc.'!P17),"",'In Process Calc.'!P17)</f>
        <v>1.3043462222222213</v>
      </c>
      <c r="AO17" s="111">
        <f>IF(ISBLANK('In Process Calc.'!Q17),"",'In Process Calc.'!Q17)</f>
        <v>11.008195888888888</v>
      </c>
      <c r="AP17" s="111">
        <f>IF(ISBLANK('In Process Calc.'!R17),"",'In Process Calc.'!R17)</f>
        <v>-1.1877874444444463</v>
      </c>
      <c r="AQ17" s="111">
        <f>IF(ISBLANK('In Process Calc.'!S17),"",'In Process Calc.'!S17)</f>
        <v>1.2224682222222223</v>
      </c>
      <c r="AR17" s="111">
        <f>IF(ISBLANK('In Process Calc.'!T17),"",'In Process Calc.'!T17)</f>
        <v>133.47772652711561</v>
      </c>
      <c r="AS17" s="111">
        <f>IF(ISBLANK('In Process Calc.'!U17),"",'In Process Calc.'!U17)</f>
        <v>-3.4366242222222239</v>
      </c>
      <c r="AT17" s="111">
        <f>IF(ISBLANK('In Process Calc.'!V17),"",'In Process Calc.'!V17)</f>
        <v>-0.82288044444444775</v>
      </c>
      <c r="AU17" s="111">
        <f>IF(ISBLANK('In Process Calc.'!W17),"",'In Process Calc.'!W17)</f>
        <v>0</v>
      </c>
      <c r="AV17" s="111">
        <f>IF(ISBLANK('In Process Calc.'!X17),"",'In Process Calc.'!X17)</f>
        <v>0</v>
      </c>
      <c r="AW17" s="111">
        <f>IF(ISBLANK('In Process Calc.'!Y17),"",'In Process Calc.'!Y17)</f>
        <v>0</v>
      </c>
      <c r="AX17" s="111">
        <f>IF(ISBLANK('In Process Calc.'!Z17),"",'In Process Calc.'!Z17)</f>
        <v>4.0621299585553583</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16.318395111111098</v>
      </c>
      <c r="BL17" s="111">
        <f>IF(ISBLANK('In Process Calc.'!AN17),"",'In Process Calc.'!AN17)</f>
        <v>11.84199344444443</v>
      </c>
      <c r="BM17" s="111">
        <f>IF(ISBLANK('In Process Calc.'!AO17),"",'In Process Calc.'!AO17)</f>
        <v>46.574202111111077</v>
      </c>
      <c r="BO17" s="54" t="s">
        <v>330</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332.93333333329065</v>
      </c>
      <c r="CH17" s="76">
        <f t="shared" si="0"/>
        <v>13.155581902503357</v>
      </c>
      <c r="CI17" s="76">
        <f t="shared" si="1"/>
        <v>22727.93503229713</v>
      </c>
      <c r="CJ17" s="76">
        <f t="shared" si="2"/>
        <v>0</v>
      </c>
      <c r="CK17" s="76">
        <f t="shared" si="3"/>
        <v>5740.6058283083676</v>
      </c>
      <c r="CL17" s="76">
        <f t="shared" si="4"/>
        <v>-2.8822105092412329</v>
      </c>
      <c r="CM17" s="76">
        <f t="shared" si="5"/>
        <v>2.208837908906073</v>
      </c>
      <c r="CN17" s="76">
        <f t="shared" si="6"/>
        <v>9.552252933048635</v>
      </c>
      <c r="CO17" s="76">
        <f t="shared" si="7"/>
        <v>-0.49016413616591592</v>
      </c>
      <c r="CP17" s="76">
        <f t="shared" si="8"/>
        <v>1.3203743147683227</v>
      </c>
      <c r="CQ17" s="76">
        <f t="shared" si="9"/>
        <v>134.13922355372884</v>
      </c>
      <c r="CR17" s="76">
        <f t="shared" si="10"/>
        <v>-3.5950024320259786</v>
      </c>
      <c r="CS17" s="76">
        <f t="shared" si="11"/>
        <v>5.556506655758362</v>
      </c>
      <c r="CT17" s="76">
        <f t="shared" si="12"/>
        <v>0</v>
      </c>
      <c r="CU17" s="76">
        <f t="shared" si="13"/>
        <v>0</v>
      </c>
      <c r="CV17" s="76">
        <f t="shared" si="14"/>
        <v>0</v>
      </c>
      <c r="CW17" s="76">
        <f t="shared" si="15"/>
        <v>4.2926876990429719</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31.213893345641793</v>
      </c>
      <c r="DK17" s="76">
        <f t="shared" si="29"/>
        <v>28.331682836400574</v>
      </c>
      <c r="DL17" s="76">
        <f t="shared" si="30"/>
        <v>89.829158250266943</v>
      </c>
    </row>
    <row r="18" spans="1:116" s="48" customFormat="1" ht="11.25">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1.25">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-7.1164351866762088E-7</v>
      </c>
      <c r="BQ19" s="56">
        <v>-2.5764408844732077E-4</v>
      </c>
      <c r="BR19" s="56">
        <v>0.17064351480657819</v>
      </c>
      <c r="BS19" s="56">
        <v>-2.5176324438344846</v>
      </c>
      <c r="BT19" s="56">
        <f t="array" ref="BT19:BX19">LINEST($Q3:INDEX($Q:$Q,COUNT($Q:$Q)+2),$A$3:INDEX($A:$A,COUNT($A:$A)+2)^{1,2,3,4},TRUE,TRUE)</f>
        <v>3.5695868413937148E-8</v>
      </c>
      <c r="BU19" s="56">
        <v>-2.451868159258563E-5</v>
      </c>
      <c r="BV19" s="56">
        <v>4.7404679805967556E-3</v>
      </c>
      <c r="BW19" s="56">
        <v>-0.17193404796089373</v>
      </c>
      <c r="BX19" s="56">
        <v>1.3972681040275319</v>
      </c>
      <c r="BY19" s="57">
        <f>IF('Cumulative Curves'!$B$18=6,CB36,IF('Cumulative Curves'!$B$18=5,BU36,IF('Cumulative Curves'!$B$18=4,BX19,IF('Cumulative Curves'!$B$18=3,BS19,0))))</f>
        <v>0.33308400852332909</v>
      </c>
      <c r="BZ19" s="57">
        <f>IF('Cumulative Curves'!$B$18=6,CA36,IF('Cumulative Curves'!$B$18=5,BT36,IF('Cumulative Curves'!$B$18=4,BW19,IF('Cumulative Curves'!$B$18=3,BR19,0))))</f>
        <v>-2.549143632403324E-3</v>
      </c>
      <c r="CA19" s="57">
        <f>IF('Cumulative Curves'!$B$18=6,BZ36,IF('Cumulative Curves'!$B$18=5,BS36,IF('Cumulative Curves'!$B$18=4,BV19,IF('Cumulative Curves'!$B$18=3,BQ19,0))))</f>
        <v>7.7006535076019238E-4</v>
      </c>
      <c r="CB19" s="57">
        <f>IF('Cumulative Curves'!$B$18=6,BY36,IF('Cumulative Curves'!$B$18=5,BR36, IF( 'Cumulative Curves'!$B$18=4, BU19,IF('Cumulative Curves'!$B$18=3, BP19, 0))))</f>
        <v>8.4113538945972136E-6</v>
      </c>
      <c r="CC19" s="57">
        <f>IF('Cumulative Curves'!$B$18=6,BX36,IF('Cumulative Curves'!$B$18=5,BQ36, IF( 'Cumulative Curves'!$B$18=4,BT19, 0)))</f>
        <v>-7.6551815920710494E-8</v>
      </c>
      <c r="CD19" s="57">
        <f>IF('Cumulative Curves'!$B$18=6,BW36,IF('Cumulative Curves'!$B$18=5,BP36, 0))</f>
        <v>1.3435582508646299E-10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1.25">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1.25">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1.25">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1.25">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1.25">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1.25">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1.25">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1.25">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1.25">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1.25">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1.25">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1.25">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1.25">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4.4654065914973874E-6</v>
      </c>
      <c r="BQ32" s="56">
        <v>-4.6964625932864997E-4</v>
      </c>
      <c r="BR32" s="56">
        <v>-0.27035079269692203</v>
      </c>
      <c r="BS32" s="56">
        <v>8.4896818232190299</v>
      </c>
      <c r="BT32" s="56">
        <f t="array" ref="BT32:BX32">LINEST($BK3:INDEX($BK:$BK,COUNT($BK:$BK)+2),$AH$3:INDEX($AH:$AH,COUNT($AH:$AH)+2)^{1,2,3,4},TRUE,TRUE)</f>
        <v>-1.3668289815742675E-7</v>
      </c>
      <c r="BU32" s="56">
        <v>9.5624834981165418E-5</v>
      </c>
      <c r="BV32" s="56">
        <v>-1.960789595787988E-2</v>
      </c>
      <c r="BW32" s="56">
        <v>1.0414114981031974</v>
      </c>
      <c r="BX32" s="56">
        <v>-6.5008472395491594</v>
      </c>
      <c r="BY32" s="57">
        <f>IF('Cumulative Curves'!$B$23=6,#REF!,IF('Cumulative Curves'!$B$23=5,#REF!, IF( 'Cumulative Curves'!$B$23=4, BX32,IF('Cumulative Curves'!$B$23=3, BS32, 0))))</f>
        <v>8.4896818232190299</v>
      </c>
      <c r="BZ32" s="57">
        <f>IF('Cumulative Curves'!$B$23=6,#REF!,IF('Cumulative Curves'!$B$23=5,#REF!, IF( 'Cumulative Curves'!$B$23=4, BW32,IF('Cumulative Curves'!$B$23=3, BR32, 0))))</f>
        <v>-0.27035079269692203</v>
      </c>
      <c r="CA32" s="57">
        <f>IF('Cumulative Curves'!$B$23=6,#REF!,IF('Cumulative Curves'!$B$23=5,#REF!, IF( 'Cumulative Curves'!$B$23=4, BV32,IF('Cumulative Curves'!$B$23=3, BQ32, 0))))</f>
        <v>-4.6964625932864997E-4</v>
      </c>
      <c r="CB32" s="57">
        <f>IF('Cumulative Curves'!$B$23=6,#REF!,IF('Cumulative Curves'!$B$23=5,#REF!, IF( 'Cumulative Curves'!$B$23=4, BU32,IF('Cumulative Curves'!$B$23=3, BP32, 0))))</f>
        <v>4.4654065914973874E-6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1.25">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7.6212537078813438E-6</v>
      </c>
      <c r="BQ33" s="56">
        <v>-1.8723486026144015E-3</v>
      </c>
      <c r="BR33" s="56">
        <v>-0.15830644206359812</v>
      </c>
      <c r="BS33" s="56">
        <v>7.3232069204849779</v>
      </c>
      <c r="BT33" s="56">
        <f t="array" ref="BT33:BX33">LINEST($BL3:INDEX($BL:$BL,COUNT($BL:$BL)+2),$AH$3:INDEX($AH:$AH,COUNT($AH:$AH)+2)^{1,2,3,4},TRUE,TRUE)</f>
        <v>-1.3478600850853431E-7</v>
      </c>
      <c r="BU33" s="56">
        <v>9.751556862364462E-5</v>
      </c>
      <c r="BV33" s="56">
        <v>-2.074499705740734E-2</v>
      </c>
      <c r="BW33" s="56">
        <v>1.1352511695501011</v>
      </c>
      <c r="BX33" s="56">
        <v>-7.4592830986728131</v>
      </c>
      <c r="BY33" s="57">
        <f>IF('Cumulative Curves'!$B$24=6,#REF!,IF('Cumulative Curves'!$B$24=5,#REF!, IF( 'Cumulative Curves'!$B$24=4, BX33,IF('Cumulative Curves'!$B$24=3, BS33, 0))))</f>
        <v>7.3232069204849779</v>
      </c>
      <c r="BZ33" s="57">
        <f>IF('Cumulative Curves'!$B$24=6,#REF!,IF('Cumulative Curves'!$B$24=5,#REF!, IF( 'Cumulative Curves'!$B$24=4, BW33,IF('Cumulative Curves'!$B$24=3, BR33, 0))))</f>
        <v>-0.15830644206359812</v>
      </c>
      <c r="CA33" s="57">
        <f>IF('Cumulative Curves'!$B$24=6,#REF!,IF('Cumulative Curves'!$B$24=5,#REF!, IF( 'Cumulative Curves'!$B$24=4, BV33,IF('Cumulative Curves'!$B$24=3, BQ33, 0))))</f>
        <v>-1.8723486026144015E-3</v>
      </c>
      <c r="CB33" s="57">
        <f>IF('Cumulative Curves'!$B$24=6,#REF!,IF('Cumulative Curves'!$B$24=5,#REF!, IF( 'Cumulative Curves'!$B$24=4, BU33,IF('Cumulative Curves'!$B$24=3, BP33, 0))))</f>
        <v>7.6212537078813438E-6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1.25">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-1.1447837576108658E-6</v>
      </c>
      <c r="BQ34" s="56">
        <v>5.6677967458119765E-3</v>
      </c>
      <c r="BR34" s="56">
        <v>-1.5970757469571848</v>
      </c>
      <c r="BS34" s="56">
        <v>35.551165597403326</v>
      </c>
      <c r="BT34" s="56">
        <f t="array" ref="BT34:BX34">LINEST($BM3:INDEX($BM:$BM,COUNT($BM:$BM)+2),$AH$3:INDEX($AH:$AH,COUNT($AH:$AH)+2)^{1,2,3,4},TRUE,TRUE)</f>
        <v>-4.7309166950619364E-7</v>
      </c>
      <c r="BU34" s="56">
        <v>3.1437944604344588E-4</v>
      </c>
      <c r="BV34" s="56">
        <v>-6.0574188340615932E-2</v>
      </c>
      <c r="BW34" s="56">
        <v>2.9432421751513296</v>
      </c>
      <c r="BX34" s="56">
        <v>-16.334582485857254</v>
      </c>
      <c r="BY34" s="57">
        <f>IF('Cumulative Curves'!$B$3=6,#REF!,IF('Cumulative Curves'!$B$3=5,#REF!, IF( 'Cumulative Curves'!$B$3=4, BX34,IF('Cumulative Curves'!$B$3=3, BS34, 0))))</f>
        <v>35.551165597403326</v>
      </c>
      <c r="BZ34" s="57">
        <f>IF('Cumulative Curves'!$B$3=6,#REF!,IF('Cumulative Curves'!$B$3=5,#REF!, IF( 'Cumulative Curves'!$B$3=4, BW34,IF('Cumulative Curves'!$B$3=3, BR34, 0))))</f>
        <v>-1.5970757469571848</v>
      </c>
      <c r="CA34" s="57">
        <f>IF('Cumulative Curves'!$B$3=6,#REF!,IF('Cumulative Curves'!$B$3=5,#REF!, IF( 'Cumulative Curves'!$B$3=4, BV34,IF('Cumulative Curves'!$B$3=3, BQ34, 0))))</f>
        <v>5.6677967458119765E-3</v>
      </c>
      <c r="CB34" s="57">
        <f>IF('Cumulative Curves'!$B$3=6,#REF!,IF('Cumulative Curves'!$B$3=5,#REF!, IF( 'Cumulative Curves'!$B$3=4, BU34,IF('Cumulative Curves'!$B$3=3, BP34, 0))))</f>
        <v>-1.1447837576108658E-6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600</v>
      </c>
      <c r="BQ35" s="537"/>
      <c r="BR35" s="537"/>
      <c r="BS35" s="537"/>
      <c r="BT35" s="537"/>
      <c r="BU35" s="537"/>
      <c r="BV35" s="536" t="s">
        <v>601</v>
      </c>
      <c r="BW35" s="537"/>
      <c r="BX35" s="537"/>
      <c r="BY35" s="537"/>
      <c r="BZ35" s="537"/>
      <c r="CA35" s="537"/>
      <c r="CB35" s="537"/>
      <c r="CC35" s="49"/>
      <c r="CD35" s="49"/>
      <c r="CE35" s="49"/>
      <c r="CF35" s="49"/>
      <c r="CG35" s="534" t="s">
        <v>476</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96">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1.3435582508646299E-10</v>
      </c>
      <c r="BQ36" s="48">
        <v>-7.6551815920710494E-8</v>
      </c>
      <c r="BR36" s="48">
        <v>8.4113538945972136E-6</v>
      </c>
      <c r="BS36" s="48">
        <v>7.7006535076019238E-4</v>
      </c>
      <c r="BT36" s="48">
        <v>-2.549143632403324E-3</v>
      </c>
      <c r="BU36" s="48">
        <v>0.33308400852332909</v>
      </c>
      <c r="BV36" s="48">
        <f t="array" ref="BV36:CB36">LINEST($Q3:INDEX($Q:$Q,COUNT($Q:$Q)+2),$A$3:INDEX($A:$A,COUNT($A:$A)+2)^{1,2,3,4,5,6},TRUE,TRUE)</f>
        <v>-1.1850210694540783E-12</v>
      </c>
      <c r="BW36" s="48">
        <v>1.3198861562762289E-9</v>
      </c>
      <c r="BX36" s="48">
        <v>-5.2200615952045033E-7</v>
      </c>
      <c r="BY36" s="48">
        <v>8.5796641580361324E-5</v>
      </c>
      <c r="BZ36" s="48">
        <v>-5.3359629243690618E-3</v>
      </c>
      <c r="CA36" s="48">
        <v>0.17343705321456318</v>
      </c>
      <c r="CB36" s="48">
        <v>-0.30263663762491433</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1.25">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-7.8247356653311914E-11</v>
      </c>
      <c r="BQ37" s="48">
        <v>5.950320393604653E-8</v>
      </c>
      <c r="BR37" s="48">
        <v>-1.4233338348221737E-5</v>
      </c>
      <c r="BS37" s="48">
        <v>1.0988918508075742E-3</v>
      </c>
      <c r="BT37" s="48">
        <v>-3.4049841990002057E-2</v>
      </c>
      <c r="BU37" s="48">
        <v>8.7764489881898555E-2</v>
      </c>
      <c r="BV37" s="48">
        <f t="array" ref="BV37:CB37">LINEST($L3:INDEX($L:$L,COUNT($L:$L)+2),$A$3:INDEX($A:$A,COUNT($A:$A)+2)^{1,2,3,4,5,6},TRUE,TRUE)</f>
        <v>2.5128671539414321E-13</v>
      </c>
      <c r="BW37" s="48">
        <v>-3.2964206228672864E-10</v>
      </c>
      <c r="BX37" s="48">
        <v>1.5396292431283129E-7</v>
      </c>
      <c r="BY37" s="48">
        <v>-3.0643084354969385E-5</v>
      </c>
      <c r="BZ37" s="48">
        <v>2.3936905922913704E-3</v>
      </c>
      <c r="CA37" s="48">
        <v>-7.1368160204168002E-2</v>
      </c>
      <c r="CB37" s="48">
        <v>0.22257066100971201</v>
      </c>
      <c r="CG37" s="76">
        <f>'In Process Calc.'!C3</f>
        <v>0.45000000006984919</v>
      </c>
      <c r="CH37" s="76">
        <f>$BY$4+$BZ$4*$CG37+$CA$4*$CG37^2+$CB$4*$CG37^3+$CC$4*$CG37^4+$CD$4*$CG37^5+$CE$4*$CG37^6</f>
        <v>0.77195298061299733</v>
      </c>
      <c r="CI37" s="76">
        <f>$BY$5+$BZ$5*$CG37+$CA$5*$CG37^2+$CB$5*$CG37^3+$CC$5*$CG37^4+$CD$5*$CG37^5+$CE$5*$CG37^6</f>
        <v>887.15993046496351</v>
      </c>
      <c r="CJ37" s="76">
        <f>$BY$6+$BZ$6*$CG37+$CA$6*$CG37^2+$CB$6*$CG37^3+$CC$6*$CG37^4+$CD$6*$CG37^5+$CE$6*$CG37^6</f>
        <v>0</v>
      </c>
      <c r="CK37" s="76">
        <f>$BY$7+$BZ$7*$CG37+$CA$7*$CG37^2+$CB$7*$CG37^3+$CC$7*$CG37^4+$CD$7*$CG37^5+$CE$7*$CG37^6</f>
        <v>229.5230596319727</v>
      </c>
      <c r="CL37" s="76">
        <f>$BY$8+$BZ$8*$CG37+$CA$8*$CG37^2+$CB$8*$CG37^3+$CC$8*$CG37^4+$CD$8*$CG37^5+$CE$8*$CG37^6</f>
        <v>-1.1163387045892685</v>
      </c>
      <c r="CM37" s="76">
        <f>$BY$9+$BZ$9*$CG37+$CA$9*$CG37^2+$CB$9*$CG37^3+$CC$9*$CG37^4+$CD$9*$CG37^5+$CE$9*$CG37^6</f>
        <v>0.39944108830973751</v>
      </c>
      <c r="CN37" s="76">
        <f>$BY$10+$BZ$10*$CG37+$CA$10*$CG37^2+$CB$10*$CG37^3+$CC$10*$CG37^4+$CD$10*$CG37^5+$CE$10*$CG37^6</f>
        <v>0.31449594517216584</v>
      </c>
      <c r="CO37" s="76">
        <f>$BY$11+$BZ$11*$CG37+$CA$11*$CG37^2+$CB$11*$CG37^3+$CC$11*$CG37^4+$CD$11*$CG37^5+$CE$11*$CG37^6</f>
        <v>-0.69643954541362907</v>
      </c>
      <c r="CP37" s="76">
        <f>$BY$12+$BZ$12*$CG37+$CA$12*$CG37^2+$CB$12*$CG37^3+$CC$12*$CG37^4+$CD$12*$CG37^5+$CE$12*$CG37^6</f>
        <v>2.2826212468095618E-3</v>
      </c>
      <c r="CQ37" s="76">
        <f>$BY$13+$BZ$13*$CG37+$CA$13*$CG37^2+$CB$13*$CG37^3+$CC$13*$CG37^4+$CD$13*$CG37^5+$CE$13*$CG37^6</f>
        <v>-0.42745446146290605</v>
      </c>
      <c r="CR37" s="76">
        <f>$BY$14+$BZ$14*$CG37+$CA$14*$CG37^2+$CB$14*$CG37^3+$CC$14*$CG37^4+$CD$14*$CG37^5+$CE$14*$CG37^6</f>
        <v>0.19093692521423913</v>
      </c>
      <c r="CS37" s="76">
        <f>$BY$15+$BZ$15*$CG37+$CA$15*$CG37^2+$CB$15*$CG37^3+$CC$15*$CG37^4+$CD$15*$CG37^5+$CE$15*$CG37^6</f>
        <v>4.3482593564835677</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0.33209359547014722</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8.3679292700291636</v>
      </c>
      <c r="DK37" s="76">
        <f>$BY$33+$BZ$33*$CG37+$CA$33*$CG37^2+$CB$33*$CG37^3+$CC$33*$CG37^4+$CD$33*$CG37^5+$CE$33*$CG37^6</f>
        <v>7.2515905654398987</v>
      </c>
      <c r="DL37" s="76">
        <f>$BY$34+$BZ$34*$CG37+$CA$34*$CG37^2+$CB$34*$CG37^3+$CC$34*$CG37^4+$CD$34*$CG37^5+$CE$34*$CG37^6</f>
        <v>34.833629135683999</v>
      </c>
    </row>
    <row r="38" spans="1:116" s="48" customFormat="1" ht="11.25">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21.116666666697711</v>
      </c>
      <c r="CH38" s="76">
        <f t="shared" ref="CH38:CH60" si="31">IF(CG38&gt;0,$BY$4+$BZ$4*$CG38+$CA$4*$CG38^2+$CB$4*$CG38^3+$CC$4*$CG38^4+$CD$4*$CG38^5+$CE$4*$CG38^6,"")</f>
        <v>1.4102850339589154E-2</v>
      </c>
      <c r="CI38" s="76">
        <f t="shared" ref="CI38:CI60" si="32">IF(CG38&gt;0,$BY$5+$BZ$5*$CG38+$CA$5*$CG38^2+$CB$5*$CG38^3+$CC$5*$CG38^4+$CD$5*$CG38^5+$CE$5*$CG38^6,"")</f>
        <v>-497.94518683128467</v>
      </c>
      <c r="CJ38" s="76">
        <f t="shared" ref="CJ38:CJ60" si="33">IF(CG38&gt;0,$BY$6+$BZ$6*$CG38+$CA$6*$CG38^2+$CB$6*$CG38^3+$CC$6*$CG38^4+$CD$6*$CG38^5+$CE$6*$CG38^6,"")</f>
        <v>0</v>
      </c>
      <c r="CK38" s="76">
        <f t="shared" ref="CK38:CK60" si="34">IF(CG38&gt;0,$BY$7+$BZ$7*$CG38+$CA$7*$CG38^2+$CB$7*$CG38^3+$CC$7*$CG38^4+$CD$7*$CG38^5+$CE$7*$CG38^6,"")</f>
        <v>-48.963478091507909</v>
      </c>
      <c r="CL38" s="76">
        <f t="shared" ref="CL38:CL60" si="35">IF(CG38&gt;0,$BY$8+$BZ$8*$CG38+$CA$8*$CG38^2+$CB$8*$CG38^3+$CC$8*$CG38^4+$CD$8*$CG38^5+$CE$8*$CG38^6,"")</f>
        <v>0.60376035056368538</v>
      </c>
      <c r="CM38" s="76">
        <f t="shared" ref="CM38:CM60" si="36">IF(CG38&gt;0,$BY$9+$BZ$9*$CG38+$CA$9*$CG38^2+$CB$9*$CG38^3+$CC$9*$CG38^4+$CD$9*$CG38^5+$CE$9*$CG38^6,"")</f>
        <v>0.19847758727512943</v>
      </c>
      <c r="CN38" s="76">
        <f t="shared" ref="CN38:CN60" si="37">IF(CG38&gt;0,$BY$10+$BZ$10*$CG38+$CA$10*$CG38^2+$CB$10*$CG38^3+$CC$10*$CG38^4+$CD$10*$CG38^5+$CE$10*$CG38^6,"")</f>
        <v>0.55576788220391127</v>
      </c>
      <c r="CO38" s="76">
        <f t="shared" ref="CO38:CO60" si="38">IF(CG38&gt;0,$BY$11+$BZ$11*$CG38+$CA$11*$CG38^2+$CB$11*$CG38^3+$CC$11*$CG38^4+$CD$11*$CG38^5+$CE$11*$CG38^6,"")</f>
        <v>0.43392391196958741</v>
      </c>
      <c r="CP38" s="76">
        <f t="shared" ref="CP38:CP60" si="39">IF(CG38&gt;0,$BY$12+$BZ$12*$CG38+$CA$12*$CG38^2+$CB$12*$CG38^3+$CC$12*$CG38^4+$CD$12*$CG38^5+$CE$12*$CG38^6,"")</f>
        <v>-7.0490567092186707E-2</v>
      </c>
      <c r="CQ38" s="76">
        <f t="shared" ref="CQ38:CQ60" si="40">IF(CG38&gt;0,$BY$13+$BZ$13*$CG38+$CA$13*$CG38^2+$CB$13*$CG38^3+$CC$13*$CG38^4+$CD$13*$CG38^5+$CE$13*$CG38^6,"")</f>
        <v>0.65234599372360258</v>
      </c>
      <c r="CR38" s="76">
        <f t="shared" ref="CR38:CR60" si="41">IF(CG38&gt;0,$BY$14+$BZ$14*$CG38+$CA$14*$CG38^2+$CB$14*$CG38^3+$CC$14*$CG38^4+$CD$14*$CG38^5+$CE$14*$CG38^6,"")</f>
        <v>-0.47639746210412753</v>
      </c>
      <c r="CS38" s="76">
        <f t="shared" ref="CS38:CS60" si="42">IF(CG38&gt;0,$BY$15+$BZ$15*$CG38+$CA$15*$CG38^2+$CB$15*$CG38^3+$CC$15*$CG38^4+$CD$15*$CG38^5+$CE$15*$CG38^6,"")</f>
        <v>0.7399606267343033</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0.68718293325873592</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2.613399793446447</v>
      </c>
      <c r="DK38" s="76">
        <f t="shared" ref="DK38:DK60" si="60">IF(CG38&gt;0,$BY$33+$BZ$33*$CG38+$CA$33*$CG38^2+$CB$33*$CG38^3+$CC$33*$CG38^4+$CD$33*$CG38^5+$CE$33*$CG38^6,"")</f>
        <v>3.2171601440101383</v>
      </c>
      <c r="DL38" s="76">
        <f t="shared" ref="DL38:DL60" si="61">IF(CG38&gt;0,$BY$34+$BZ$34*$CG38+$CA$34*$CG38^2+$CB$34*$CG38^3+$CC$34*$CG38^4+$CD$34*$CG38^5+$CE$34*$CG38^6,"")</f>
        <v>4.3428175981952348</v>
      </c>
    </row>
    <row r="39" spans="1:116" s="48" customFormat="1" ht="11.25">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48.383333333360497</v>
      </c>
      <c r="CH39" s="76">
        <f t="shared" si="31"/>
        <v>0.22101946317714158</v>
      </c>
      <c r="CI39" s="76">
        <f t="shared" si="32"/>
        <v>-58.822776650242531</v>
      </c>
      <c r="CJ39" s="76">
        <f t="shared" si="33"/>
        <v>0</v>
      </c>
      <c r="CK39" s="76">
        <f t="shared" si="34"/>
        <v>-219.69541498467464</v>
      </c>
      <c r="CL39" s="76">
        <f t="shared" si="35"/>
        <v>1.3283926298995117</v>
      </c>
      <c r="CM39" s="76">
        <f t="shared" si="36"/>
        <v>-0.12476451606233363</v>
      </c>
      <c r="CN39" s="76">
        <f t="shared" si="37"/>
        <v>0.4116516696954079</v>
      </c>
      <c r="CO39" s="76">
        <f t="shared" si="38"/>
        <v>0.79023249855156952</v>
      </c>
      <c r="CP39" s="76">
        <f t="shared" si="39"/>
        <v>-3.9237699529391219E-2</v>
      </c>
      <c r="CQ39" s="76">
        <f t="shared" si="40"/>
        <v>2.3802406813074923</v>
      </c>
      <c r="CR39" s="76">
        <f t="shared" si="41"/>
        <v>-0.33813474976097008</v>
      </c>
      <c r="CS39" s="76">
        <f t="shared" si="42"/>
        <v>-3.8717120392974165</v>
      </c>
      <c r="CT39" s="76">
        <f t="shared" si="43"/>
        <v>0</v>
      </c>
      <c r="CU39" s="76">
        <f t="shared" si="44"/>
        <v>0</v>
      </c>
      <c r="CV39" s="76">
        <f t="shared" si="45"/>
        <v>0</v>
      </c>
      <c r="CW39" s="76">
        <f t="shared" si="46"/>
        <v>2.5812406619182164</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-5.1844431459141891</v>
      </c>
      <c r="DK39" s="76">
        <f t="shared" si="60"/>
        <v>-3.8560505160146699</v>
      </c>
      <c r="DL39" s="76">
        <f t="shared" si="61"/>
        <v>-28.582332584870816</v>
      </c>
    </row>
    <row r="40" spans="1:116" s="48" customFormat="1" ht="11.25">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70.883333333360497</v>
      </c>
      <c r="CH40" s="76">
        <f t="shared" si="31"/>
        <v>1.2330854748451967</v>
      </c>
      <c r="CI40" s="76">
        <f t="shared" si="32"/>
        <v>1882.7051250567854</v>
      </c>
      <c r="CJ40" s="76">
        <f t="shared" si="33"/>
        <v>0</v>
      </c>
      <c r="CK40" s="76">
        <f t="shared" si="34"/>
        <v>-207.06699490588858</v>
      </c>
      <c r="CL40" s="76">
        <f t="shared" si="35"/>
        <v>0.85175217136419779</v>
      </c>
      <c r="CM40" s="76">
        <f t="shared" si="36"/>
        <v>-0.4154735163115042</v>
      </c>
      <c r="CN40" s="76">
        <f t="shared" si="37"/>
        <v>0.26377275749905216</v>
      </c>
      <c r="CO40" s="76">
        <f t="shared" si="38"/>
        <v>0.4557741768949708</v>
      </c>
      <c r="CP40" s="76">
        <f t="shared" si="39"/>
        <v>7.5251490278354108E-2</v>
      </c>
      <c r="CQ40" s="76">
        <f t="shared" si="40"/>
        <v>4.6803512478579448</v>
      </c>
      <c r="CR40" s="76">
        <f t="shared" si="41"/>
        <v>-0.39399295887388974</v>
      </c>
      <c r="CS40" s="76">
        <f t="shared" si="42"/>
        <v>-7.4227367113818215</v>
      </c>
      <c r="CT40" s="76">
        <f t="shared" si="43"/>
        <v>0</v>
      </c>
      <c r="CU40" s="76">
        <f t="shared" si="44"/>
        <v>0</v>
      </c>
      <c r="CV40" s="76">
        <f t="shared" si="45"/>
        <v>0</v>
      </c>
      <c r="CW40" s="76">
        <f t="shared" si="46"/>
        <v>5.3251125007164486</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-11.44304370779196</v>
      </c>
      <c r="DK40" s="76">
        <f t="shared" si="60"/>
        <v>-10.591291536427756</v>
      </c>
      <c r="DL40" s="76">
        <f t="shared" si="61"/>
        <v>-49.585057108888549</v>
      </c>
    </row>
    <row r="41" spans="1:116" s="48" customFormat="1" ht="11.25">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95.366666666697711</v>
      </c>
      <c r="CH41" s="76">
        <f t="shared" si="31"/>
        <v>2.9910100702788553</v>
      </c>
      <c r="CI41" s="76">
        <f t="shared" si="32"/>
        <v>5224.8561735857929</v>
      </c>
      <c r="CJ41" s="76">
        <f t="shared" si="33"/>
        <v>0</v>
      </c>
      <c r="CK41" s="76">
        <f t="shared" si="34"/>
        <v>-51.866786253212922</v>
      </c>
      <c r="CL41" s="76">
        <f t="shared" si="35"/>
        <v>-0.50128232350712087</v>
      </c>
      <c r="CM41" s="76">
        <f t="shared" si="36"/>
        <v>-0.72849498034753846</v>
      </c>
      <c r="CN41" s="76">
        <f t="shared" si="37"/>
        <v>0.37084676250392712</v>
      </c>
      <c r="CO41" s="76">
        <f t="shared" si="38"/>
        <v>-0.24065663253221359</v>
      </c>
      <c r="CP41" s="76">
        <f t="shared" si="39"/>
        <v>0.26893118111539349</v>
      </c>
      <c r="CQ41" s="76">
        <f t="shared" si="40"/>
        <v>8.6034405511582381</v>
      </c>
      <c r="CR41" s="76">
        <f t="shared" si="41"/>
        <v>-1.0676014087611601</v>
      </c>
      <c r="CS41" s="76">
        <f t="shared" si="42"/>
        <v>-10.888024947234198</v>
      </c>
      <c r="CT41" s="76">
        <f t="shared" si="43"/>
        <v>0</v>
      </c>
      <c r="CU41" s="76">
        <f t="shared" si="44"/>
        <v>0</v>
      </c>
      <c r="CV41" s="76">
        <f t="shared" si="45"/>
        <v>0</v>
      </c>
      <c r="CW41" s="76">
        <f t="shared" si="46"/>
        <v>9.1169062967737968</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-17.691081808210139</v>
      </c>
      <c r="DK41" s="76">
        <f t="shared" si="60"/>
        <v>-18.192364131717259</v>
      </c>
      <c r="DL41" s="76">
        <f t="shared" si="61"/>
        <v>-66.202058398401036</v>
      </c>
    </row>
    <row r="42" spans="1:116" s="48" customFormat="1" ht="11.25">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115.80000000010477</v>
      </c>
      <c r="CH42" s="76">
        <f t="shared" si="31"/>
        <v>4.8323131339656378</v>
      </c>
      <c r="CI42" s="76">
        <f t="shared" si="32"/>
        <v>8710.568697374958</v>
      </c>
      <c r="CJ42" s="76">
        <f t="shared" si="33"/>
        <v>0</v>
      </c>
      <c r="CK42" s="76">
        <f t="shared" si="34"/>
        <v>178.75792333043012</v>
      </c>
      <c r="CL42" s="76">
        <f t="shared" si="35"/>
        <v>-2.100958552580992</v>
      </c>
      <c r="CM42" s="76">
        <f t="shared" si="36"/>
        <v>-0.96685097446921586</v>
      </c>
      <c r="CN42" s="76">
        <f t="shared" si="37"/>
        <v>0.81747863103543583</v>
      </c>
      <c r="CO42" s="76">
        <f t="shared" si="38"/>
        <v>-0.90321398440518386</v>
      </c>
      <c r="CP42" s="76">
        <f t="shared" si="39"/>
        <v>0.46975062002572587</v>
      </c>
      <c r="CQ42" s="76">
        <f t="shared" si="40"/>
        <v>13.285360510333309</v>
      </c>
      <c r="CR42" s="76">
        <f t="shared" si="41"/>
        <v>-2.0998545635243149</v>
      </c>
      <c r="CS42" s="76">
        <f t="shared" si="42"/>
        <v>-13.362429357793637</v>
      </c>
      <c r="CT42" s="76">
        <f t="shared" si="43"/>
        <v>0</v>
      </c>
      <c r="CU42" s="76">
        <f t="shared" si="44"/>
        <v>0</v>
      </c>
      <c r="CV42" s="76">
        <f t="shared" si="45"/>
        <v>0</v>
      </c>
      <c r="CW42" s="76">
        <f t="shared" si="46"/>
        <v>12.457907682159412</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-22.180681732927983</v>
      </c>
      <c r="DK42" s="76">
        <f t="shared" si="60"/>
        <v>-24.281640285508978</v>
      </c>
      <c r="DL42" s="76">
        <f t="shared" si="61"/>
        <v>-75.16475373396915</v>
      </c>
    </row>
    <row r="43" spans="1:116" s="48" customFormat="1" ht="11.25">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v>
      </c>
      <c r="CH43" s="76">
        <f t="shared" si="31"/>
        <v>7.3776908022620935</v>
      </c>
      <c r="CI43" s="76">
        <f t="shared" si="32"/>
        <v>13511.194223555231</v>
      </c>
      <c r="CJ43" s="76">
        <f t="shared" si="33"/>
        <v>0</v>
      </c>
      <c r="CK43" s="76">
        <f t="shared" si="34"/>
        <v>574.51781661109226</v>
      </c>
      <c r="CL43" s="76">
        <f t="shared" si="35"/>
        <v>-4.4088098408624603</v>
      </c>
      <c r="CM43" s="76">
        <f t="shared" si="36"/>
        <v>-1.2057565957824896</v>
      </c>
      <c r="CN43" s="76">
        <f t="shared" si="37"/>
        <v>1.9107933138810997</v>
      </c>
      <c r="CO43" s="76">
        <f t="shared" si="38"/>
        <v>-1.6371939891733538</v>
      </c>
      <c r="CP43" s="76">
        <f t="shared" si="39"/>
        <v>0.74571551334656949</v>
      </c>
      <c r="CQ43" s="76">
        <f t="shared" si="40"/>
        <v>21.049183060634345</v>
      </c>
      <c r="CR43" s="76">
        <f t="shared" si="41"/>
        <v>-3.6928332347553896</v>
      </c>
      <c r="CS43" s="76">
        <f t="shared" si="42"/>
        <v>-15.761077855001879</v>
      </c>
      <c r="CT43" s="76">
        <f t="shared" si="43"/>
        <v>0</v>
      </c>
      <c r="CU43" s="76">
        <f t="shared" si="44"/>
        <v>0</v>
      </c>
      <c r="CV43" s="76">
        <f t="shared" si="45"/>
        <v>0</v>
      </c>
      <c r="CW43" s="76">
        <f t="shared" si="46"/>
        <v>16.092546643539457</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-26.449295697935966</v>
      </c>
      <c r="DK43" s="76">
        <f t="shared" si="60"/>
        <v>-30.858105538798426</v>
      </c>
      <c r="DL43" s="76">
        <f t="shared" si="61"/>
        <v>-80.16412948986553</v>
      </c>
    </row>
    <row r="44" spans="1:116" s="48" customFormat="1" ht="11.25">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164.65000000008149</v>
      </c>
      <c r="CH44" s="76">
        <f t="shared" si="31"/>
        <v>9.850315033750384</v>
      </c>
      <c r="CI44" s="76">
        <f t="shared" si="32"/>
        <v>18152.539914965884</v>
      </c>
      <c r="CJ44" s="76">
        <f t="shared" si="33"/>
        <v>0</v>
      </c>
      <c r="CK44" s="76">
        <f t="shared" si="34"/>
        <v>1042.5642423859854</v>
      </c>
      <c r="CL44" s="76">
        <f t="shared" si="35"/>
        <v>-6.6586664568788763</v>
      </c>
      <c r="CM44" s="76">
        <f t="shared" si="36"/>
        <v>-1.3484716651281414</v>
      </c>
      <c r="CN44" s="76">
        <f t="shared" si="37"/>
        <v>3.4834822159707013</v>
      </c>
      <c r="CO44" s="76">
        <f t="shared" si="38"/>
        <v>-2.1137678819848569</v>
      </c>
      <c r="CP44" s="76">
        <f t="shared" si="39"/>
        <v>1.0124981972974512</v>
      </c>
      <c r="CQ44" s="76">
        <f t="shared" si="40"/>
        <v>30.425873876786994</v>
      </c>
      <c r="CR44" s="76">
        <f t="shared" si="41"/>
        <v>-5.1446406179903388</v>
      </c>
      <c r="CS44" s="76">
        <f t="shared" si="42"/>
        <v>-17.227448350130622</v>
      </c>
      <c r="CT44" s="76">
        <f t="shared" si="43"/>
        <v>0</v>
      </c>
      <c r="CU44" s="76">
        <f t="shared" si="44"/>
        <v>0</v>
      </c>
      <c r="CV44" s="76">
        <f t="shared" si="45"/>
        <v>0</v>
      </c>
      <c r="CW44" s="76">
        <f t="shared" si="46"/>
        <v>18.332038423906472</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-28.823723057979137</v>
      </c>
      <c r="DK44" s="76">
        <f t="shared" si="60"/>
        <v>-35.482389514858006</v>
      </c>
      <c r="DL44" s="76">
        <f t="shared" si="61"/>
        <v>-78.865381983600869</v>
      </c>
    </row>
    <row r="45" spans="1:116" s="48" customFormat="1" ht="11.25">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189.03333333326736</v>
      </c>
      <c r="CH45" s="76">
        <f t="shared" si="31"/>
        <v>12.27974656666883</v>
      </c>
      <c r="CI45" s="76">
        <f t="shared" si="32"/>
        <v>22681.224088615687</v>
      </c>
      <c r="CJ45" s="76">
        <f t="shared" si="33"/>
        <v>0</v>
      </c>
      <c r="CK45" s="76">
        <f t="shared" si="34"/>
        <v>1606.7702026225409</v>
      </c>
      <c r="CL45" s="76">
        <f t="shared" si="35"/>
        <v>-8.7927160385692744</v>
      </c>
      <c r="CM45" s="76">
        <f t="shared" si="36"/>
        <v>-1.3849332124316911</v>
      </c>
      <c r="CN45" s="76">
        <f t="shared" si="37"/>
        <v>5.5617428434822145</v>
      </c>
      <c r="CO45" s="76">
        <f t="shared" si="38"/>
        <v>-2.3108100192311216</v>
      </c>
      <c r="CP45" s="76">
        <f t="shared" si="39"/>
        <v>1.2733371356350103</v>
      </c>
      <c r="CQ45" s="76">
        <f t="shared" si="40"/>
        <v>42.168438584598164</v>
      </c>
      <c r="CR45" s="76">
        <f t="shared" si="41"/>
        <v>-6.230245649150266</v>
      </c>
      <c r="CS45" s="76">
        <f t="shared" si="42"/>
        <v>-17.805799674982985</v>
      </c>
      <c r="CT45" s="76">
        <f t="shared" si="43"/>
        <v>0</v>
      </c>
      <c r="CU45" s="76">
        <f t="shared" si="44"/>
        <v>0</v>
      </c>
      <c r="CV45" s="76">
        <f t="shared" si="45"/>
        <v>0</v>
      </c>
      <c r="CW45" s="76">
        <f t="shared" si="46"/>
        <v>18.867629102871895</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-29.234666997937573</v>
      </c>
      <c r="DK45" s="76">
        <f t="shared" si="60"/>
        <v>-38.027383036506855</v>
      </c>
      <c r="DL45" s="76">
        <f t="shared" si="61"/>
        <v>-71.551431439844109</v>
      </c>
    </row>
    <row r="46" spans="1:116" s="48" customFormat="1" ht="11.25">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212.98333333327901</v>
      </c>
      <c r="CH46" s="76">
        <f t="shared" si="31"/>
        <v>14.349478109640236</v>
      </c>
      <c r="CI46" s="76">
        <f t="shared" si="32"/>
        <v>26492.628219718434</v>
      </c>
      <c r="CJ46" s="76">
        <f t="shared" si="33"/>
        <v>0</v>
      </c>
      <c r="CK46" s="76">
        <f t="shared" si="34"/>
        <v>2225.7974812133589</v>
      </c>
      <c r="CL46" s="76">
        <f t="shared" si="35"/>
        <v>-10.44246303410663</v>
      </c>
      <c r="CM46" s="76">
        <f t="shared" si="36"/>
        <v>-1.2840953667071622</v>
      </c>
      <c r="CN46" s="76">
        <f t="shared" si="37"/>
        <v>7.8601349434188386</v>
      </c>
      <c r="CO46" s="76">
        <f t="shared" si="38"/>
        <v>-2.1958889362671083</v>
      </c>
      <c r="CP46" s="76">
        <f t="shared" si="39"/>
        <v>1.494005115382405</v>
      </c>
      <c r="CQ46" s="76">
        <f t="shared" si="40"/>
        <v>55.567282295158634</v>
      </c>
      <c r="CR46" s="76">
        <f t="shared" si="41"/>
        <v>-6.6506641483054487</v>
      </c>
      <c r="CS46" s="76">
        <f t="shared" si="42"/>
        <v>-17.3172411194553</v>
      </c>
      <c r="CT46" s="76">
        <f t="shared" si="43"/>
        <v>0</v>
      </c>
      <c r="CU46" s="76">
        <f t="shared" si="44"/>
        <v>0</v>
      </c>
      <c r="CV46" s="76">
        <f t="shared" si="45"/>
        <v>0</v>
      </c>
      <c r="CW46" s="76">
        <f t="shared" si="46"/>
        <v>17.348094508110563</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-27.252816973804549</v>
      </c>
      <c r="DK46" s="76">
        <f t="shared" si="60"/>
        <v>-37.69528000791118</v>
      </c>
      <c r="DL46" s="76">
        <f t="shared" si="61"/>
        <v>-58.557452001336699</v>
      </c>
    </row>
    <row r="47" spans="1:116" s="48" customFormat="1" ht="11.25">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238.10000000009313</v>
      </c>
      <c r="CH47" s="76">
        <f t="shared" si="31"/>
        <v>15.968908501096609</v>
      </c>
      <c r="CI47" s="76">
        <f t="shared" si="32"/>
        <v>29395.46480658582</v>
      </c>
      <c r="CJ47" s="76">
        <f t="shared" si="33"/>
        <v>0</v>
      </c>
      <c r="CK47" s="76">
        <f t="shared" si="34"/>
        <v>2926.8020904887612</v>
      </c>
      <c r="CL47" s="76">
        <f t="shared" si="35"/>
        <v>-11.41168536507319</v>
      </c>
      <c r="CM47" s="76">
        <f t="shared" si="36"/>
        <v>-1.0032494554943074</v>
      </c>
      <c r="CN47" s="76">
        <f t="shared" si="37"/>
        <v>10.224577120074301</v>
      </c>
      <c r="CO47" s="76">
        <f t="shared" si="38"/>
        <v>-1.7922355061306519</v>
      </c>
      <c r="CP47" s="76">
        <f t="shared" si="39"/>
        <v>1.6642513153545506</v>
      </c>
      <c r="CQ47" s="76">
        <f t="shared" si="40"/>
        <v>71.246812537099999</v>
      </c>
      <c r="CR47" s="76">
        <f t="shared" si="41"/>
        <v>-6.3389308752906857</v>
      </c>
      <c r="CS47" s="76">
        <f t="shared" si="42"/>
        <v>-15.534394648268382</v>
      </c>
      <c r="CT47" s="76">
        <f t="shared" si="43"/>
        <v>0</v>
      </c>
      <c r="CU47" s="76">
        <f t="shared" si="44"/>
        <v>0</v>
      </c>
      <c r="CV47" s="76">
        <f t="shared" si="45"/>
        <v>0</v>
      </c>
      <c r="CW47" s="76">
        <f t="shared" si="46"/>
        <v>13.702572773125638</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-22.23057020438381</v>
      </c>
      <c r="DK47" s="76">
        <f t="shared" si="60"/>
        <v>-33.642255569457006</v>
      </c>
      <c r="DL47" s="76">
        <f t="shared" si="61"/>
        <v>-38.84865001196097</v>
      </c>
    </row>
    <row r="48" spans="1:116" s="48" customFormat="1" ht="11.25">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261.75</v>
      </c>
      <c r="CH48" s="76">
        <f t="shared" si="31"/>
        <v>16.780535602227602</v>
      </c>
      <c r="CI48" s="76">
        <f t="shared" si="32"/>
        <v>30719.071717507773</v>
      </c>
      <c r="CJ48" s="76">
        <f t="shared" si="33"/>
        <v>0</v>
      </c>
      <c r="CK48" s="76">
        <f t="shared" si="34"/>
        <v>3619.4197466074547</v>
      </c>
      <c r="CL48" s="76">
        <f t="shared" si="35"/>
        <v>-11.347564936558186</v>
      </c>
      <c r="CM48" s="76">
        <f t="shared" si="36"/>
        <v>-0.54750278174350342</v>
      </c>
      <c r="CN48" s="76">
        <f t="shared" si="37"/>
        <v>12.011466759430817</v>
      </c>
      <c r="CO48" s="76">
        <f t="shared" si="38"/>
        <v>-1.248742749976401</v>
      </c>
      <c r="CP48" s="76">
        <f t="shared" si="39"/>
        <v>1.7456853192538873</v>
      </c>
      <c r="CQ48" s="76">
        <f t="shared" si="40"/>
        <v>87.059085752506149</v>
      </c>
      <c r="CR48" s="76">
        <f t="shared" si="41"/>
        <v>-5.487392680986261</v>
      </c>
      <c r="CS48" s="76">
        <f t="shared" si="42"/>
        <v>-12.531795912783107</v>
      </c>
      <c r="CT48" s="76">
        <f t="shared" si="43"/>
        <v>0</v>
      </c>
      <c r="CU48" s="76">
        <f t="shared" si="44"/>
        <v>0</v>
      </c>
      <c r="CV48" s="76">
        <f t="shared" si="45"/>
        <v>0</v>
      </c>
      <c r="CW48" s="76">
        <f t="shared" si="46"/>
        <v>9.0096852572813475</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-14.372091960210923</v>
      </c>
      <c r="DK48" s="76">
        <f t="shared" si="60"/>
        <v>-25.719656896769095</v>
      </c>
      <c r="DL48" s="76">
        <f t="shared" si="61"/>
        <v>-14.695042302398335</v>
      </c>
    </row>
    <row r="49" spans="1:116" s="48" customFormat="1" ht="11.25">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284.75000000005821</v>
      </c>
      <c r="CH49" s="76">
        <f t="shared" si="31"/>
        <v>16.7258656048189</v>
      </c>
      <c r="CI49" s="76">
        <f t="shared" si="32"/>
        <v>30340.71195700203</v>
      </c>
      <c r="CJ49" s="76">
        <f t="shared" si="33"/>
        <v>0</v>
      </c>
      <c r="CK49" s="76">
        <f t="shared" si="34"/>
        <v>4308.6353878632572</v>
      </c>
      <c r="CL49" s="76">
        <f t="shared" si="35"/>
        <v>-10.13352877044305</v>
      </c>
      <c r="CM49" s="76">
        <f t="shared" si="36"/>
        <v>9.8877337165403034E-2</v>
      </c>
      <c r="CN49" s="76">
        <f t="shared" si="37"/>
        <v>12.885444911607564</v>
      </c>
      <c r="CO49" s="76">
        <f t="shared" si="38"/>
        <v>-0.71537935457099167</v>
      </c>
      <c r="CP49" s="76">
        <f t="shared" si="39"/>
        <v>1.7316532563893707</v>
      </c>
      <c r="CQ49" s="76">
        <f t="shared" si="40"/>
        <v>102.84538822142818</v>
      </c>
      <c r="CR49" s="76">
        <f t="shared" si="41"/>
        <v>-4.4526811503815509</v>
      </c>
      <c r="CS49" s="76">
        <f t="shared" si="42"/>
        <v>-8.2562923851583676</v>
      </c>
      <c r="CT49" s="76">
        <f t="shared" si="43"/>
        <v>0</v>
      </c>
      <c r="CU49" s="76">
        <f t="shared" si="44"/>
        <v>0</v>
      </c>
      <c r="CV49" s="76">
        <f t="shared" si="45"/>
        <v>0</v>
      </c>
      <c r="CW49" s="76">
        <f t="shared" si="46"/>
        <v>4.4902627959175163</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-3.4743616471101291</v>
      </c>
      <c r="DK49" s="76">
        <f t="shared" si="60"/>
        <v>-13.607890417553193</v>
      </c>
      <c r="DL49" s="76">
        <f t="shared" si="61"/>
        <v>13.912265867155398</v>
      </c>
    </row>
    <row r="50" spans="1:116" s="48" customFormat="1" ht="11.25">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25">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25">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25">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25">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25">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25">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25">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25">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25">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25">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25">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477</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3.75">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1.2462121033640461</v>
      </c>
      <c r="CM65" s="292">
        <f>(CM37-'In Process Calc.'!P3)^2</f>
        <v>0.15955318303006752</v>
      </c>
      <c r="CN65" s="292">
        <f>(CN37-'In Process Calc.'!Q3)^2</f>
        <v>9.8907699529733939E-2</v>
      </c>
      <c r="CO65" s="292">
        <f>(CO37-'In Process Calc.'!R3)^2</f>
        <v>0.48502804041594233</v>
      </c>
      <c r="CP65" s="292">
        <f>(CP37-'In Process Calc.'!S3)^2</f>
        <v>5.2103597563864387E-6</v>
      </c>
      <c r="CQ65" s="292">
        <f>(CQ37-'In Process Calc.'!T3)^2</f>
        <v>0.18271731662454305</v>
      </c>
      <c r="CR65" s="292">
        <f>(CR37-'In Process Calc.'!U3)^2</f>
        <v>3.6456909410267947E-2</v>
      </c>
      <c r="CS65" s="292">
        <f>(CS37-'In Process Calc.'!V3)^2</f>
        <v>18.907359431246888</v>
      </c>
      <c r="CT65" s="292">
        <f>(CT37-'In Process Calc.'!W3)^2</f>
        <v>0</v>
      </c>
      <c r="CU65" s="292">
        <f>(CU37-'In Process Calc.'!X3)^2</f>
        <v>0</v>
      </c>
      <c r="CV65" s="292">
        <f>(CV37-'In Process Calc.'!Y3)^2</f>
        <v>0</v>
      </c>
      <c r="CW65" s="292">
        <f>(CW37-'In Process Calc.'!Z3)^2</f>
        <v>0.11028615615228979</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70.022240268210808</v>
      </c>
      <c r="DK65" s="292">
        <f>(DK37-'In Process Calc.'!AN3)^2</f>
        <v>52.585565728776949</v>
      </c>
      <c r="DL65" s="292">
        <f>(DL37-'In Process Calc.'!AO3)^2</f>
        <v>1213.3817187623731</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0.382214948686603</v>
      </c>
      <c r="CM66" s="292">
        <f>(CM38-'In Process Calc.'!P4)^2</f>
        <v>0.14233837786014303</v>
      </c>
      <c r="CN66" s="292">
        <f>(CN38-'In Process Calc.'!Q4)^2</f>
        <v>0.49217644652861475</v>
      </c>
      <c r="CO66" s="292">
        <f>(CO38-'In Process Calc.'!R4)^2</f>
        <v>0.42296671437826555</v>
      </c>
      <c r="CP66" s="292">
        <f>(CP38-'In Process Calc.'!S4)^2</f>
        <v>1.0888804148182257E-2</v>
      </c>
      <c r="CQ66" s="292">
        <f>(CQ38-'In Process Calc.'!T4)^2</f>
        <v>0.55651196202707576</v>
      </c>
      <c r="CR66" s="292">
        <f>(CR38-'In Process Calc.'!U4)^2</f>
        <v>0.22695454189925363</v>
      </c>
      <c r="CS66" s="292">
        <f>(CS38-'In Process Calc.'!V4)^2</f>
        <v>0.93555443000536731</v>
      </c>
      <c r="CT66" s="292">
        <f>(CT38-'In Process Calc.'!W4)^2</f>
        <v>0</v>
      </c>
      <c r="CU66" s="292">
        <f>(CU38-'In Process Calc.'!X4)^2</f>
        <v>0</v>
      </c>
      <c r="CV66" s="292">
        <f>(CV38-'In Process Calc.'!Y4)^2</f>
        <v>0</v>
      </c>
      <c r="CW66" s="292">
        <f>(CW38-'In Process Calc.'!Z4)^2</f>
        <v>0.13216841985374672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19.607536412345254</v>
      </c>
      <c r="DK66" s="292">
        <f>(DK38-'In Process Calc.'!AN4)^2</f>
        <v>25.464892829054545</v>
      </c>
      <c r="DL66" s="292">
        <f>(DL38-'In Process Calc.'!AO4)^2</f>
        <v>81.117269181449501</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1.7954864499259169</v>
      </c>
      <c r="CM67" s="292">
        <f>(CM39-'In Process Calc.'!P5)^2</f>
        <v>0.18778746960129805</v>
      </c>
      <c r="CN67" s="292">
        <f>(CN39-'In Process Calc.'!Q5)^2</f>
        <v>0.49885733139105565</v>
      </c>
      <c r="CO67" s="292">
        <f>(CO39-'In Process Calc.'!R5)^2</f>
        <v>0.57215230386504212</v>
      </c>
      <c r="CP67" s="292">
        <f>(CP39-'In Process Calc.'!S5)^2</f>
        <v>1.8531044347727449E-3</v>
      </c>
      <c r="CQ67" s="292">
        <f>(CQ39-'In Process Calc.'!T5)^2</f>
        <v>7.9265263419353069E-2</v>
      </c>
      <c r="CR67" s="292">
        <f>(CR39-'In Process Calc.'!U5)^2</f>
        <v>3.4499440558857446E-2</v>
      </c>
      <c r="CS67" s="292">
        <f>(CS39-'In Process Calc.'!V5)^2</f>
        <v>15.563869551514024</v>
      </c>
      <c r="CT67" s="292">
        <f>(CT39-'In Process Calc.'!W5)^2</f>
        <v>0</v>
      </c>
      <c r="CU67" s="292">
        <f>(CU39-'In Process Calc.'!X5)^2</f>
        <v>0</v>
      </c>
      <c r="CV67" s="292">
        <f>(CV39-'In Process Calc.'!Y5)^2</f>
        <v>0</v>
      </c>
      <c r="CW67" s="292">
        <f>(CW39-'In Process Calc.'!Z5)^2</f>
        <v>0.31468315075709041</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59.44700124539569</v>
      </c>
      <c r="DK67" s="292">
        <f>(DK39-'In Process Calc.'!AN5)^2</f>
        <v>40.579836827164534</v>
      </c>
      <c r="DL67" s="292">
        <f>(DL39-'In Process Calc.'!AO5)^2</f>
        <v>1078.8641557899014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0.86641688324176092</v>
      </c>
      <c r="CM68" s="292">
        <f>(CM40-'In Process Calc.'!P6)^2</f>
        <v>1.0543706409483871</v>
      </c>
      <c r="CN68" s="292">
        <f>(CN40-'In Process Calc.'!Q6)^2</f>
        <v>7.5207261813023445</v>
      </c>
      <c r="CO68" s="292">
        <f>(CO40-'In Process Calc.'!R6)^2</f>
        <v>9.181213722515269E-2</v>
      </c>
      <c r="CP68" s="292">
        <f>(CP40-'In Process Calc.'!S6)^2</f>
        <v>1.4796413605341846E-2</v>
      </c>
      <c r="CQ68" s="292">
        <f>(CQ40-'In Process Calc.'!T6)^2</f>
        <v>1.1986086404975225</v>
      </c>
      <c r="CR68" s="292">
        <f>(CR40-'In Process Calc.'!U6)^2</f>
        <v>8.5628244197893222E-2</v>
      </c>
      <c r="CS68" s="292">
        <f>(CS40-'In Process Calc.'!V6)^2</f>
        <v>57.887274448333876</v>
      </c>
      <c r="CT68" s="292">
        <f>(CT40-'In Process Calc.'!W6)^2</f>
        <v>0</v>
      </c>
      <c r="CU68" s="292">
        <f>(CU40-'In Process Calc.'!X6)^2</f>
        <v>0</v>
      </c>
      <c r="CV68" s="292">
        <f>(CV40-'In Process Calc.'!Y6)^2</f>
        <v>0</v>
      </c>
      <c r="CW68" s="292">
        <f>(CW40-'In Process Calc.'!Z6)^2</f>
        <v>9.4140649761014243E-4</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367.89832060748046</v>
      </c>
      <c r="DK68" s="292">
        <f>(DK40-'In Process Calc.'!AN6)^2</f>
        <v>333.05740959906308</v>
      </c>
      <c r="DL68" s="292">
        <f>(DL40-'In Process Calc.'!AO6)^2</f>
        <v>4199.3684269336645</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1.0747950661365123E-2</v>
      </c>
      <c r="CM69" s="292">
        <f>(CM41-'In Process Calc.'!P7)^2</f>
        <v>0.42708182953864293</v>
      </c>
      <c r="CN69" s="292">
        <f>(CN41-'In Process Calc.'!Q7)^2</f>
        <v>0.14714530622966793</v>
      </c>
      <c r="CO69" s="292">
        <f>(CO41-'In Process Calc.'!R7)^2</f>
        <v>0.22321810437247458</v>
      </c>
      <c r="CP69" s="292">
        <f>(CP41-'In Process Calc.'!S7)^2</f>
        <v>7.2936414734369086E-3</v>
      </c>
      <c r="CQ69" s="292">
        <f>(CQ41-'In Process Calc.'!T7)^2</f>
        <v>4.1553210698446148E-2</v>
      </c>
      <c r="CR69" s="292">
        <f>(CR41-'In Process Calc.'!U7)^2</f>
        <v>3.0816605695576409E-2</v>
      </c>
      <c r="CS69" s="292">
        <f>(CS41-'In Process Calc.'!V7)^2</f>
        <v>10.965025227652138</v>
      </c>
      <c r="CT69" s="292">
        <f>(CT41-'In Process Calc.'!W7)^2</f>
        <v>0</v>
      </c>
      <c r="CU69" s="292">
        <f>(CU41-'In Process Calc.'!X7)^2</f>
        <v>0</v>
      </c>
      <c r="CV69" s="292">
        <f>(CV41-'In Process Calc.'!Y7)^2</f>
        <v>0</v>
      </c>
      <c r="CW69" s="292">
        <f>(CW41-'In Process Calc.'!Z7)^2</f>
        <v>0.51909272312785826</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87.983158246403519</v>
      </c>
      <c r="DK69" s="292">
        <f>(DK41-'In Process Calc.'!AN7)^2</f>
        <v>89.938785261545135</v>
      </c>
      <c r="DL69" s="292">
        <f>(DL41-'In Process Calc.'!AO7)^2</f>
        <v>836.18522013670804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1.1957578765456829</v>
      </c>
      <c r="CM70" s="292">
        <f>(CM42-'In Process Calc.'!P8)^2</f>
        <v>1.3011587294442718E-2</v>
      </c>
      <c r="CN70" s="292">
        <f>(CN42-'In Process Calc.'!Q8)^2</f>
        <v>3.1840786066188191</v>
      </c>
      <c r="CO70" s="292">
        <f>(CO42-'In Process Calc.'!R8)^2</f>
        <v>0.85248067264109129</v>
      </c>
      <c r="CP70" s="292">
        <f>(CP42-'In Process Calc.'!S8)^2</f>
        <v>1.704968884330017E-3</v>
      </c>
      <c r="CQ70" s="292">
        <f>(CQ42-'In Process Calc.'!T8)^2</f>
        <v>3.2425596437244811E-2</v>
      </c>
      <c r="CR70" s="292">
        <f>(CR42-'In Process Calc.'!U8)^2</f>
        <v>4.671571853985175E-2</v>
      </c>
      <c r="CS70" s="292">
        <f>(CS42-'In Process Calc.'!V8)^2</f>
        <v>1.3384125252217537E-3</v>
      </c>
      <c r="CT70" s="292">
        <f>(CT42-'In Process Calc.'!W8)^2</f>
        <v>0</v>
      </c>
      <c r="CU70" s="292">
        <f>(CU42-'In Process Calc.'!X8)^2</f>
        <v>0</v>
      </c>
      <c r="CV70" s="292">
        <f>(CV42-'In Process Calc.'!Y8)^2</f>
        <v>0</v>
      </c>
      <c r="CW70" s="292">
        <f>(CW42-'In Process Calc.'!Z8)^2</f>
        <v>0.77391086146535948</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4.9661878371335934E-2</v>
      </c>
      <c r="DK70" s="292">
        <f>(DK42-'In Process Calc.'!AN8)^2</f>
        <v>0.75804481823447623</v>
      </c>
      <c r="DL70" s="292">
        <f>(DL42-'In Process Calc.'!AO8)^2</f>
        <v>13.678786961925027</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3.2500868655915385</v>
      </c>
      <c r="CM71" s="292">
        <f>(CM43-'In Process Calc.'!P9)^2</f>
        <v>0.35919866482055757</v>
      </c>
      <c r="CN71" s="292">
        <f>(CN43-'In Process Calc.'!Q9)^2</f>
        <v>9.4685682233020358</v>
      </c>
      <c r="CO71" s="292">
        <f>(CO43-'In Process Calc.'!R9)^2</f>
        <v>0.66011091374064967</v>
      </c>
      <c r="CP71" s="292">
        <f>(CP43-'In Process Calc.'!S9)^2</f>
        <v>6.3301404884585884E-3</v>
      </c>
      <c r="CQ71" s="292">
        <f>(CQ43-'In Process Calc.'!T9)^2</f>
        <v>0.40401326817212313</v>
      </c>
      <c r="CR71" s="292">
        <f>(CR43-'In Process Calc.'!U9)^2</f>
        <v>0.26512213732889262</v>
      </c>
      <c r="CS71" s="292">
        <f>(CS43-'In Process Calc.'!V9)^2</f>
        <v>19.115189724354298</v>
      </c>
      <c r="CT71" s="292">
        <f>(CT43-'In Process Calc.'!W9)^2</f>
        <v>0</v>
      </c>
      <c r="CU71" s="292">
        <f>(CU43-'In Process Calc.'!X9)^2</f>
        <v>0</v>
      </c>
      <c r="CV71" s="292">
        <f>(CV43-'In Process Calc.'!Y9)^2</f>
        <v>0</v>
      </c>
      <c r="CW71" s="292">
        <f>(CW43-'In Process Calc.'!Z9)^2</f>
        <v>6.26971497818299E-2</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136.68277195467087</v>
      </c>
      <c r="DK71" s="292">
        <f>(DK43-'In Process Calc.'!AN9)^2</f>
        <v>97.779288063681463</v>
      </c>
      <c r="DL71" s="292">
        <f>(DL43-'In Process Calc.'!AO9)^2</f>
        <v>1881.0519835773362</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1.8762403609271834</v>
      </c>
      <c r="CM72" s="292">
        <f>(CM44-'In Process Calc.'!P10)^2</f>
        <v>1.9860336904056897</v>
      </c>
      <c r="CN72" s="292">
        <f>(CN44-'In Process Calc.'!Q10)^2</f>
        <v>8.4930302565613172</v>
      </c>
      <c r="CO72" s="292">
        <f>(CO44-'In Process Calc.'!R10)^2</f>
        <v>2.3479411741908187E-4</v>
      </c>
      <c r="CP72" s="292">
        <f>(CP44-'In Process Calc.'!S10)^2</f>
        <v>2.5402460500173717E-2</v>
      </c>
      <c r="CQ72" s="292">
        <f>(CQ44-'In Process Calc.'!T10)^2</f>
        <v>3.2435271356297375E-2</v>
      </c>
      <c r="CR72" s="292">
        <f>(CR44-'In Process Calc.'!U10)^2</f>
        <v>3.6078384209270804E-3</v>
      </c>
      <c r="CS72" s="292">
        <f>(CS44-'In Process Calc.'!V10)^2</f>
        <v>68.112079637428963</v>
      </c>
      <c r="CT72" s="292">
        <f>(CT44-'In Process Calc.'!W10)^2</f>
        <v>0</v>
      </c>
      <c r="CU72" s="292">
        <f>(CU44-'In Process Calc.'!X10)^2</f>
        <v>0</v>
      </c>
      <c r="CV72" s="292">
        <f>(CV44-'In Process Calc.'!Y10)^2</f>
        <v>0</v>
      </c>
      <c r="CW72" s="292">
        <f>(CW44-'In Process Calc.'!Z10)^2</f>
        <v>0.3250397997036773</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501.73985253812049</v>
      </c>
      <c r="DK72" s="292">
        <f>(DK44-'In Process Calc.'!AN10)^2</f>
        <v>442.25211121540309</v>
      </c>
      <c r="DL72" s="292">
        <f>(DL44-'In Process Calc.'!AO10)^2</f>
        <v>5721.0678156387094</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0.24244864005829575</v>
      </c>
      <c r="CM73" s="292">
        <f>(CM45-'In Process Calc.'!P11)^2</f>
        <v>0.50552717594099916</v>
      </c>
      <c r="CN73" s="292">
        <f>(CN45-'In Process Calc.'!Q11)^2</f>
        <v>11.376826238031388</v>
      </c>
      <c r="CO73" s="292">
        <f>(CO45-'In Process Calc.'!R11)^2</f>
        <v>1.5717633631799048</v>
      </c>
      <c r="CP73" s="292">
        <f>(CP45-'In Process Calc.'!S11)^2</f>
        <v>9.0196713722440116E-3</v>
      </c>
      <c r="CQ73" s="292">
        <f>(CQ45-'In Process Calc.'!T11)^2</f>
        <v>1.5684833097717612</v>
      </c>
      <c r="CR73" s="292">
        <f>(CR45-'In Process Calc.'!U11)^2</f>
        <v>0.20850769193869817</v>
      </c>
      <c r="CS73" s="292">
        <f>(CS45-'In Process Calc.'!V11)^2</f>
        <v>34.514445125329544</v>
      </c>
      <c r="CT73" s="292">
        <f>(CT45-'In Process Calc.'!W11)^2</f>
        <v>0</v>
      </c>
      <c r="CU73" s="292">
        <f>(CU45-'In Process Calc.'!X11)^2</f>
        <v>0</v>
      </c>
      <c r="CV73" s="292">
        <f>(CV45-'In Process Calc.'!Y11)^2</f>
        <v>0</v>
      </c>
      <c r="CW73" s="292">
        <f>(CW45-'In Process Calc.'!Z11)^2</f>
        <v>12.317836075387389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77.916229154699266</v>
      </c>
      <c r="DK73" s="292">
        <f>(DK45-'In Process Calc.'!AN11)^2</f>
        <v>86.85136064806052</v>
      </c>
      <c r="DL73" s="292">
        <f>(DL45-'In Process Calc.'!AO11)^2</f>
        <v>1329.0243926226435</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3.8556394099309932</v>
      </c>
      <c r="CM74" s="292">
        <f>(CM46-'In Process Calc.'!P12)^2</f>
        <v>1.1664193209546949E-2</v>
      </c>
      <c r="CN74" s="292">
        <f>(CN46-'In Process Calc.'!Q12)^2</f>
        <v>10.909016668161573</v>
      </c>
      <c r="CO74" s="292">
        <f>(CO46-'In Process Calc.'!R12)^2</f>
        <v>0.33193039537848351</v>
      </c>
      <c r="CP74" s="292">
        <f>(CP46-'In Process Calc.'!S12)^2</f>
        <v>2.9577010164116136E-4</v>
      </c>
      <c r="CQ74" s="292">
        <f>(CQ46-'In Process Calc.'!T12)^2</f>
        <v>0.74012445032689445</v>
      </c>
      <c r="CR74" s="292">
        <f>(CR46-'In Process Calc.'!U12)^2</f>
        <v>5.7488023288154104E-2</v>
      </c>
      <c r="CS74" s="292">
        <f>(CS46-'In Process Calc.'!V12)^2</f>
        <v>0.24879256419944643</v>
      </c>
      <c r="CT74" s="292">
        <f>(CT46-'In Process Calc.'!W12)^2</f>
        <v>0</v>
      </c>
      <c r="CU74" s="292">
        <f>(CU46-'In Process Calc.'!X12)^2</f>
        <v>0</v>
      </c>
      <c r="CV74" s="292">
        <f>(CV46-'In Process Calc.'!Y12)^2</f>
        <v>0</v>
      </c>
      <c r="CW74" s="292">
        <f>(CW46-'In Process Calc.'!Z12)^2</f>
        <v>4.1106055974436044</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1.2586985063842362</v>
      </c>
      <c r="DK74" s="292">
        <f>(DK46-'In Process Calc.'!AN12)^2</f>
        <v>0.70839303856819202</v>
      </c>
      <c r="DL74" s="292">
        <f>(DL46-'In Process Calc.'!AO12)^2</f>
        <v>61.119259876447103</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4.6744379643245884</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13" zoomScale="145" zoomScaleNormal="145" workbookViewId="0">
      <selection activeCell="I32" sqref="I32"/>
    </sheetView>
  </sheetViews>
  <sheetFormatPr defaultColWidth="8.7109375" defaultRowHeight="12.75"/>
  <cols>
    <col min="1" max="1" width="9.7109375" style="120" customWidth="1"/>
    <col min="2" max="2" width="9.7109375" style="121" customWidth="1"/>
    <col min="3" max="3" width="16.28515625" style="120" customWidth="1"/>
    <col min="4" max="5" width="5.42578125" style="120" bestFit="1" customWidth="1"/>
    <col min="6" max="6" width="6" style="120" bestFit="1" customWidth="1"/>
    <col min="7" max="7" width="6.28515625" style="120" bestFit="1" customWidth="1"/>
    <col min="8" max="9" width="5.7109375" style="120" bestFit="1" customWidth="1"/>
    <col min="10" max="10" width="5.42578125" style="121" bestFit="1" customWidth="1"/>
    <col min="11" max="11" width="9.85546875" style="120" customWidth="1"/>
    <col min="12" max="12" width="15" style="120" customWidth="1"/>
    <col min="13" max="13" width="5.42578125" style="120" bestFit="1" customWidth="1"/>
    <col min="14" max="14" width="6" style="120" bestFit="1" customWidth="1"/>
    <col min="15" max="15" width="5.42578125" style="120" bestFit="1" customWidth="1"/>
    <col min="16" max="16" width="6" style="120" bestFit="1" customWidth="1"/>
    <col min="17" max="17" width="13.85546875" style="120" customWidth="1"/>
    <col min="18" max="18" width="6" style="120" bestFit="1" customWidth="1"/>
    <col min="19" max="22" width="5.42578125" style="120" bestFit="1" customWidth="1"/>
    <col min="23" max="23" width="5.42578125" style="121" bestFit="1" customWidth="1"/>
    <col min="24" max="25" width="5.42578125" style="120" bestFit="1" customWidth="1"/>
    <col min="26" max="26" width="5.42578125" style="121" bestFit="1" customWidth="1"/>
    <col min="27" max="27" width="5.42578125" style="120" bestFit="1" customWidth="1"/>
    <col min="28" max="28" width="6" style="120" bestFit="1" customWidth="1"/>
    <col min="29" max="32" width="5.42578125" style="120" bestFit="1" customWidth="1"/>
    <col min="33" max="33" width="6" style="120" bestFit="1" customWidth="1"/>
    <col min="34" max="36" width="5.42578125" style="120" bestFit="1" customWidth="1"/>
    <col min="37" max="16384" width="8.7109375" style="122"/>
  </cols>
  <sheetData>
    <row r="1" spans="1:71" ht="18">
      <c r="A1" s="538" t="s">
        <v>332</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478</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97.5">
      <c r="A2" s="504" t="s">
        <v>706</v>
      </c>
      <c r="B2" s="511" t="s">
        <v>709</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0.26312174644284919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0.45000000006984919</v>
      </c>
      <c r="AL3" s="290">
        <f>'Measured Data'!U7</f>
        <v>5.8999999999999997E-2</v>
      </c>
      <c r="AM3" s="290">
        <f>'Measured Data'!V7</f>
        <v>1.9039999999999999</v>
      </c>
      <c r="AN3" s="290">
        <f>'Measured Data'!W7</f>
        <v>5.7690000000000001</v>
      </c>
      <c r="AO3" s="290">
        <f>'Measured Data'!X7</f>
        <v>1.6990000000000001</v>
      </c>
      <c r="AP3" s="290">
        <f>'Measured Data'!Y7</f>
        <v>1.016</v>
      </c>
      <c r="AQ3" s="290">
        <f>'Measured Data'!Z7</f>
        <v>33.470991807100511</v>
      </c>
      <c r="AR3" s="290">
        <f>'Measured Data'!AA7</f>
        <v>0</v>
      </c>
      <c r="AS3" s="290">
        <f>'Measured Data'!AB7</f>
        <v>2.2559999999999998</v>
      </c>
      <c r="AT3" s="290">
        <f>'Measured Data'!AC7</f>
        <v>0</v>
      </c>
      <c r="AU3" s="290">
        <f>'Measured Data'!AD7</f>
        <v>0</v>
      </c>
      <c r="AV3" s="290">
        <f>'Measured Data'!AE7</f>
        <v>0</v>
      </c>
      <c r="AW3" s="290">
        <f>'Measured Data'!AF7</f>
        <v>0.9991119005328597</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0.46319998631477349</v>
      </c>
      <c r="B4" s="115">
        <f>'Measured Data'!H8*'In Process Calc.'!E4/1000</f>
        <v>0.88934397372436513</v>
      </c>
      <c r="C4" s="295">
        <f>'Growth Regression'!$P3</f>
        <v>2.62375468366388E-2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-22.145526018710882</v>
      </c>
      <c r="F4" s="115">
        <f xml:space="preserve"> (Regression!$CE$8*6*'In Process Calc.'!$C4^6+Regression!$CD$8*5*'In Process Calc.'!$C4^5+Regression!$CC$8*4*'In Process Calc.'!$C4^3+Regression!$CB$8*3*'In Process Calc.'!$C4^2  + Regression!$CA$8*2*'In Process Calc.'!$C4 + Regression!$BZ$8)/$A4</f>
        <v>0.12311153332894548</v>
      </c>
      <c r="G4" s="115">
        <f xml:space="preserve"> (Regression!$CE$9*6*'In Process Calc.'!$C4^6+Regression!$CD$9*5*'In Process Calc.'!$C4^5+Regression!$CC$9*4*'In Process Calc.'!$C4^3+Regression!$CB$9*3*'In Process Calc.'!$C4^2  + Regression!$CA$9*2*'In Process Calc.'!$C4 + Regression!$BZ$9)/$B4</f>
        <v>-1.2174255144236338E-2</v>
      </c>
      <c r="H4" s="115">
        <f xml:space="preserve"> (Regression!$CE$10*6*'In Process Calc.'!$C4^6+Regression!$CD$10*5*'In Process Calc.'!$C4^5+Regression!$CC$10*4*'In Process Calc.'!$C4^3+Regression!$CB$10*3*'In Process Calc.'!$C4^2  + Regression!$CA$10*2*'In Process Calc.'!$C4 + Regression!$BZ$10)/$B4</f>
        <v>1.5656502239925847E-3</v>
      </c>
      <c r="I4" s="115">
        <f xml:space="preserve"> (Regression!$CE$11*6*'In Process Calc.'!$C4^6+Regression!$CD$11*5*'In Process Calc.'!$C4^5+Regression!$CC$11*4*'In Process Calc.'!$C4^3+Regression!$CB$11*3*'In Process Calc.'!$C4^2  + Regression!$CA$11*2*'In Process Calc.'!$C4 + Regression!$BZ$11)/$A4</f>
        <v>7.3584177928993827E-2</v>
      </c>
      <c r="J4" s="115">
        <f>(Regression!$CE$12*6*'In Process Calc.'!$C4^6+Regression!$CD$12*5*'In Process Calc.'!$C4^5+Regression!$CC$12*4*'In Process Calc.'!$C4^3+Regression!$CB$12*3*'In Process Calc.'!$C4^2  + Regression!$CA$12*2*'In Process Calc.'!$C4 + Regression!$BZ$12)/$A4</f>
        <v>-2.9438385667534053E-3</v>
      </c>
      <c r="K4" s="115">
        <f xml:space="preserve"> (Regression!$CE$13*6*'In Process Calc.'!$C4^5+Regression!$CD$13*5*'In Process Calc.'!$C4^4+Regression!$CC$13*4*'In Process Calc.'!$C4^3+Regression!$CB$13*3*'In Process Calc.'!$C4^2  + Regression!$CA$13*2*'In Process Calc.'!$C4 + Regression!$BZ$13)/$A4</f>
        <v>0.11260218115305266</v>
      </c>
      <c r="L4" s="115">
        <f xml:space="preserve"> (Regression!$CE$14*6*'In Process Calc.'!$C4^5+Regression!$CD$14*5*'In Process Calc.'!$C4^4+Regression!$CC$14*4*'In Process Calc.'!$C4^3+Regression!$CB$14*3*'In Process Calc.'!$C4^2  + Regression!$CA$14*2*'In Process Calc.'!$C4 + Regression!$BZ$14)/$B4</f>
        <v>-6.5099020312279739E-3</v>
      </c>
      <c r="M4" s="115">
        <f xml:space="preserve"> (Regression!$CE$15*6*'In Process Calc.'!$C4^6+Regression!$CD$15*5*'In Process Calc.'!$C4^5+Regression!$CC$15*4*'In Process Calc.'!$C4^3+Regression!$CB$15*3*'In Process Calc.'!$C4^2  + Regression!$CA$15*2*'In Process Calc.'!$C4 + Regression!$BZ$15)/$A4</f>
        <v>-0.37380400607284509</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4.3263079253742544E-2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-0.61358370332051748</v>
      </c>
      <c r="AE4" s="115">
        <f xml:space="preserve"> (Regression!$CE$33*6*'In Process Calc.'!$C4^5+Regression!$CD$33*5*'In Process Calc.'!$C4^4+Regression!$CC$33*4*'In Process Calc.'!$C4^3 +Regression!$CB$33*3*'In Process Calc.'!$C4^2 + Regression!$CA$33*2*'In Process Calc.'!$C4 + Regression!$BZ$33)/$A4</f>
        <v>-0.49047216999157184</v>
      </c>
      <c r="AF4" s="115">
        <f xml:space="preserve"> (Regression!$CE$34*6*'In Process Calc.'!$C4^5+Regression!$CD$34*5*'In Process Calc.'!$C4^4+Regression!$CC$34*4*'In Process Calc.'!$C4^3 +Regression!$CB$34*3*'In Process Calc.'!$C4^2 + Regression!$CA$34*2*'In Process Calc.'!$C4 + Regression!$BZ$34)/$A4</f>
        <v>-2.9344500471975059</v>
      </c>
      <c r="AG4" s="116">
        <f t="shared" ref="AG4:AG17" si="0">$Q4/$K4</f>
        <v>0.38421173382900919</v>
      </c>
      <c r="AH4" s="116">
        <f>$D4/$K4</f>
        <v>0</v>
      </c>
      <c r="AI4" s="116">
        <f t="shared" ref="AI4:AI17" si="1">$L4/$K4</f>
        <v>-5.7813285360605017E-2</v>
      </c>
      <c r="AJ4" s="116">
        <f t="shared" ref="AJ4:AJ17" si="2">$U4/$L4</f>
        <v>0</v>
      </c>
      <c r="AK4" s="76">
        <f>'In Process Calc.'!C4</f>
        <v>21.116666666697711</v>
      </c>
      <c r="AL4" s="122">
        <f>((Regression!CL37-Regression!CL38)*1000+'Post Process Calc.'!AL3*'In Process Calc.'!$E4+'In Process Calc.'!$G3*'Measured Data'!AS7+'In Process Calc.'!$F3*'Measured Data'!AS7)/'In Process Calc.'!$J3</f>
        <v>-0.8303974445234904</v>
      </c>
      <c r="AM4" s="122">
        <f>((Regression!CM37-Regression!CM38)*1000+'Post Process Calc.'!AM3*'In Process Calc.'!$E4+'In Process Calc.'!$G3*'Measured Data'!AT7+'In Process Calc.'!$F3*'Measured Data'!AT7)/'In Process Calc.'!$J3</f>
        <v>1.993097416555353</v>
      </c>
      <c r="AN4" s="122">
        <f>((Regression!CN37-Regression!CN38)*1000+'Post Process Calc.'!AN3*'In Process Calc.'!$E4+'In Process Calc.'!$G3*'Measured Data'!AU7+'In Process Calc.'!$F3*'Measured Data'!AU7)/'In Process Calc.'!$J3</f>
        <v>5.5995907302161516</v>
      </c>
      <c r="AO4" s="122">
        <f>((Regression!CO37-Regression!CO38)*1000+'Post Process Calc.'!AO3*'In Process Calc.'!$E4+'In Process Calc.'!$G3*'Measured Data'!AV7+'In Process Calc.'!$F3*'Measured Data'!AV7)/'In Process Calc.'!$J3</f>
        <v>1.1016622959259863</v>
      </c>
      <c r="AP4" s="122">
        <f>((Regression!CP37-Regression!CP38)*1000+'Post Process Calc.'!AP3*'In Process Calc.'!$E4+'In Process Calc.'!$G3*'Measured Data'!AW7+'In Process Calc.'!$F3*'Measured Data'!AW7)/'In Process Calc.'!$J3</f>
        <v>1.0457329138702824</v>
      </c>
      <c r="AQ4" s="122">
        <f>((Regression!CQ37-Regression!CQ38)*1000+'Post Process Calc.'!AQ3*'In Process Calc.'!$E4+'In Process Calc.'!$G3*'Measured Data'!AX7+'In Process Calc.'!$F3*'Measured Data'!AX7)/'In Process Calc.'!$J3</f>
        <v>32.65349034338319</v>
      </c>
      <c r="AR4" s="122">
        <f>((Regression!CR37-Regression!CR38)*1000+'Post Process Calc.'!AR3*'In Process Calc.'!$E4+'In Process Calc.'!$G3*'Measured Data'!AY7+'In Process Calc.'!$F3*'Measured Data'!AY7)/'In Process Calc.'!$J3</f>
        <v>0.344875652360913</v>
      </c>
      <c r="AS4" s="122">
        <f>((Regression!CS37-Regression!CS38)*1000+'Post Process Calc.'!AS3*'In Process Calc.'!$E4+'In Process Calc.'!$G3*'Measured Data'!AZ7+'In Process Calc.'!$F3*'Measured Data'!AZ7)/'In Process Calc.'!$J3</f>
        <v>4.103265493410472</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0.80785814534082789</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0.81999999999999984</v>
      </c>
      <c r="B5" s="115">
        <f>'Measured Data'!H9*'In Process Calc.'!E5/1000</f>
        <v>1.5620999999999996</v>
      </c>
      <c r="C5" s="295">
        <f>'Growth Regression'!$P4</f>
        <v>2.5545985573235321E-2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-2.9350247970605818</v>
      </c>
      <c r="F5" s="115">
        <f xml:space="preserve"> (Regression!$CE$8*6*'In Process Calc.'!$C5^6+Regression!$CD$8*5*'In Process Calc.'!$C5^5+Regression!$CC$8*4*'In Process Calc.'!$C5^3+Regression!$CB$8*3*'In Process Calc.'!$C5^2  + Regression!$CA$8*2*'In Process Calc.'!$C5 + Regression!$BZ$8)/$A5</f>
        <v>-1.8627651942847499E-3</v>
      </c>
      <c r="G5" s="115">
        <f xml:space="preserve"> (Regression!$CE$9*6*'In Process Calc.'!$C5^6+Regression!$CD$9*5*'In Process Calc.'!$C5^5+Regression!$CC$9*4*'In Process Calc.'!$C5^3+Regression!$CB$9*3*'In Process Calc.'!$C5^2  + Regression!$CA$9*2*'In Process Calc.'!$C5 + Regression!$BZ$9)/$B5</f>
        <v>-8.0912620435651898E-3</v>
      </c>
      <c r="H5" s="115">
        <f xml:space="preserve"> (Regression!$CE$10*6*'In Process Calc.'!$C5^6+Regression!$CD$10*5*'In Process Calc.'!$C5^5+Regression!$CC$10*4*'In Process Calc.'!$C5^3+Regression!$CB$10*3*'In Process Calc.'!$C5^2  + Regression!$CA$10*2*'In Process Calc.'!$C5 + Regression!$BZ$10)/$B5</f>
        <v>-5.4315354534614398E-3</v>
      </c>
      <c r="I5" s="115">
        <f xml:space="preserve"> (Regression!$CE$11*6*'In Process Calc.'!$C5^6+Regression!$CD$11*5*'In Process Calc.'!$C5^5+Regression!$CC$11*4*'In Process Calc.'!$C5^3+Regression!$CB$11*3*'In Process Calc.'!$C5^2  + Regression!$CA$11*2*'In Process Calc.'!$C5 + Regression!$BZ$11)/$A5</f>
        <v>-5.727602038660763E-3</v>
      </c>
      <c r="J5" s="115">
        <f>(Regression!$CE$12*6*'In Process Calc.'!$C5^6+Regression!$CD$12*5*'In Process Calc.'!$C5^5+Regression!$CC$12*4*'In Process Calc.'!$C5^3+Regression!$CB$12*3*'In Process Calc.'!$C5^2  + Regression!$CA$12*2*'In Process Calc.'!$C5 + Regression!$BZ$12)/$A5</f>
        <v>4.2247286694923961E-3</v>
      </c>
      <c r="K5" s="115">
        <f xml:space="preserve"> (Regression!$CE$13*6*'In Process Calc.'!$C5^5+Regression!$CD$13*5*'In Process Calc.'!$C5^4+Regression!$CC$13*4*'In Process Calc.'!$C5^3+Regression!$CB$13*3*'In Process Calc.'!$C5^2  + Regression!$CA$13*2*'In Process Calc.'!$C5 + Regression!$BZ$13)/$A5</f>
        <v>9.8048409829188124E-2</v>
      </c>
      <c r="L5" s="115">
        <f xml:space="preserve"> (Regression!$CE$14*6*'In Process Calc.'!$C5^5+Regression!$CD$14*5*'In Process Calc.'!$C5^4+Regression!$CC$14*4*'In Process Calc.'!$C5^3+Regression!$CB$14*3*'In Process Calc.'!$C5^2  + Regression!$CA$14*2*'In Process Calc.'!$C5 + Regression!$BZ$14)/$B5</f>
        <v>3.9564734369251127E-3</v>
      </c>
      <c r="M5" s="115">
        <f xml:space="preserve"> (Regression!$CE$15*6*'In Process Calc.'!$C5^6+Regression!$CD$15*5*'In Process Calc.'!$C5^5+Regression!$CC$15*4*'In Process Calc.'!$C5^3+Regression!$CB$15*3*'In Process Calc.'!$C5^2  + Regression!$CA$15*2*'In Process Calc.'!$C5 + Regression!$BZ$15)/$A5</f>
        <v>-0.1999058935372445</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6.4041090526176458E-2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-0.34687445850781834</v>
      </c>
      <c r="AE5" s="115">
        <f xml:space="preserve"> (Regression!$CE$33*6*'In Process Calc.'!$C5^5+Regression!$CD$33*5*'In Process Calc.'!$C5^4+Regression!$CC$33*4*'In Process Calc.'!$C5^3 +Regression!$CB$33*3*'In Process Calc.'!$C5^2 + Regression!$CA$33*2*'In Process Calc.'!$C5 + Regression!$BZ$33)/$A5</f>
        <v>-0.34873722370210308</v>
      </c>
      <c r="AF5" s="115">
        <f xml:space="preserve"> (Regression!$CE$34*6*'In Process Calc.'!$C5^5+Regression!$CD$34*5*'In Process Calc.'!$C5^4+Regression!$CC$34*4*'In Process Calc.'!$C5^3 +Regression!$CB$34*3*'In Process Calc.'!$C5^2 + Regression!$CA$34*2*'In Process Calc.'!$C5 + Regression!$BZ$34)/$A5</f>
        <v>-1.2886116861448376</v>
      </c>
      <c r="AG5" s="116">
        <f t="shared" si="0"/>
        <v>0.65315787005361514</v>
      </c>
      <c r="AH5" s="116">
        <f t="shared" ref="AH5:AH17" si="3">$D5/$K5</f>
        <v>0</v>
      </c>
      <c r="AI5" s="116">
        <f t="shared" si="1"/>
        <v>4.0352244812718076E-2</v>
      </c>
      <c r="AJ5" s="116">
        <f t="shared" si="2"/>
        <v>0</v>
      </c>
      <c r="AK5" s="76">
        <f>'In Process Calc.'!C5</f>
        <v>48.383333333360497</v>
      </c>
      <c r="AL5" s="122">
        <f>((Regression!CL38-Regression!CL39)*1000+'Post Process Calc.'!AL4*'In Process Calc.'!$E5+'In Process Calc.'!$G4*'Measured Data'!AS8+'In Process Calc.'!$F4*'Measured Data'!AS8)/'In Process Calc.'!$J4</f>
        <v>-1.2013226099755601</v>
      </c>
      <c r="AM5" s="122">
        <f>((Regression!CM38-Regression!CM39)*1000+'Post Process Calc.'!AM4*'In Process Calc.'!$E5+'In Process Calc.'!$G4*'Measured Data'!AT8+'In Process Calc.'!$F4*'Measured Data'!AT8)/'In Process Calc.'!$J4</f>
        <v>2.1458816051434431</v>
      </c>
      <c r="AN5" s="122">
        <f>((Regression!CN38-Regression!CN39)*1000+'Post Process Calc.'!AN4*'In Process Calc.'!$E5+'In Process Calc.'!$G4*'Measured Data'!AU8+'In Process Calc.'!$F4*'Measured Data'!AU8)/'In Process Calc.'!$J4</f>
        <v>5.6309044549845169</v>
      </c>
      <c r="AO5" s="122">
        <f>((Regression!CO38-Regression!CO39)*1000+'Post Process Calc.'!AO4*'In Process Calc.'!$E5+'In Process Calc.'!$G4*'Measured Data'!AV8+'In Process Calc.'!$F4*'Measured Data'!AV8)/'In Process Calc.'!$J4</f>
        <v>0.90747817039428214</v>
      </c>
      <c r="AP5" s="122">
        <f>((Regression!CP38-Regression!CP39)*1000+'Post Process Calc.'!AP4*'In Process Calc.'!$E5+'In Process Calc.'!$G4*'Measured Data'!AW8+'In Process Calc.'!$F4*'Measured Data'!AW8)/'In Process Calc.'!$J4</f>
        <v>1.0212855902917148</v>
      </c>
      <c r="AQ5" s="122">
        <f>((Regression!CQ38-Regression!CQ39)*1000+'Post Process Calc.'!AQ4*'In Process Calc.'!$E5+'In Process Calc.'!$G4*'Measured Data'!AX8+'In Process Calc.'!$F4*'Measured Data'!AX8)/'In Process Calc.'!$J4</f>
        <v>31.498439800292235</v>
      </c>
      <c r="AR5" s="122">
        <f>((Regression!CR38-Regression!CR39)*1000+'Post Process Calc.'!AR4*'In Process Calc.'!$E5+'In Process Calc.'!$G4*'Measured Data'!AY8+'In Process Calc.'!$F4*'Measured Data'!AY8)/'In Process Calc.'!$J4</f>
        <v>0.27016948198144886</v>
      </c>
      <c r="AS5" s="122">
        <f>((Regression!CS38-Regression!CS39)*1000+'Post Process Calc.'!AS4*'In Process Calc.'!$E5+'In Process Calc.'!$G4*'Measured Data'!AZ8+'In Process Calc.'!$F4*'Measured Data'!AZ8)/'In Process Calc.'!$J4</f>
        <v>6.4731215786347232</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-0.18494164676312674</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1.4616999460220337</v>
      </c>
      <c r="B6" s="115">
        <f>'Measured Data'!H10*'In Process Calc.'!E6/1000</f>
        <v>2.7421490987373356</v>
      </c>
      <c r="C6" s="295">
        <f>'Growth Regression'!$P5</f>
        <v>2.4511890413168775E-2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2.3486089279641473</v>
      </c>
      <c r="F6" s="115">
        <f xml:space="preserve"> (Regression!$CE$8*6*'In Process Calc.'!$C6^6+Regression!$CD$8*5*'In Process Calc.'!$C6^5+Regression!$CC$8*4*'In Process Calc.'!$C6^3+Regression!$CB$8*3*'In Process Calc.'!$C6^2  + Regression!$CA$8*2*'In Process Calc.'!$C6 + Regression!$BZ$8)/$A6</f>
        <v>-2.6847456486202868E-2</v>
      </c>
      <c r="G6" s="115">
        <f xml:space="preserve"> (Regression!$CE$9*6*'In Process Calc.'!$C6^6+Regression!$CD$9*5*'In Process Calc.'!$C6^5+Regression!$CC$9*4*'In Process Calc.'!$C6^3+Regression!$CB$9*3*'In Process Calc.'!$C6^2  + Regression!$CA$9*2*'In Process Calc.'!$C6 + Regression!$BZ$9)/$B6</f>
        <v>-4.7538692755013543E-3</v>
      </c>
      <c r="H6" s="115">
        <f xml:space="preserve"> (Regression!$CE$10*6*'In Process Calc.'!$C6^6+Regression!$CD$10*5*'In Process Calc.'!$C6^5+Regression!$CC$10*4*'In Process Calc.'!$C6^3+Regression!$CB$10*3*'In Process Calc.'!$C6^2  + Regression!$CA$10*2*'In Process Calc.'!$C6 + Regression!$BZ$10)/$B6</f>
        <v>-1.062236925422217E-3</v>
      </c>
      <c r="I6" s="115">
        <f xml:space="preserve"> (Regression!$CE$11*6*'In Process Calc.'!$C6^6+Regression!$CD$11*5*'In Process Calc.'!$C6^5+Regression!$CC$11*4*'In Process Calc.'!$C6^3+Regression!$CB$11*3*'In Process Calc.'!$C6^2  + Regression!$CA$11*2*'In Process Calc.'!$C6 + Regression!$BZ$11)/$A6</f>
        <v>-1.5863210389686681E-2</v>
      </c>
      <c r="J6" s="115">
        <f>(Regression!$CE$12*6*'In Process Calc.'!$C6^6+Regression!$CD$12*5*'In Process Calc.'!$C6^5+Regression!$CC$12*4*'In Process Calc.'!$C6^3+Regression!$CB$12*3*'In Process Calc.'!$C6^2  + Regression!$CA$12*2*'In Process Calc.'!$C6 + Regression!$BZ$12)/$A6</f>
        <v>4.502982344180971E-3</v>
      </c>
      <c r="K6" s="115">
        <f xml:space="preserve"> (Regression!$CE$13*6*'In Process Calc.'!$C6^5+Regression!$CD$13*5*'In Process Calc.'!$C6^4+Regression!$CC$13*4*'In Process Calc.'!$C6^3+Regression!$CB$13*3*'In Process Calc.'!$C6^2  + Regression!$CA$13*2*'In Process Calc.'!$C6 + Regression!$BZ$13)/$A6</f>
        <v>8.6970115367674058E-2</v>
      </c>
      <c r="L6" s="115">
        <f xml:space="preserve"> (Regression!$CE$14*6*'In Process Calc.'!$C6^5+Regression!$CD$14*5*'In Process Calc.'!$C6^4+Regression!$CC$14*4*'In Process Calc.'!$C6^3+Regression!$CB$14*3*'In Process Calc.'!$C6^2  + Regression!$CA$14*2*'In Process Calc.'!$C6 + Regression!$BZ$14)/$B6</f>
        <v>-4.9202861570126263E-3</v>
      </c>
      <c r="M6" s="115">
        <f xml:space="preserve"> (Regression!$CE$15*6*'In Process Calc.'!$C6^6+Regression!$CD$15*5*'In Process Calc.'!$C6^5+Regression!$CC$15*4*'In Process Calc.'!$C6^3+Regression!$CB$15*3*'In Process Calc.'!$C6^2  + Regression!$CA$15*2*'In Process Calc.'!$C6 + Regression!$BZ$15)/$A6</f>
        <v>-0.10324256382109183</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5.1533007128908959E-2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-0.18445809115277201</v>
      </c>
      <c r="AE6" s="115">
        <f xml:space="preserve"> (Regression!$CE$33*6*'In Process Calc.'!$C6^5+Regression!$CD$33*5*'In Process Calc.'!$C6^4+Regression!$CC$33*4*'In Process Calc.'!$C6^3 +Regression!$CB$33*3*'In Process Calc.'!$C6^2 + Regression!$CA$33*2*'In Process Calc.'!$C6 + Regression!$BZ$33)/$A6</f>
        <v>-0.21130554763897488</v>
      </c>
      <c r="AF6" s="115">
        <f xml:space="preserve"> (Regression!$CE$34*6*'In Process Calc.'!$C6^5+Regression!$CD$34*5*'In Process Calc.'!$C6^4+Regression!$CC$34*4*'In Process Calc.'!$C6^3 +Regression!$CB$34*3*'In Process Calc.'!$C6^2 + Regression!$CA$34*2*'In Process Calc.'!$C6 + Regression!$BZ$34)/$A6</f>
        <v>-0.55471494879952321</v>
      </c>
      <c r="AG6" s="116">
        <f t="shared" si="0"/>
        <v>0.59253695261928185</v>
      </c>
      <c r="AH6" s="116">
        <f t="shared" si="3"/>
        <v>0</v>
      </c>
      <c r="AI6" s="116">
        <f t="shared" si="1"/>
        <v>-5.6574446707488769E-2</v>
      </c>
      <c r="AJ6" s="116">
        <f t="shared" si="2"/>
        <v>0</v>
      </c>
      <c r="AK6" s="76">
        <f>'In Process Calc.'!C6</f>
        <v>70.883333333360497</v>
      </c>
      <c r="AL6" s="122">
        <f>((Regression!CL39-Regression!CL40)*1000+'Post Process Calc.'!AL5*'In Process Calc.'!$E6+'In Process Calc.'!$G5*'Measured Data'!AS9+'In Process Calc.'!$F5*'Measured Data'!AS9)/'In Process Calc.'!$J5</f>
        <v>-0.93282979410962563</v>
      </c>
      <c r="AM6" s="122">
        <f>((Regression!CM39-Regression!CM40)*1000+'Post Process Calc.'!AM5*'In Process Calc.'!$E6+'In Process Calc.'!$G5*'Measured Data'!AT9+'In Process Calc.'!$F5*'Measured Data'!AT9)/'In Process Calc.'!$J5</f>
        <v>2.2658177908127399</v>
      </c>
      <c r="AN6" s="122">
        <f>((Regression!CN39-Regression!CN40)*1000+'Post Process Calc.'!AN5*'In Process Calc.'!$E6+'In Process Calc.'!$G5*'Measured Data'!AU9+'In Process Calc.'!$F5*'Measured Data'!AU9)/'In Process Calc.'!$J5</f>
        <v>5.6228113751954387</v>
      </c>
      <c r="AO6" s="122">
        <f>((Regression!CO39-Regression!CO40)*1000+'Post Process Calc.'!AO5*'In Process Calc.'!$E6+'In Process Calc.'!$G5*'Measured Data'!AV9+'In Process Calc.'!$F5*'Measured Data'!AV9)/'In Process Calc.'!$J5</f>
        <v>1.0692322148641846</v>
      </c>
      <c r="AP6" s="122">
        <f>((Regression!CP39-Regression!CP40)*1000+'Post Process Calc.'!AP5*'In Process Calc.'!$E6+'In Process Calc.'!$G5*'Measured Data'!AW9+'In Process Calc.'!$F5*'Measured Data'!AW9)/'In Process Calc.'!$J5</f>
        <v>0.94563914833570162</v>
      </c>
      <c r="AQ6" s="122">
        <f>((Regression!CQ39-Regression!CQ40)*1000+'Post Process Calc.'!AQ5*'In Process Calc.'!$E6+'In Process Calc.'!$G5*'Measured Data'!AX9+'In Process Calc.'!$F5*'Measured Data'!AX9)/'In Process Calc.'!$J5</f>
        <v>29.811528870759989</v>
      </c>
      <c r="AR6" s="122">
        <f>((Regression!CR39-Regression!CR40)*1000+'Post Process Calc.'!AR5*'In Process Calc.'!$E6+'In Process Calc.'!$G5*'Measured Data'!AY9+'In Process Calc.'!$F5*'Measured Data'!AY9)/'In Process Calc.'!$J5</f>
        <v>0.29537856026777837</v>
      </c>
      <c r="AS6" s="122">
        <f>((Regression!CS39-Regression!CS40)*1000+'Post Process Calc.'!AS5*'In Process Calc.'!$E6+'In Process Calc.'!$G5*'Measured Data'!AZ9+'In Process Calc.'!$F5*'Measured Data'!AZ9)/'In Process Calc.'!$J5</f>
        <v>8.2386355661958763</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-1.6224789333994005</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2.7349999977111819</v>
      </c>
      <c r="B7" s="115">
        <f>'Measured Data'!H11*'In Process Calc.'!E7/1000</f>
        <v>5.0898349957405102</v>
      </c>
      <c r="C7" s="295">
        <f>'Growth Regression'!$P6</f>
        <v>2.2630896243082663E-2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3.3385959438154305</v>
      </c>
      <c r="F7" s="115">
        <f xml:space="preserve"> (Regression!$CE$8*6*'In Process Calc.'!$C7^6+Regression!$CD$8*5*'In Process Calc.'!$C7^5+Regression!$CC$8*4*'In Process Calc.'!$C7^3+Regression!$CB$8*3*'In Process Calc.'!$C7^2  + Regression!$CA$8*2*'In Process Calc.'!$C7 + Regression!$BZ$8)/$A7</f>
        <v>-2.5371969818058906E-2</v>
      </c>
      <c r="G7" s="115">
        <f xml:space="preserve"> (Regression!$CE$9*6*'In Process Calc.'!$C7^6+Regression!$CD$9*5*'In Process Calc.'!$C7^5+Regression!$CC$9*4*'In Process Calc.'!$C7^3+Regression!$CB$9*3*'In Process Calc.'!$C7^2  + Regression!$CA$9*2*'In Process Calc.'!$C7 + Regression!$BZ$9)/$B7</f>
        <v>-2.424094763239769E-3</v>
      </c>
      <c r="H7" s="115">
        <f xml:space="preserve"> (Regression!$CE$10*6*'In Process Calc.'!$C7^6+Regression!$CD$10*5*'In Process Calc.'!$C7^5+Regression!$CC$10*4*'In Process Calc.'!$C7^3+Regression!$CB$10*3*'In Process Calc.'!$C7^2  + Regression!$CA$10*2*'In Process Calc.'!$C7 + Regression!$BZ$10)/$B7</f>
        <v>2.5607790631026299E-3</v>
      </c>
      <c r="I7" s="115">
        <f xml:space="preserve"> (Regression!$CE$11*6*'In Process Calc.'!$C7^6+Regression!$CD$11*5*'In Process Calc.'!$C7^5+Regression!$CC$11*4*'In Process Calc.'!$C7^3+Regression!$CB$11*3*'In Process Calc.'!$C7^2  + Regression!$CA$11*2*'In Process Calc.'!$C7 + Regression!$BZ$11)/$A7</f>
        <v>-1.1674545885499031E-2</v>
      </c>
      <c r="J7" s="115">
        <f>(Regression!$CE$12*6*'In Process Calc.'!$C7^6+Regression!$CD$12*5*'In Process Calc.'!$C7^5+Regression!$CC$12*4*'In Process Calc.'!$C7^3+Regression!$CB$12*3*'In Process Calc.'!$C7^2  + Regression!$CA$12*2*'In Process Calc.'!$C7 + Regression!$BZ$12)/$A7</f>
        <v>3.321676135659864E-3</v>
      </c>
      <c r="K7" s="115">
        <f xml:space="preserve"> (Regression!$CE$13*6*'In Process Calc.'!$C7^5+Regression!$CD$13*5*'In Process Calc.'!$C7^4+Regression!$CC$13*4*'In Process Calc.'!$C7^3+Regression!$CB$13*3*'In Process Calc.'!$C7^2  + Regression!$CA$13*2*'In Process Calc.'!$C7 + Regression!$BZ$13)/$A7</f>
        <v>7.1657987708768633E-2</v>
      </c>
      <c r="L7" s="115">
        <f xml:space="preserve"> (Regression!$CE$14*6*'In Process Calc.'!$C7^5+Regression!$CD$14*5*'In Process Calc.'!$C7^4+Regression!$CC$14*4*'In Process Calc.'!$C7^3+Regression!$CB$14*3*'In Process Calc.'!$C7^2  + Regression!$CA$14*2*'In Process Calc.'!$C7 + Regression!$BZ$14)/$B7</f>
        <v>-8.0897615215411237E-3</v>
      </c>
      <c r="M7" s="115">
        <f xml:space="preserve"> (Regression!$CE$15*6*'In Process Calc.'!$C7^6+Regression!$CD$15*5*'In Process Calc.'!$C7^5+Regression!$CC$15*4*'In Process Calc.'!$C7^3+Regression!$CB$15*3*'In Process Calc.'!$C7^2  + Regression!$CA$15*2*'In Process Calc.'!$C7 + Regression!$BZ$15)/$A7</f>
        <v>-4.7970594474886691E-2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3.2183198605669025E-2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-8.7053760488360749E-2</v>
      </c>
      <c r="AE7" s="115">
        <f xml:space="preserve"> (Regression!$CE$33*6*'In Process Calc.'!$C7^5+Regression!$CD$33*5*'In Process Calc.'!$C7^4+Regression!$CC$33*4*'In Process Calc.'!$C7^3 +Regression!$CB$33*3*'In Process Calc.'!$C7^2 + Regression!$CA$33*2*'In Process Calc.'!$C7 + Regression!$BZ$33)/$A7</f>
        <v>-0.11242573030641966</v>
      </c>
      <c r="AF7" s="115">
        <f xml:space="preserve"> (Regression!$CE$34*6*'In Process Calc.'!$C7^5+Regression!$CD$34*5*'In Process Calc.'!$C7^4+Regression!$CC$34*4*'In Process Calc.'!$C7^3 +Regression!$CB$34*3*'In Process Calc.'!$C7^2 + Regression!$CA$34*2*'In Process Calc.'!$C7 + Regression!$BZ$34)/$A7</f>
        <v>-0.2000997159789438</v>
      </c>
      <c r="AG7" s="116">
        <f t="shared" si="0"/>
        <v>0.44912227700933383</v>
      </c>
      <c r="AH7" s="116">
        <f t="shared" si="3"/>
        <v>0</v>
      </c>
      <c r="AI7" s="116">
        <f t="shared" si="1"/>
        <v>-0.11289406499132262</v>
      </c>
      <c r="AJ7" s="116">
        <f t="shared" si="2"/>
        <v>0</v>
      </c>
      <c r="AK7" s="76">
        <f>'In Process Calc.'!C7</f>
        <v>95.366666666697711</v>
      </c>
      <c r="AL7" s="122">
        <f>((Regression!CL40-Regression!CL41)*1000+'Post Process Calc.'!AL6*'In Process Calc.'!$E7+'In Process Calc.'!$G6*'Measured Data'!AS10+'In Process Calc.'!$F6*'Measured Data'!AS10)/'In Process Calc.'!$J6</f>
        <v>-0.20413739443853662</v>
      </c>
      <c r="AM7" s="122">
        <f>((Regression!CM40-Regression!CM41)*1000+'Post Process Calc.'!AM6*'In Process Calc.'!$E7+'In Process Calc.'!$G6*'Measured Data'!AT10+'In Process Calc.'!$F6*'Measured Data'!AT10)/'In Process Calc.'!$J6</f>
        <v>2.4145567018862173</v>
      </c>
      <c r="AN7" s="122">
        <f>((Regression!CN40-Regression!CN41)*1000+'Post Process Calc.'!AN6*'In Process Calc.'!$E7+'In Process Calc.'!$G6*'Measured Data'!AU10+'In Process Calc.'!$F6*'Measured Data'!AU10)/'In Process Calc.'!$J6</f>
        <v>5.5207771664359466</v>
      </c>
      <c r="AO7" s="122">
        <f>((Regression!CO40-Regression!CO41)*1000+'Post Process Calc.'!AO6*'In Process Calc.'!$E7+'In Process Calc.'!$G6*'Measured Data'!AV10+'In Process Calc.'!$F6*'Measured Data'!AV10)/'In Process Calc.'!$J6</f>
        <v>1.431914691518887</v>
      </c>
      <c r="AP7" s="122">
        <f>((Regression!CP40-Regression!CP41)*1000+'Post Process Calc.'!AP6*'In Process Calc.'!$E7+'In Process Calc.'!$G6*'Measured Data'!AW10+'In Process Calc.'!$F6*'Measured Data'!AW10)/'In Process Calc.'!$J6</f>
        <v>0.83483729435804965</v>
      </c>
      <c r="AQ7" s="122">
        <f>((Regression!CQ40-Regression!CQ41)*1000+'Post Process Calc.'!AQ6*'In Process Calc.'!$E7+'In Process Calc.'!$G6*'Measured Data'!AX10+'In Process Calc.'!$F6*'Measured Data'!AX10)/'In Process Calc.'!$J6</f>
        <v>27.481964778882755</v>
      </c>
      <c r="AR7" s="122">
        <f>((Regression!CR40-Regression!CR41)*1000+'Post Process Calc.'!AR6*'In Process Calc.'!$E7+'In Process Calc.'!$G6*'Measured Data'!AY10+'In Process Calc.'!$F6*'Measured Data'!AY10)/'In Process Calc.'!$J6</f>
        <v>0.65208312928870238</v>
      </c>
      <c r="AS7" s="122">
        <f>((Regression!CS40-Regression!CS41)*1000+'Post Process Calc.'!AS6*'In Process Calc.'!$E7+'In Process Calc.'!$G6*'Measured Data'!AZ10+'In Process Calc.'!$F6*'Measured Data'!AZ10)/'In Process Calc.'!$J6</f>
        <v>10.019930183658264</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-3.630718065625604</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4.0441001487731931</v>
      </c>
      <c r="B8" s="115">
        <f>'Measured Data'!H12*'In Process Calc.'!E8/1000</f>
        <v>7.5725026378343081</v>
      </c>
      <c r="C8" s="295">
        <f>'Growth Regression'!$P7</f>
        <v>2.0268260681068424E-2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3.3042979171676086</v>
      </c>
      <c r="F8" s="115">
        <f xml:space="preserve"> (Regression!$CE$8*6*'In Process Calc.'!$C8^6+Regression!$CD$8*5*'In Process Calc.'!$C8^5+Regression!$CC$8*4*'In Process Calc.'!$C8^3+Regression!$CB$8*3*'In Process Calc.'!$C8^2  + Regression!$CA$8*2*'In Process Calc.'!$C8 + Regression!$BZ$8)/$A8</f>
        <v>-2.1232211798841643E-2</v>
      </c>
      <c r="G8" s="115">
        <f xml:space="preserve"> (Regression!$CE$9*6*'In Process Calc.'!$C8^6+Regression!$CD$9*5*'In Process Calc.'!$C8^5+Regression!$CC$9*4*'In Process Calc.'!$C8^3+Regression!$CB$9*3*'In Process Calc.'!$C8^2  + Regression!$CA$9*2*'In Process Calc.'!$C8 + Regression!$BZ$9)/$B8</f>
        <v>-1.4335126007701579E-3</v>
      </c>
      <c r="H8" s="115">
        <f xml:space="preserve"> (Regression!$CE$10*6*'In Process Calc.'!$C8^6+Regression!$CD$10*5*'In Process Calc.'!$C8^5+Regression!$CC$10*4*'In Process Calc.'!$C8^3+Regression!$CB$10*3*'In Process Calc.'!$C8^2  + Regression!$CA$10*2*'In Process Calc.'!$C8 + Regression!$BZ$10)/$B8</f>
        <v>4.1171193990807891E-3</v>
      </c>
      <c r="I8" s="115">
        <f xml:space="preserve"> (Regression!$CE$11*6*'In Process Calc.'!$C8^6+Regression!$CD$11*5*'In Process Calc.'!$C8^5+Regression!$CC$11*4*'In Process Calc.'!$C8^3+Regression!$CB$11*3*'In Process Calc.'!$C8^2  + Regression!$CA$11*2*'In Process Calc.'!$C8 + Regression!$BZ$11)/$A8</f>
        <v>-7.9029694298539364E-3</v>
      </c>
      <c r="J8" s="115">
        <f>(Regression!$CE$12*6*'In Process Calc.'!$C8^6+Regression!$CD$12*5*'In Process Calc.'!$C8^5+Regression!$CC$12*4*'In Process Calc.'!$C8^3+Regression!$CB$12*3*'In Process Calc.'!$C8^2  + Regression!$CA$12*2*'In Process Calc.'!$C8 + Regression!$BZ$12)/$A8</f>
        <v>2.5873804463297555E-3</v>
      </c>
      <c r="K8" s="115">
        <f xml:space="preserve"> (Regression!$CE$13*6*'In Process Calc.'!$C8^5+Regression!$CD$13*5*'In Process Calc.'!$C8^4+Regression!$CC$13*4*'In Process Calc.'!$C8^3+Regression!$CB$13*3*'In Process Calc.'!$C8^2  + Regression!$CA$13*2*'In Process Calc.'!$C8 + Regression!$BZ$13)/$A8</f>
        <v>6.5145019234047877E-2</v>
      </c>
      <c r="L8" s="115">
        <f xml:space="preserve"> (Regression!$CE$14*6*'In Process Calc.'!$C8^5+Regression!$CD$14*5*'In Process Calc.'!$C8^4+Regression!$CC$14*4*'In Process Calc.'!$C8^3+Regression!$CB$14*3*'In Process Calc.'!$C8^2  + Regression!$CA$14*2*'In Process Calc.'!$C8 + Regression!$BZ$14)/$B8</f>
        <v>-7.7113372375799466E-3</v>
      </c>
      <c r="M8" s="115">
        <f xml:space="preserve"> (Regression!$CE$15*6*'In Process Calc.'!$C8^6+Regression!$CD$15*5*'In Process Calc.'!$C8^5+Regression!$CC$15*4*'In Process Calc.'!$C8^3+Regression!$CB$15*3*'In Process Calc.'!$C8^2  + Regression!$CA$15*2*'In Process Calc.'!$C8 + Regression!$BZ$15)/$A8</f>
        <v>-2.7279713004821314E-2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2.1061226621527995E-2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-4.9326766025046154E-2</v>
      </c>
      <c r="AE8" s="115">
        <f xml:space="preserve"> (Regression!$CE$33*6*'In Process Calc.'!$C8^5+Regression!$CD$33*5*'In Process Calc.'!$C8^4+Regression!$CC$33*4*'In Process Calc.'!$C8^3 +Regression!$CB$33*3*'In Process Calc.'!$C8^2 + Regression!$CA$33*2*'In Process Calc.'!$C8 + Regression!$BZ$33)/$A8</f>
        <v>-7.0558977823887814E-2</v>
      </c>
      <c r="AF8" s="115">
        <f xml:space="preserve"> (Regression!$CE$34*6*'In Process Calc.'!$C8^5+Regression!$CD$34*5*'In Process Calc.'!$C8^4+Regression!$CC$34*4*'In Process Calc.'!$C8^3 +Regression!$CB$34*3*'In Process Calc.'!$C8^2 + Regression!$CA$34*2*'In Process Calc.'!$C8 + Regression!$BZ$34)/$A8</f>
        <v>-8.171593745731133E-2</v>
      </c>
      <c r="AG8" s="116">
        <f t="shared" si="0"/>
        <v>0.32329757315537638</v>
      </c>
      <c r="AH8" s="116">
        <f t="shared" si="3"/>
        <v>0</v>
      </c>
      <c r="AI8" s="116">
        <f t="shared" si="1"/>
        <v>-0.11837186216608922</v>
      </c>
      <c r="AJ8" s="116">
        <f t="shared" si="2"/>
        <v>0</v>
      </c>
      <c r="AK8" s="76">
        <f>'In Process Calc.'!C8</f>
        <v>115.80000000010477</v>
      </c>
      <c r="AL8" s="122">
        <f>((Regression!CL41-Regression!CL42)*1000+'Post Process Calc.'!AL7*'In Process Calc.'!$E8+'In Process Calc.'!$G7*'Measured Data'!AS11+'In Process Calc.'!$F7*'Measured Data'!AS11)/'In Process Calc.'!$J7</f>
        <v>0.65418201951092447</v>
      </c>
      <c r="AM8" s="122">
        <f>((Regression!CM41-Regression!CM42)*1000+'Post Process Calc.'!AM7*'In Process Calc.'!$E8+'In Process Calc.'!$G7*'Measured Data'!AT11+'In Process Calc.'!$F7*'Measured Data'!AT11)/'In Process Calc.'!$J7</f>
        <v>2.5575328879046864</v>
      </c>
      <c r="AN8" s="122">
        <f>((Regression!CN41-Regression!CN42)*1000+'Post Process Calc.'!AN7*'In Process Calc.'!$E8+'In Process Calc.'!$G7*'Measured Data'!AU11+'In Process Calc.'!$F7*'Measured Data'!AU11)/'In Process Calc.'!$J7</f>
        <v>5.3148420951131694</v>
      </c>
      <c r="AO8" s="122">
        <f>((Regression!CO41-Regression!CO42)*1000+'Post Process Calc.'!AO7*'In Process Calc.'!$E8+'In Process Calc.'!$G7*'Measured Data'!AV11+'In Process Calc.'!$F7*'Measured Data'!AV11)/'In Process Calc.'!$J7</f>
        <v>1.7967711417535486</v>
      </c>
      <c r="AP8" s="122">
        <f>((Regression!CP41-Regression!CP42)*1000+'Post Process Calc.'!AP7*'In Process Calc.'!$E8+'In Process Calc.'!$G7*'Measured Data'!AW11+'In Process Calc.'!$F7*'Measured Data'!AW11)/'In Process Calc.'!$J7</f>
        <v>0.73207841742354651</v>
      </c>
      <c r="AQ8" s="122">
        <f>((Regression!CQ41-Regression!CQ42)*1000+'Post Process Calc.'!AQ7*'In Process Calc.'!$E8+'In Process Calc.'!$G7*'Measured Data'!AX11+'In Process Calc.'!$F7*'Measured Data'!AX11)/'In Process Calc.'!$J7</f>
        <v>25.135706697479421</v>
      </c>
      <c r="AR8" s="122">
        <f>((Regression!CR41-Regression!CR42)*1000+'Post Process Calc.'!AR7*'In Process Calc.'!$E8+'In Process Calc.'!$G7*'Measured Data'!AY11+'In Process Calc.'!$F7*'Measured Data'!AY11)/'In Process Calc.'!$J7</f>
        <v>1.2107827720272675</v>
      </c>
      <c r="AS8" s="122">
        <f>((Regression!CS41-Regression!CS42)*1000+'Post Process Calc.'!AS7*'In Process Calc.'!$E8+'In Process Calc.'!$G7*'Measured Data'!AZ11+'In Process Calc.'!$F7*'Measured Data'!AZ11)/'In Process Calc.'!$J7</f>
        <v>11.411358476731262</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-5.4483899665501472</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6.7267001701354987</v>
      </c>
      <c r="B9" s="115">
        <f>'Measured Data'!H13*'In Process Calc.'!E9/1000</f>
        <v>12.671608298275251</v>
      </c>
      <c r="C9" s="295">
        <f>'Growth Regression'!$P8</f>
        <v>1.6352391818789065E-2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2.6648762780417101</v>
      </c>
      <c r="F9" s="115">
        <f xml:space="preserve"> (Regression!$CE$8*6*'In Process Calc.'!$C9^6+Regression!$CD$8*5*'In Process Calc.'!$C9^5+Regression!$CC$8*4*'In Process Calc.'!$C9^3+Regression!$CB$8*3*'In Process Calc.'!$C9^2  + Regression!$CA$8*2*'In Process Calc.'!$C9 + Regression!$BZ$8)/$A9</f>
        <v>-1.4166458768869149E-2</v>
      </c>
      <c r="G9" s="115">
        <f xml:space="preserve"> (Regression!$CE$9*6*'In Process Calc.'!$C9^6+Regression!$CD$9*5*'In Process Calc.'!$C9^5+Regression!$CC$9*4*'In Process Calc.'!$C9^3+Regression!$CB$9*3*'In Process Calc.'!$C9^2  + Regression!$CA$9*2*'In Process Calc.'!$C9 + Regression!$BZ$9)/$B9</f>
        <v>-6.2326187671923677E-4</v>
      </c>
      <c r="H9" s="115">
        <f xml:space="preserve"> (Regression!$CE$10*6*'In Process Calc.'!$C9^6+Regression!$CD$10*5*'In Process Calc.'!$C9^5+Regression!$CC$10*4*'In Process Calc.'!$C9^3+Regression!$CB$10*3*'In Process Calc.'!$C9^2  + Regression!$CA$10*2*'In Process Calc.'!$C9 + Regression!$BZ$10)/$B9</f>
        <v>4.3902918478960426E-3</v>
      </c>
      <c r="I9" s="115">
        <f xml:space="preserve"> (Regression!$CE$11*6*'In Process Calc.'!$C9^6+Regression!$CD$11*5*'In Process Calc.'!$C9^5+Regression!$CC$11*4*'In Process Calc.'!$C9^3+Regression!$CB$11*3*'In Process Calc.'!$C9^2  + Regression!$CA$11*2*'In Process Calc.'!$C9 + Regression!$BZ$11)/$A9</f>
        <v>-3.754540503836726E-3</v>
      </c>
      <c r="J9" s="115">
        <f>(Regression!$CE$12*6*'In Process Calc.'!$C9^6+Regression!$CD$12*5*'In Process Calc.'!$C9^5+Regression!$CC$12*4*'In Process Calc.'!$C9^3+Regression!$CB$12*3*'In Process Calc.'!$C9^2  + Regression!$CA$12*2*'In Process Calc.'!$C9 + Regression!$BZ$12)/$A9</f>
        <v>1.6760986073800876E-3</v>
      </c>
      <c r="K9" s="115">
        <f xml:space="preserve"> (Regression!$CE$13*6*'In Process Calc.'!$C9^5+Regression!$CD$13*5*'In Process Calc.'!$C9^4+Regression!$CC$13*4*'In Process Calc.'!$C9^3+Regression!$CB$13*3*'In Process Calc.'!$C9^2  + Regression!$CA$13*2*'In Process Calc.'!$C9 + Regression!$BZ$13)/$A9</f>
        <v>5.2549552900225019E-2</v>
      </c>
      <c r="L9" s="115">
        <f xml:space="preserve"> (Regression!$CE$14*6*'In Process Calc.'!$C9^5+Regression!$CD$14*5*'In Process Calc.'!$C9^4+Regression!$CC$14*4*'In Process Calc.'!$C9^3+Regression!$CB$14*3*'In Process Calc.'!$C9^2  + Regression!$CA$14*2*'In Process Calc.'!$C9 + Regression!$BZ$14)/$B9</f>
        <v>-5.1343090476070278E-3</v>
      </c>
      <c r="M9" s="115">
        <f xml:space="preserve"> (Regression!$CE$15*6*'In Process Calc.'!$C9^6+Regression!$CD$15*5*'In Process Calc.'!$C9^5+Regression!$CC$15*4*'In Process Calc.'!$C9^3+Regression!$CB$15*3*'In Process Calc.'!$C9^2  + Regression!$CA$15*2*'In Process Calc.'!$C9 + Regression!$BZ$15)/$A9</f>
        <v>-1.1748072469746521E-2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9.741820091299553E-3</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-2.0286438972970292E-2</v>
      </c>
      <c r="AE9" s="115">
        <f xml:space="preserve"> (Regression!$CE$33*6*'In Process Calc.'!$C9^5+Regression!$CD$33*5*'In Process Calc.'!$C9^4+Regression!$CC$33*4*'In Process Calc.'!$C9^3 +Regression!$CB$33*3*'In Process Calc.'!$C9^2 + Regression!$CA$33*2*'In Process Calc.'!$C9 + Regression!$BZ$33)/$A9</f>
        <v>-3.4452897741839461E-2</v>
      </c>
      <c r="AF9" s="115">
        <f xml:space="preserve"> (Regression!$CE$34*6*'In Process Calc.'!$C9^5+Regression!$CD$34*5*'In Process Calc.'!$C9^4+Regression!$CC$34*4*'In Process Calc.'!$C9^3 +Regression!$CB$34*3*'In Process Calc.'!$C9^2 + Regression!$CA$34*2*'In Process Calc.'!$C9 + Regression!$BZ$34)/$A9</f>
        <v>-9.9655701306576583E-3</v>
      </c>
      <c r="AG9" s="116">
        <f t="shared" si="0"/>
        <v>0.18538350097471215</v>
      </c>
      <c r="AH9" s="116">
        <f t="shared" si="3"/>
        <v>0</v>
      </c>
      <c r="AI9" s="116">
        <f t="shared" si="1"/>
        <v>-9.7704143313178268E-2</v>
      </c>
      <c r="AJ9" s="116">
        <f t="shared" si="2"/>
        <v>0</v>
      </c>
      <c r="AK9" s="76">
        <f>'In Process Calc.'!C9</f>
        <v>141</v>
      </c>
      <c r="AL9" s="122">
        <f>((Regression!CL42-Regression!CL43)*1000+'Post Process Calc.'!AL8*'In Process Calc.'!$E9+'In Process Calc.'!$G8*'Measured Data'!AS12+'In Process Calc.'!$F8*'Measured Data'!AS12)/'In Process Calc.'!$J8</f>
        <v>1.8906381047127854</v>
      </c>
      <c r="AM9" s="122">
        <f>((Regression!CM42-Regression!CM43)*1000+'Post Process Calc.'!AM8*'In Process Calc.'!$E9+'In Process Calc.'!$G8*'Measured Data'!AT12+'In Process Calc.'!$F8*'Measured Data'!AT12)/'In Process Calc.'!$J8</f>
        <v>2.7005496671097284</v>
      </c>
      <c r="AN9" s="122">
        <f>((Regression!CN42-Regression!CN43)*1000+'Post Process Calc.'!AN8*'In Process Calc.'!$E9+'In Process Calc.'!$G8*'Measured Data'!AU12+'In Process Calc.'!$F8*'Measured Data'!AU12)/'In Process Calc.'!$J8</f>
        <v>4.7630200012819799</v>
      </c>
      <c r="AO9" s="122">
        <f>((Regression!CO42-Regression!CO43)*1000+'Post Process Calc.'!AO8*'In Process Calc.'!$E9+'In Process Calc.'!$G8*'Measured Data'!AV12+'In Process Calc.'!$F8*'Measured Data'!AV12)/'In Process Calc.'!$J8</f>
        <v>2.1995932104478033</v>
      </c>
      <c r="AP9" s="122">
        <f>((Regression!CP42-Regression!CP43)*1000+'Post Process Calc.'!AP8*'In Process Calc.'!$E9+'In Process Calc.'!$G8*'Measured Data'!AW12+'In Process Calc.'!$F8*'Measured Data'!AW12)/'In Process Calc.'!$J8</f>
        <v>0.58911565851086189</v>
      </c>
      <c r="AQ9" s="122">
        <f>((Regression!CQ42-Regression!CQ43)*1000+'Post Process Calc.'!AQ8*'In Process Calc.'!$E9+'In Process Calc.'!$G8*'Measured Data'!AX12+'In Process Calc.'!$F8*'Measured Data'!AX12)/'In Process Calc.'!$J8</f>
        <v>21.141070577547527</v>
      </c>
      <c r="AR9" s="122">
        <f>((Regression!CR42-Regression!CR43)*1000+'Post Process Calc.'!AR8*'In Process Calc.'!$E9+'In Process Calc.'!$G8*'Measured Data'!AY12+'In Process Calc.'!$F8*'Measured Data'!AY12)/'In Process Calc.'!$J8</f>
        <v>2.0688185112662913</v>
      </c>
      <c r="AS9" s="122">
        <f>((Regression!CS42-Regression!CS43)*1000+'Post Process Calc.'!AS8*'In Process Calc.'!$E9+'In Process Calc.'!$G8*'Measured Data'!AZ12+'In Process Calc.'!$F8*'Measured Data'!AZ12)/'In Process Calc.'!$J8</f>
        <v>12.761200709459185</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-7.4223403769198093</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9.945699555969238</v>
      </c>
      <c r="B10" s="115">
        <f>'Measured Data'!H14*'In Process Calc.'!E10/1000</f>
        <v>18.855204561903609</v>
      </c>
      <c r="C10" s="295">
        <f>'Growth Regression'!$P9</f>
        <v>1.2121238379291103E-2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2.1666540635460714</v>
      </c>
      <c r="F10" s="115">
        <f xml:space="preserve"> (Regression!$CE$8*6*'In Process Calc.'!$C10^6+Regression!$CD$8*5*'In Process Calc.'!$C10^5+Regression!$CC$8*4*'In Process Calc.'!$C10^3+Regression!$CB$8*3*'In Process Calc.'!$C10^2  + Regression!$CA$8*2*'In Process Calc.'!$C10 + Regression!$BZ$8)/$A10</f>
        <v>-9.371292437248541E-3</v>
      </c>
      <c r="G10" s="115">
        <f xml:space="preserve"> (Regression!$CE$9*6*'In Process Calc.'!$C10^6+Regression!$CD$9*5*'In Process Calc.'!$C10^5+Regression!$CC$9*4*'In Process Calc.'!$C10^3+Regression!$CB$9*3*'In Process Calc.'!$C10^2  + Regression!$CA$9*2*'In Process Calc.'!$C10 + Regression!$BZ$9)/$B10</f>
        <v>-2.1151789644756398E-4</v>
      </c>
      <c r="H10" s="115">
        <f xml:space="preserve"> (Regression!$CE$10*6*'In Process Calc.'!$C10^6+Regression!$CD$10*5*'In Process Calc.'!$C10^5+Regression!$CC$10*4*'In Process Calc.'!$C10^3+Regression!$CB$10*3*'In Process Calc.'!$C10^2  + Regression!$CA$10*2*'In Process Calc.'!$C10 + Regression!$BZ$10)/$B10</f>
        <v>4.0691404102983098E-3</v>
      </c>
      <c r="I10" s="115">
        <f xml:space="preserve"> (Regression!$CE$11*6*'In Process Calc.'!$C10^6+Regression!$CD$11*5*'In Process Calc.'!$C10^5+Regression!$CC$11*4*'In Process Calc.'!$C10^3+Regression!$CB$11*3*'In Process Calc.'!$C10^2  + Regression!$CA$11*2*'In Process Calc.'!$C10 + Regression!$BZ$11)/$A10</f>
        <v>-1.4613276959805123E-3</v>
      </c>
      <c r="J10" s="115">
        <f>(Regression!$CE$12*6*'In Process Calc.'!$C10^6+Regression!$CD$12*5*'In Process Calc.'!$C10^5+Regression!$CC$12*4*'In Process Calc.'!$C10^3+Regression!$CB$12*3*'In Process Calc.'!$C10^2  + Regression!$CA$12*2*'In Process Calc.'!$C10 + Regression!$BZ$12)/$A10</f>
        <v>1.1202908606640974E-3</v>
      </c>
      <c r="K10" s="115">
        <f xml:space="preserve"> (Regression!$CE$13*6*'In Process Calc.'!$C10^5+Regression!$CD$13*5*'In Process Calc.'!$C10^4+Regression!$CC$13*4*'In Process Calc.'!$C10^3+Regression!$CB$13*3*'In Process Calc.'!$C10^2  + Regression!$CA$13*2*'In Process Calc.'!$C10 + Regression!$BZ$13)/$A10</f>
        <v>4.4157204002955426E-2</v>
      </c>
      <c r="L10" s="115">
        <f xml:space="preserve"> (Regression!$CE$14*6*'In Process Calc.'!$C10^5+Regression!$CD$14*5*'In Process Calc.'!$C10^4+Regression!$CC$14*4*'In Process Calc.'!$C10^3+Regression!$CB$14*3*'In Process Calc.'!$C10^2  + Regression!$CA$14*2*'In Process Calc.'!$C10 + Regression!$BZ$14)/$B10</f>
        <v>-2.930538987917751E-3</v>
      </c>
      <c r="M10" s="115">
        <f xml:space="preserve"> (Regression!$CE$15*6*'In Process Calc.'!$C10^6+Regression!$CD$15*5*'In Process Calc.'!$C10^5+Regression!$CC$15*4*'In Process Calc.'!$C10^3+Regression!$CB$15*3*'In Process Calc.'!$C10^2  + Regression!$CA$15*2*'In Process Calc.'!$C10 + Regression!$BZ$15)/$A10</f>
        <v>-4.4321360983902479E-3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3.290574235022793E-3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-6.2176465850440118E-3</v>
      </c>
      <c r="AE10" s="115">
        <f xml:space="preserve"> (Regression!$CE$33*6*'In Process Calc.'!$C10^5+Regression!$CD$33*5*'In Process Calc.'!$C10^4+Regression!$CC$33*4*'In Process Calc.'!$C10^3 +Regression!$CB$33*3*'In Process Calc.'!$C10^2 + Regression!$CA$33*2*'In Process Calc.'!$C10 + Regression!$BZ$33)/$A10</f>
        <v>-1.5588939022292563E-2</v>
      </c>
      <c r="AF10" s="115">
        <f xml:space="preserve"> (Regression!$CE$34*6*'In Process Calc.'!$C10^5+Regression!$CD$34*5*'In Process Calc.'!$C10^4+Regression!$CC$34*4*'In Process Calc.'!$C10^3 +Regression!$CB$34*3*'In Process Calc.'!$C10^2 + Regression!$CA$34*2*'In Process Calc.'!$C10 + Regression!$BZ$34)/$A10</f>
        <v>1.7718789302747121E-2</v>
      </c>
      <c r="AG10" s="116">
        <f t="shared" si="0"/>
        <v>7.451953332014763E-2</v>
      </c>
      <c r="AH10" s="116">
        <f t="shared" si="3"/>
        <v>0</v>
      </c>
      <c r="AI10" s="116">
        <f t="shared" si="1"/>
        <v>-6.6366044999624771E-2</v>
      </c>
      <c r="AJ10" s="116">
        <f t="shared" si="2"/>
        <v>0</v>
      </c>
      <c r="AK10" s="76">
        <f>'In Process Calc.'!C10</f>
        <v>164.65000000008149</v>
      </c>
      <c r="AL10" s="122">
        <f>((Regression!CL43-Regression!CL44)*1000+'Post Process Calc.'!AL9*'In Process Calc.'!$E10+'In Process Calc.'!$G9*'Measured Data'!AS13+'In Process Calc.'!$F9*'Measured Data'!AS13)/'In Process Calc.'!$J9</f>
        <v>3.0970512622070809</v>
      </c>
      <c r="AM10" s="122">
        <f>((Regression!CM43-Regression!CM44)*1000+'Post Process Calc.'!AM9*'In Process Calc.'!$E10+'In Process Calc.'!$G9*'Measured Data'!AT13+'In Process Calc.'!$F9*'Measured Data'!AT13)/'In Process Calc.'!$J9</f>
        <v>2.7935657796130364</v>
      </c>
      <c r="AN10" s="122">
        <f>((Regression!CN43-Regression!CN44)*1000+'Post Process Calc.'!AN9*'In Process Calc.'!$E10+'In Process Calc.'!$G9*'Measured Data'!AU13+'In Process Calc.'!$F9*'Measured Data'!AU13)/'In Process Calc.'!$J9</f>
        <v>3.9585958957414462</v>
      </c>
      <c r="AO10" s="122">
        <f>((Regression!CO43-Regression!CO44)*1000+'Post Process Calc.'!AO9*'In Process Calc.'!$E10+'In Process Calc.'!$G9*'Measured Data'!AV13+'In Process Calc.'!$F9*'Measured Data'!AV13)/'In Process Calc.'!$J9</f>
        <v>2.466636639713387</v>
      </c>
      <c r="AP10" s="122">
        <f>((Regression!CP43-Regression!CP44)*1000+'Post Process Calc.'!AP9*'In Process Calc.'!$E10+'In Process Calc.'!$G9*'Measured Data'!AW13+'In Process Calc.'!$F9*'Measured Data'!AW13)/'In Process Calc.'!$J9</f>
        <v>0.45125891127996703</v>
      </c>
      <c r="AQ10" s="122">
        <f>((Regression!CQ43-Regression!CQ44)*1000+'Post Process Calc.'!AQ9*'In Process Calc.'!$E10+'In Process Calc.'!$G9*'Measured Data'!AX13+'In Process Calc.'!$F9*'Measured Data'!AX13)/'In Process Calc.'!$J9</f>
        <v>16.298559388478697</v>
      </c>
      <c r="AR10" s="122">
        <f>((Regression!CR43-Regression!CR44)*1000+'Post Process Calc.'!AR9*'In Process Calc.'!$E10+'In Process Calc.'!$G9*'Measured Data'!AY13+'In Process Calc.'!$F9*'Measured Data'!AY13)/'In Process Calc.'!$J9</f>
        <v>2.8527272321877097</v>
      </c>
      <c r="AS10" s="122">
        <f>((Regression!CS43-Regression!CS44)*1000+'Post Process Calc.'!AS9*'In Process Calc.'!$E10+'In Process Calc.'!$G9*'Measured Data'!AZ13+'In Process Calc.'!$F9*'Measured Data'!AZ13)/'In Process Calc.'!$J9</f>
        <v>13.621162834406105</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-8.658598068170809</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12.503599984741211</v>
      </c>
      <c r="B11" s="115">
        <f>'Measured Data'!H15*'In Process Calc.'!E11/1000</f>
        <v>24.018952474392137</v>
      </c>
      <c r="C11" s="295">
        <f>'Growth Regression'!$P10</f>
        <v>8.029119649252462E-3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1.9687155750685648</v>
      </c>
      <c r="F11" s="115">
        <f xml:space="preserve"> (Regression!$CE$8*6*'In Process Calc.'!$C11^6+Regression!$CD$8*5*'In Process Calc.'!$C11^5+Regression!$CC$8*4*'In Process Calc.'!$C11^3+Regression!$CB$8*3*'In Process Calc.'!$C11^2  + Regression!$CA$8*2*'In Process Calc.'!$C11 + Regression!$BZ$8)/$A11</f>
        <v>-6.3950624334056429E-3</v>
      </c>
      <c r="G11" s="115">
        <f xml:space="preserve"> (Regression!$CE$9*6*'In Process Calc.'!$C11^6+Regression!$CD$9*5*'In Process Calc.'!$C11^5+Regression!$CC$9*4*'In Process Calc.'!$C11^3+Regression!$CB$9*3*'In Process Calc.'!$C11^2  + Regression!$CA$9*2*'In Process Calc.'!$C11 + Regression!$BZ$9)/$B11</f>
        <v>4.9628592869793582E-5</v>
      </c>
      <c r="H11" s="115">
        <f xml:space="preserve"> (Regression!$CE$10*6*'In Process Calc.'!$C11^6+Regression!$CD$10*5*'In Process Calc.'!$C11^5+Regression!$CC$10*4*'In Process Calc.'!$C11^3+Regression!$CB$10*3*'In Process Calc.'!$C11^2  + Regression!$CA$10*2*'In Process Calc.'!$C11 + Regression!$BZ$10)/$B11</f>
        <v>3.8451364505081302E-3</v>
      </c>
      <c r="I11" s="115">
        <f xml:space="preserve"> (Regression!$CE$11*6*'In Process Calc.'!$C11^6+Regression!$CD$11*5*'In Process Calc.'!$C11^5+Regression!$CC$11*4*'In Process Calc.'!$C11^3+Regression!$CB$11*3*'In Process Calc.'!$C11^2  + Regression!$CA$11*2*'In Process Calc.'!$C11 + Regression!$BZ$11)/$A11</f>
        <v>-1.2007641469649164E-4</v>
      </c>
      <c r="J11" s="115">
        <f>(Regression!$CE$12*6*'In Process Calc.'!$C11^6+Regression!$CD$12*5*'In Process Calc.'!$C11^5+Regression!$CC$12*4*'In Process Calc.'!$C11^3+Regression!$CB$12*3*'In Process Calc.'!$C11^2  + Regression!$CA$12*2*'In Process Calc.'!$C11 + Regression!$BZ$12)/$A11</f>
        <v>8.0772592898223589E-4</v>
      </c>
      <c r="K11" s="115">
        <f xml:space="preserve"> (Regression!$CE$13*6*'In Process Calc.'!$C11^5+Regression!$CD$13*5*'In Process Calc.'!$C11^4+Regression!$CC$13*4*'In Process Calc.'!$C11^3+Regression!$CB$13*3*'In Process Calc.'!$C11^2  + Regression!$CA$13*2*'In Process Calc.'!$C11 + Regression!$BZ$13)/$A11</f>
        <v>4.1801149985527301E-2</v>
      </c>
      <c r="L11" s="115">
        <f xml:space="preserve"> (Regression!$CE$14*6*'In Process Calc.'!$C11^5+Regression!$CD$14*5*'In Process Calc.'!$C11^4+Regression!$CC$14*4*'In Process Calc.'!$C11^3+Regression!$CB$14*3*'In Process Calc.'!$C11^2  + Regression!$CA$14*2*'In Process Calc.'!$C11 + Regression!$BZ$14)/$B11</f>
        <v>-1.3336973026113314E-3</v>
      </c>
      <c r="M11" s="115">
        <f xml:space="preserve"> (Regression!$CE$15*6*'In Process Calc.'!$C11^6+Regression!$CD$15*5*'In Process Calc.'!$C11^5+Regression!$CC$15*4*'In Process Calc.'!$C11^3+Regression!$CB$15*3*'In Process Calc.'!$C11^2  + Regression!$CA$15*2*'In Process Calc.'!$C11 + Regression!$BZ$15)/$A11</f>
        <v>-1.9205675361797805E-4</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-8.4527404757693807E-4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2.462233707252849E-3</v>
      </c>
      <c r="AE11" s="115">
        <f xml:space="preserve"> (Regression!$CE$33*6*'In Process Calc.'!$C11^5+Regression!$CD$33*5*'In Process Calc.'!$C11^4+Regression!$CC$33*4*'In Process Calc.'!$C11^3 +Regression!$CB$33*3*'In Process Calc.'!$C11^2 + Regression!$CA$33*2*'In Process Calc.'!$C11 + Regression!$BZ$33)/$A11</f>
        <v>-3.9328287261528013E-3</v>
      </c>
      <c r="AF11" s="115">
        <f xml:space="preserve"> (Regression!$CE$34*6*'In Process Calc.'!$C11^5+Regression!$CD$34*5*'In Process Calc.'!$C11^4+Regression!$CC$34*4*'In Process Calc.'!$C11^3 +Regression!$CB$34*3*'In Process Calc.'!$C11^2 + Regression!$CA$34*2*'In Process Calc.'!$C11 + Regression!$BZ$34)/$A11</f>
        <v>3.3830859763016127E-2</v>
      </c>
      <c r="AG11" s="116">
        <f t="shared" si="0"/>
        <v>-2.0221310845983782E-2</v>
      </c>
      <c r="AH11" s="116">
        <f t="shared" si="3"/>
        <v>0</v>
      </c>
      <c r="AI11" s="116">
        <f t="shared" si="1"/>
        <v>-3.1905756254866045E-2</v>
      </c>
      <c r="AJ11" s="116">
        <f t="shared" si="2"/>
        <v>0</v>
      </c>
      <c r="AK11" s="76">
        <f>'In Process Calc.'!C11</f>
        <v>189.03333333326736</v>
      </c>
      <c r="AL11" s="122">
        <f>((Regression!CL44-Regression!CL45)*1000+'Post Process Calc.'!AL10*'In Process Calc.'!$E11+'In Process Calc.'!$G10*'Measured Data'!AS14+'In Process Calc.'!$F10*'Measured Data'!AS14)/'In Process Calc.'!$J10</f>
        <v>4.2637974382416086</v>
      </c>
      <c r="AM11" s="122">
        <f>((Regression!CM44-Regression!CM45)*1000+'Post Process Calc.'!AM10*'In Process Calc.'!$E11+'In Process Calc.'!$G10*'Measured Data'!AT14+'In Process Calc.'!$F10*'Measured Data'!AT14)/'In Process Calc.'!$J10</f>
        <v>2.8498553246450391</v>
      </c>
      <c r="AN11" s="122">
        <f>((Regression!CN44-Regression!CN45)*1000+'Post Process Calc.'!AN10*'In Process Calc.'!$E11+'In Process Calc.'!$G10*'Measured Data'!AU14+'In Process Calc.'!$F10*'Measured Data'!AU14)/'In Process Calc.'!$J10</f>
        <v>2.9148709200717957</v>
      </c>
      <c r="AO11" s="122">
        <f>((Regression!CO44-Regression!CO45)*1000+'Post Process Calc.'!AO10*'In Process Calc.'!$E11+'In Process Calc.'!$G10*'Measured Data'!AV14+'In Process Calc.'!$F10*'Measured Data'!AV14)/'In Process Calc.'!$J10</f>
        <v>2.6032921183312894</v>
      </c>
      <c r="AP11" s="122">
        <f>((Regression!CP44-Regression!CP45)*1000+'Post Process Calc.'!AP10*'In Process Calc.'!$E11+'In Process Calc.'!$G10*'Measured Data'!AW14+'In Process Calc.'!$F10*'Measured Data'!AW14)/'In Process Calc.'!$J10</f>
        <v>0.31965818190815393</v>
      </c>
      <c r="AQ11" s="122">
        <f>((Regression!CQ44-Regression!CQ45)*1000+'Post Process Calc.'!AQ10*'In Process Calc.'!$E11+'In Process Calc.'!$G10*'Measured Data'!AX14+'In Process Calc.'!$F10*'Measured Data'!AX14)/'In Process Calc.'!$J10</f>
        <v>10.32082040619561</v>
      </c>
      <c r="AR11" s="122">
        <f>((Regression!CR44-Regression!CR45)*1000+'Post Process Calc.'!AR10*'In Process Calc.'!$E11+'In Process Calc.'!$G10*'Measured Data'!AY14+'In Process Calc.'!$F10*'Measured Data'!AY14)/'In Process Calc.'!$J10</f>
        <v>3.4632013297510267</v>
      </c>
      <c r="AS11" s="122">
        <f>((Regression!CS44-Regression!CS45)*1000+'Post Process Calc.'!AS10*'In Process Calc.'!$E11+'In Process Calc.'!$G10*'Measured Data'!AZ14+'In Process Calc.'!$F10*'Measured Data'!AZ14)/'In Process Calc.'!$J10</f>
        <v>14.106916157233689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-9.055967252150225</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15.666299684143066</v>
      </c>
      <c r="B12" s="115">
        <f>'Measured Data'!H16*'In Process Calc.'!E12/1000</f>
        <v>30.060582868931959</v>
      </c>
      <c r="C12" s="295">
        <f>'Growth Regression'!$P11</f>
        <v>4.910763698539748E-3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1.7214131266917736</v>
      </c>
      <c r="F12" s="115">
        <f xml:space="preserve"> (Regression!$CE$8*6*'In Process Calc.'!$C12^6+Regression!$CD$8*5*'In Process Calc.'!$C12^5+Regression!$CC$8*4*'In Process Calc.'!$C12^3+Regression!$CB$8*3*'In Process Calc.'!$C12^2  + Regression!$CA$8*2*'In Process Calc.'!$C12 + Regression!$BZ$8)/$A12</f>
        <v>-3.5741959131809398E-3</v>
      </c>
      <c r="G12" s="115">
        <f xml:space="preserve"> (Regression!$CE$9*6*'In Process Calc.'!$C12^6+Regression!$CD$9*5*'In Process Calc.'!$C12^5+Regression!$CC$9*4*'In Process Calc.'!$C12^3+Regression!$CB$9*3*'In Process Calc.'!$C12^2  + Regression!$CA$9*2*'In Process Calc.'!$C12 + Regression!$BZ$9)/$B12</f>
        <v>2.4671264554532277E-4</v>
      </c>
      <c r="H12" s="115">
        <f xml:space="preserve"> (Regression!$CE$10*6*'In Process Calc.'!$C12^6+Regression!$CD$10*5*'In Process Calc.'!$C12^5+Regression!$CC$10*4*'In Process Calc.'!$C12^3+Regression!$CB$10*3*'In Process Calc.'!$C12^2  + Regression!$CA$10*2*'In Process Calc.'!$C12 + Regression!$BZ$10)/$B12</f>
        <v>3.24532621318559E-3</v>
      </c>
      <c r="I12" s="115">
        <f xml:space="preserve"> (Regression!$CE$11*6*'In Process Calc.'!$C12^6+Regression!$CD$11*5*'In Process Calc.'!$C12^5+Regression!$CC$11*4*'In Process Calc.'!$C12^3+Regression!$CB$11*3*'In Process Calc.'!$C12^2  + Regression!$CA$11*2*'In Process Calc.'!$C12 + Regression!$BZ$11)/$A12</f>
        <v>6.9029737870183029E-4</v>
      </c>
      <c r="J12" s="115">
        <f>(Regression!$CE$12*6*'In Process Calc.'!$C12^6+Regression!$CD$12*5*'In Process Calc.'!$C12^5+Regression!$CC$12*4*'In Process Calc.'!$C12^3+Regression!$CB$12*3*'In Process Calc.'!$C12^2  + Regression!$CA$12*2*'In Process Calc.'!$C12 + Regression!$BZ$12)/$A12</f>
        <v>5.221405585821348E-4</v>
      </c>
      <c r="K12" s="115">
        <f xml:space="preserve"> (Regression!$CE$13*6*'In Process Calc.'!$C12^5+Regression!$CD$13*5*'In Process Calc.'!$C12^4+Regression!$CC$13*4*'In Process Calc.'!$C12^3+Regression!$CB$13*3*'In Process Calc.'!$C12^2  + Regression!$CA$13*2*'In Process Calc.'!$C12 + Regression!$BZ$13)/$A12</f>
        <v>3.791441420650872E-2</v>
      </c>
      <c r="L12" s="115">
        <f xml:space="preserve"> (Regression!$CE$14*6*'In Process Calc.'!$C12^5+Regression!$CD$14*5*'In Process Calc.'!$C12^4+Regression!$CC$14*4*'In Process Calc.'!$C12^3+Regression!$CB$14*3*'In Process Calc.'!$C12^2  + Regression!$CA$14*2*'In Process Calc.'!$C12 + Regression!$BZ$14)/$B12</f>
        <v>-8.7606768564061542E-5</v>
      </c>
      <c r="M12" s="115">
        <f xml:space="preserve"> (Regression!$CE$15*6*'In Process Calc.'!$C12^6+Regression!$CD$15*5*'In Process Calc.'!$C12^5+Regression!$CC$15*4*'In Process Calc.'!$C12^3+Regression!$CB$15*3*'In Process Calc.'!$C12^2  + Regression!$CA$15*2*'In Process Calc.'!$C12 + Regression!$BZ$15)/$A12</f>
        <v>2.8163690574395223E-3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-3.5232107501196523E-3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8.7623461813881361E-3</v>
      </c>
      <c r="AE12" s="115">
        <f xml:space="preserve"> (Regression!$CE$33*6*'In Process Calc.'!$C12^5+Regression!$CD$33*5*'In Process Calc.'!$C12^4+Regression!$CC$33*4*'In Process Calc.'!$C12^3 +Regression!$CB$33*3*'In Process Calc.'!$C12^2 + Regression!$CA$33*2*'In Process Calc.'!$C12 + Regression!$BZ$33)/$A12</f>
        <v>5.1881502682071977E-3</v>
      </c>
      <c r="AF12" s="115">
        <f xml:space="preserve"> (Regression!$CE$34*6*'In Process Calc.'!$C12^5+Regression!$CD$34*5*'In Process Calc.'!$C12^4+Regression!$CC$34*4*'In Process Calc.'!$C12^3 +Regression!$CB$34*3*'In Process Calc.'!$C12^2 + Regression!$CA$34*2*'In Process Calc.'!$C12 + Regression!$BZ$34)/$A12</f>
        <v>4.2219800053510538E-2</v>
      </c>
      <c r="AG12" s="116">
        <f t="shared" si="0"/>
        <v>-9.2925364240886182E-2</v>
      </c>
      <c r="AH12" s="116">
        <f t="shared" si="3"/>
        <v>0</v>
      </c>
      <c r="AI12" s="116">
        <f t="shared" si="1"/>
        <v>-2.3106454470559167E-3</v>
      </c>
      <c r="AJ12" s="116">
        <f t="shared" si="2"/>
        <v>0</v>
      </c>
      <c r="AK12" s="76">
        <f>'In Process Calc.'!C12</f>
        <v>212.98333333327901</v>
      </c>
      <c r="AL12" s="122">
        <f>((Regression!CL45-Regression!CL46)*1000+'Post Process Calc.'!AL11*'In Process Calc.'!$E12+'In Process Calc.'!$G11*'Measured Data'!AS15+'In Process Calc.'!$F11*'Measured Data'!AS15)/'In Process Calc.'!$J11</f>
        <v>5.1178213205292549</v>
      </c>
      <c r="AM12" s="122">
        <f>((Regression!CM45-Regression!CM46)*1000+'Post Process Calc.'!AM11*'In Process Calc.'!$E12+'In Process Calc.'!$G11*'Measured Data'!AT15+'In Process Calc.'!$F11*'Measured Data'!AT15)/'In Process Calc.'!$J11</f>
        <v>2.7941613072304929</v>
      </c>
      <c r="AN12" s="122">
        <f>((Regression!CN45-Regression!CN46)*1000+'Post Process Calc.'!AN11*'In Process Calc.'!$E12+'In Process Calc.'!$G11*'Measured Data'!AU15+'In Process Calc.'!$F11*'Measured Data'!AU15)/'In Process Calc.'!$J11</f>
        <v>1.7151181354077956</v>
      </c>
      <c r="AO12" s="122">
        <f>((Regression!CO45-Regression!CO46)*1000+'Post Process Calc.'!AO11*'In Process Calc.'!$E12+'In Process Calc.'!$G11*'Measured Data'!AV15+'In Process Calc.'!$F11*'Measured Data'!AV15)/'In Process Calc.'!$J11</f>
        <v>2.5405436702936317</v>
      </c>
      <c r="AP12" s="122">
        <f>((Regression!CP45-Regression!CP46)*1000+'Post Process Calc.'!AP11*'In Process Calc.'!$E12+'In Process Calc.'!$G11*'Measured Data'!AW15+'In Process Calc.'!$F11*'Measured Data'!AW15)/'In Process Calc.'!$J11</f>
        <v>0.20442555278163929</v>
      </c>
      <c r="AQ12" s="122">
        <f>((Regression!CQ45-Regression!CQ46)*1000+'Post Process Calc.'!AQ11*'In Process Calc.'!$E12+'In Process Calc.'!$G11*'Measured Data'!AX15+'In Process Calc.'!$F11*'Measured Data'!AX15)/'In Process Calc.'!$J11</f>
        <v>3.3341630974809684</v>
      </c>
      <c r="AR12" s="122">
        <f>((Regression!CR45-Regression!CR46)*1000+'Post Process Calc.'!AR11*'In Process Calc.'!$E12+'In Process Calc.'!$G11*'Measured Data'!AY15+'In Process Calc.'!$F11*'Measured Data'!AY15)/'In Process Calc.'!$J11</f>
        <v>3.6781700568503197</v>
      </c>
      <c r="AS12" s="122">
        <f>((Regression!CS45-Regression!CS46)*1000+'Post Process Calc.'!AS11*'In Process Calc.'!$E12+'In Process Calc.'!$G11*'Measured Data'!AZ15+'In Process Calc.'!$F11*'Measured Data'!AZ15)/'In Process Calc.'!$J11</f>
        <v>13.836742847832417</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-8.2547690847381698</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16.470799310302734</v>
      </c>
      <c r="B13" s="115">
        <f>'Measured Data'!H17*'In Process Calc.'!E13/1000</f>
        <v>30.681896459672551</v>
      </c>
      <c r="C13" s="295">
        <f>'Growth Regression'!$P12</f>
        <v>2.7441330068173207E-3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1.7444034793051153</v>
      </c>
      <c r="F13" s="115">
        <f xml:space="preserve"> (Regression!$CE$8*6*'In Process Calc.'!$C13^6+Regression!$CD$8*5*'In Process Calc.'!$C13^5+Regression!$CC$8*4*'In Process Calc.'!$C13^3+Regression!$CB$8*3*'In Process Calc.'!$C13^2  + Regression!$CA$8*2*'In Process Calc.'!$C13 + Regression!$BZ$8)/$A13</f>
        <v>-1.1652344887837774E-3</v>
      </c>
      <c r="G13" s="115">
        <f xml:space="preserve"> (Regression!$CE$9*6*'In Process Calc.'!$C13^6+Regression!$CD$9*5*'In Process Calc.'!$C13^5+Regression!$CC$9*4*'In Process Calc.'!$C13^3+Regression!$CB$9*3*'In Process Calc.'!$C13^2  + Regression!$CA$9*2*'In Process Calc.'!$C13 + Regression!$BZ$9)/$B13</f>
        <v>4.9388630130191562E-4</v>
      </c>
      <c r="H13" s="115">
        <f xml:space="preserve"> (Regression!$CE$10*6*'In Process Calc.'!$C13^6+Regression!$CD$10*5*'In Process Calc.'!$C13^5+Regression!$CC$10*4*'In Process Calc.'!$C13^3+Regression!$CB$10*3*'In Process Calc.'!$C13^2  + Regression!$CA$10*2*'In Process Calc.'!$C13 + Regression!$BZ$10)/$B13</f>
        <v>2.8595167128545669E-3</v>
      </c>
      <c r="I13" s="115">
        <f xml:space="preserve"> (Regression!$CE$11*6*'In Process Calc.'!$C13^6+Regression!$CD$11*5*'In Process Calc.'!$C13^5+Regression!$CC$11*4*'In Process Calc.'!$C13^3+Regression!$CB$11*3*'In Process Calc.'!$C13^2  + Regression!$CA$11*2*'In Process Calc.'!$C13 + Regression!$BZ$11)/$A13</f>
        <v>1.2484241344287452E-3</v>
      </c>
      <c r="J13" s="115">
        <f>(Regression!$CE$12*6*'In Process Calc.'!$C13^6+Regression!$CD$12*5*'In Process Calc.'!$C13^5+Regression!$CC$12*4*'In Process Calc.'!$C13^3+Regression!$CB$12*3*'In Process Calc.'!$C13^2  + Regression!$CA$12*2*'In Process Calc.'!$C13 + Regression!$BZ$12)/$A13</f>
        <v>3.1654602679736979E-4</v>
      </c>
      <c r="K13" s="115">
        <f xml:space="preserve"> (Regression!$CE$13*6*'In Process Calc.'!$C13^5+Regression!$CD$13*5*'In Process Calc.'!$C13^4+Regression!$CC$13*4*'In Process Calc.'!$C13^3+Regression!$CB$13*3*'In Process Calc.'!$C13^2  + Regression!$CA$13*2*'In Process Calc.'!$C13 + Regression!$BZ$13)/$A13</f>
        <v>3.9523240928229945E-2</v>
      </c>
      <c r="L13" s="115">
        <f xml:space="preserve"> (Regression!$CE$14*6*'In Process Calc.'!$C13^5+Regression!$CD$14*5*'In Process Calc.'!$C13^4+Regression!$CC$14*4*'In Process Calc.'!$C13^3+Regression!$CB$14*3*'In Process Calc.'!$C13^2  + Regression!$CA$14*2*'In Process Calc.'!$C13 + Regression!$BZ$14)/$B13</f>
        <v>8.5858801908902797E-4</v>
      </c>
      <c r="M13" s="115">
        <f xml:space="preserve"> (Regression!$CE$15*6*'In Process Calc.'!$C13^6+Regression!$CD$15*5*'In Process Calc.'!$C13^5+Regression!$CC$15*4*'In Process Calc.'!$C13^3+Regression!$CB$15*3*'In Process Calc.'!$C13^2  + Regression!$CA$15*2*'In Process Calc.'!$C13 + Regression!$BZ$15)/$A13</f>
        <v>6.0019955543282304E-3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-5.8502441791246553E-3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1.6116821080749359E-2</v>
      </c>
      <c r="AE13" s="115">
        <f xml:space="preserve"> (Regression!$CE$33*6*'In Process Calc.'!$C13^5+Regression!$CD$33*5*'In Process Calc.'!$C13^4+Regression!$CC$33*4*'In Process Calc.'!$C13^3 +Regression!$CB$33*3*'In Process Calc.'!$C13^2 + Regression!$CA$33*2*'In Process Calc.'!$C13 + Regression!$BZ$33)/$A13</f>
        <v>1.495158659196558E-2</v>
      </c>
      <c r="AF13" s="115">
        <f xml:space="preserve"> (Regression!$CE$34*6*'In Process Calc.'!$C13^5+Regression!$CD$34*5*'In Process Calc.'!$C13^4+Regression!$CC$34*4*'In Process Calc.'!$C13^3 +Regression!$CB$34*3*'In Process Calc.'!$C13^2 + Regression!$CA$34*2*'In Process Calc.'!$C13 + Regression!$BZ$34)/$A13</f>
        <v>5.5081125289983143E-2</v>
      </c>
      <c r="AG13" s="116">
        <f t="shared" si="0"/>
        <v>-0.14802035566233257</v>
      </c>
      <c r="AH13" s="116">
        <f t="shared" si="3"/>
        <v>0</v>
      </c>
      <c r="AI13" s="116">
        <f t="shared" si="1"/>
        <v>2.1723623845730001E-2</v>
      </c>
      <c r="AJ13" s="116">
        <f t="shared" si="2"/>
        <v>0</v>
      </c>
      <c r="AK13" s="76">
        <f>'In Process Calc.'!C13</f>
        <v>238.10000000009313</v>
      </c>
      <c r="AL13" s="122">
        <f>((Regression!CL46-Regression!CL47)*1000+'Post Process Calc.'!AL12*'In Process Calc.'!$E13+'In Process Calc.'!$G12*'Measured Data'!AS16+'In Process Calc.'!$F12*'Measured Data'!AS16)/'In Process Calc.'!$J12</f>
        <v>5.4735761467754607</v>
      </c>
      <c r="AM13" s="122">
        <f>((Regression!CM46-Regression!CM47)*1000+'Post Process Calc.'!AM12*'In Process Calc.'!$E13+'In Process Calc.'!$G12*'Measured Data'!AT16+'In Process Calc.'!$F12*'Measured Data'!AT16)/'In Process Calc.'!$J12</f>
        <v>2.5662492381041639</v>
      </c>
      <c r="AN13" s="122">
        <f>((Regression!CN46-Regression!CN47)*1000+'Post Process Calc.'!AN12*'In Process Calc.'!$E13+'In Process Calc.'!$G12*'Measured Data'!AU16+'In Process Calc.'!$F12*'Measured Data'!AU16)/'In Process Calc.'!$J12</f>
        <v>0.43281582754007175</v>
      </c>
      <c r="AO13" s="122">
        <f>((Regression!CO46-Regression!CO47)*1000+'Post Process Calc.'!AO12*'In Process Calc.'!$E13+'In Process Calc.'!$G12*'Measured Data'!AV16+'In Process Calc.'!$F12*'Measured Data'!AV16)/'In Process Calc.'!$J12</f>
        <v>2.2560313214043579</v>
      </c>
      <c r="AP13" s="122">
        <f>((Regression!CP46-Regression!CP47)*1000+'Post Process Calc.'!AP12*'In Process Calc.'!$E13+'In Process Calc.'!$G12*'Measured Data'!AW16+'In Process Calc.'!$F12*'Measured Data'!AW16)/'In Process Calc.'!$J12</f>
        <v>0.10973433698759745</v>
      </c>
      <c r="AQ13" s="122">
        <f>((Regression!CQ46-Regression!CQ47)*1000+'Post Process Calc.'!AQ12*'In Process Calc.'!$E13+'In Process Calc.'!$G12*'Measured Data'!AX16+'In Process Calc.'!$F12*'Measured Data'!AX16)/'In Process Calc.'!$J12</f>
        <v>-4.9346494090611612</v>
      </c>
      <c r="AR13" s="122">
        <f>((Regression!CR46-Regression!CR47)*1000+'Post Process Calc.'!AR12*'In Process Calc.'!$E13+'In Process Calc.'!$G12*'Measured Data'!AY16+'In Process Calc.'!$F12*'Measured Data'!AY16)/'In Process Calc.'!$J12</f>
        <v>3.4083611673047156</v>
      </c>
      <c r="AS13" s="122">
        <f>((Regression!CS46-Regression!CS47)*1000+'Post Process Calc.'!AS12*'In Process Calc.'!$E13+'In Process Calc.'!$G12*'Measured Data'!AZ16+'In Process Calc.'!$F12*'Measured Data'!AZ16)/'In Process Calc.'!$J12</f>
        <v>12.503776063751477</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-6.1139639407063013</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15.796199662780761</v>
      </c>
      <c r="B14" s="115">
        <f>'Measured Data'!H18*'In Process Calc.'!E14/1000</f>
        <v>29.271235541780687</v>
      </c>
      <c r="C14" s="295">
        <f>'Growth Regression'!$P13</f>
        <v>1.5253730757170826E-3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1.8823653559298608</v>
      </c>
      <c r="F14" s="115">
        <f xml:space="preserve"> (Regression!$CE$8*6*'In Process Calc.'!$C14^6+Regression!$CD$8*5*'In Process Calc.'!$C14^5+Regression!$CC$8*4*'In Process Calc.'!$C14^3+Regression!$CB$8*3*'In Process Calc.'!$C14^2  + Regression!$CA$8*2*'In Process Calc.'!$C14 + Regression!$BZ$8)/$A14</f>
        <v>1.6700172612508818E-3</v>
      </c>
      <c r="G14" s="115">
        <f xml:space="preserve"> (Regression!$CE$9*6*'In Process Calc.'!$C14^6+Regression!$CD$9*5*'In Process Calc.'!$C14^5+Regression!$CC$9*4*'In Process Calc.'!$C14^3+Regression!$CB$9*3*'In Process Calc.'!$C14^2  + Regression!$CA$9*2*'In Process Calc.'!$C14 + Regression!$BZ$9)/$B14</f>
        <v>8.0524652259067236E-4</v>
      </c>
      <c r="H14" s="115">
        <f xml:space="preserve"> (Regression!$CE$10*6*'In Process Calc.'!$C14^6+Regression!$CD$10*5*'In Process Calc.'!$C14^5+Regression!$CC$10*4*'In Process Calc.'!$C14^3+Regression!$CB$10*3*'In Process Calc.'!$C14^2  + Regression!$CA$10*2*'In Process Calc.'!$C14 + Regression!$BZ$10)/$B14</f>
        <v>2.0517262868168973E-3</v>
      </c>
      <c r="I14" s="115">
        <f xml:space="preserve"> (Regression!$CE$11*6*'In Process Calc.'!$C14^6+Regression!$CD$11*5*'In Process Calc.'!$C14^5+Regression!$CC$11*4*'In Process Calc.'!$C14^3+Regression!$CB$11*3*'In Process Calc.'!$C14^2  + Regression!$CA$11*2*'In Process Calc.'!$C14 + Regression!$BZ$11)/$A14</f>
        <v>1.5396615856187272E-3</v>
      </c>
      <c r="J14" s="115">
        <f>(Regression!$CE$12*6*'In Process Calc.'!$C14^6+Regression!$CD$12*5*'In Process Calc.'!$C14^5+Regression!$CC$12*4*'In Process Calc.'!$C14^3+Regression!$CB$12*3*'In Process Calc.'!$C14^2  + Regression!$CA$12*2*'In Process Calc.'!$C14 + Regression!$BZ$12)/$A14</f>
        <v>9.6771126895991909E-5</v>
      </c>
      <c r="K14" s="115">
        <f xml:space="preserve"> (Regression!$CE$13*6*'In Process Calc.'!$C14^5+Regression!$CD$13*5*'In Process Calc.'!$C14^4+Regression!$CC$13*4*'In Process Calc.'!$C14^3+Regression!$CB$13*3*'In Process Calc.'!$C14^2  + Regression!$CA$13*2*'In Process Calc.'!$C14 + Regression!$BZ$13)/$A14</f>
        <v>4.3179612487732548E-2</v>
      </c>
      <c r="L14" s="115">
        <f xml:space="preserve"> (Regression!$CE$14*6*'In Process Calc.'!$C14^5+Regression!$CD$14*5*'In Process Calc.'!$C14^4+Regression!$CC$14*4*'In Process Calc.'!$C14^3+Regression!$CB$14*3*'In Process Calc.'!$C14^2  + Regression!$CA$14*2*'In Process Calc.'!$C14 + Regression!$BZ$14)/$B14</f>
        <v>1.4807072490990378E-3</v>
      </c>
      <c r="M14" s="115">
        <f xml:space="preserve"> (Regression!$CE$15*6*'In Process Calc.'!$C14^6+Regression!$CD$15*5*'In Process Calc.'!$C14^5+Regression!$CC$15*4*'In Process Calc.'!$C14^3+Regression!$CB$15*3*'In Process Calc.'!$C14^2  + Regression!$CA$15*2*'In Process Calc.'!$C14 + Regression!$BZ$15)/$A14</f>
        <v>9.8733493066436705E-3</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-7.1231738177513285E-3</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2.5424180612525164E-2</v>
      </c>
      <c r="AE14" s="115">
        <f xml:space="preserve"> (Regression!$CE$33*6*'In Process Calc.'!$C14^5+Regression!$CD$33*5*'In Process Calc.'!$C14^4+Regression!$CC$33*4*'In Process Calc.'!$C14^3 +Regression!$CB$33*3*'In Process Calc.'!$C14^2 + Regression!$CA$33*2*'In Process Calc.'!$C14 + Regression!$BZ$33)/$A14</f>
        <v>2.7094197873776052E-2</v>
      </c>
      <c r="AF14" s="115">
        <f xml:space="preserve"> (Regression!$CE$34*6*'In Process Calc.'!$C14^5+Regression!$CD$34*5*'In Process Calc.'!$C14^4+Regression!$CC$34*4*'In Process Calc.'!$C14^3 +Regression!$CB$34*3*'In Process Calc.'!$C14^2 + Regression!$CA$34*2*'In Process Calc.'!$C14 + Regression!$BZ$34)/$A14</f>
        <v>7.1834868531479107E-2</v>
      </c>
      <c r="AG14" s="116">
        <f t="shared" si="0"/>
        <v>-0.16496613580714839</v>
      </c>
      <c r="AH14" s="116">
        <f t="shared" si="3"/>
        <v>0</v>
      </c>
      <c r="AI14" s="116">
        <f t="shared" si="1"/>
        <v>3.4291814210229678E-2</v>
      </c>
      <c r="AJ14" s="116">
        <f t="shared" si="2"/>
        <v>0</v>
      </c>
      <c r="AK14" s="76">
        <f>'In Process Calc.'!C14</f>
        <v>261.75</v>
      </c>
      <c r="AL14" s="122">
        <f>((Regression!CL47-Regression!CL48)*1000+'Post Process Calc.'!AL13*'In Process Calc.'!$E14+'In Process Calc.'!$G13*'Measured Data'!AS17+'In Process Calc.'!$F13*'Measured Data'!AS17)/'In Process Calc.'!$J13</f>
        <v>5.4105057980771365</v>
      </c>
      <c r="AM14" s="122">
        <f>((Regression!CM47-Regression!CM48)*1000+'Post Process Calc.'!AM13*'In Process Calc.'!$E14+'In Process Calc.'!$G13*'Measured Data'!AT17+'In Process Calc.'!$F13*'Measured Data'!AT17)/'In Process Calc.'!$J13</f>
        <v>2.308161322063492</v>
      </c>
      <c r="AN14" s="122">
        <f>((Regression!CN47-Regression!CN48)*1000+'Post Process Calc.'!AN13*'In Process Calc.'!$E14+'In Process Calc.'!$G13*'Measured Data'!AU17+'In Process Calc.'!$F13*'Measured Data'!AU17)/'In Process Calc.'!$J13</f>
        <v>-0.52869601052230664</v>
      </c>
      <c r="AO14" s="122">
        <f>((Regression!CO47-Regression!CO48)*1000+'Post Process Calc.'!AO13*'In Process Calc.'!$E14+'In Process Calc.'!$G13*'Measured Data'!AV17+'In Process Calc.'!$F13*'Measured Data'!AV17)/'In Process Calc.'!$J13</f>
        <v>1.9524628357664171</v>
      </c>
      <c r="AP14" s="122">
        <f>((Regression!CP47-Regression!CP48)*1000+'Post Process Calc.'!AP13*'In Process Calc.'!$E14+'In Process Calc.'!$G13*'Measured Data'!AW17+'In Process Calc.'!$F13*'Measured Data'!AW17)/'In Process Calc.'!$J13</f>
        <v>6.5444199759420632E-2</v>
      </c>
      <c r="AQ14" s="122">
        <f>((Regression!CQ47-Regression!CQ48)*1000+'Post Process Calc.'!AQ13*'In Process Calc.'!$E14+'In Process Calc.'!$G13*'Measured Data'!AX17+'In Process Calc.'!$F13*'Measured Data'!AX17)/'In Process Calc.'!$J13</f>
        <v>-13.397239794114187</v>
      </c>
      <c r="AR14" s="122">
        <f>((Regression!CR47-Regression!CR48)*1000+'Post Process Calc.'!AR13*'In Process Calc.'!$E14+'In Process Calc.'!$G13*'Measured Data'!AY17+'In Process Calc.'!$F13*'Measured Data'!AY17)/'In Process Calc.'!$J13</f>
        <v>2.9333949460332875</v>
      </c>
      <c r="AS14" s="122">
        <f>((Regression!CS47-Regression!CS48)*1000+'Post Process Calc.'!AS13*'In Process Calc.'!$E14+'In Process Calc.'!$G13*'Measured Data'!AZ17+'In Process Calc.'!$F13*'Measured Data'!AZ17)/'In Process Calc.'!$J13</f>
        <v>10.826461680192528</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-3.5627053565279807</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16.004000527954101</v>
      </c>
      <c r="B15" s="115">
        <f>'Measured Data'!H19*'In Process Calc.'!E15/1000</f>
        <v>28.938789399102784</v>
      </c>
      <c r="C15" s="295">
        <f>'Growth Regression'!$P14</f>
        <v>8.4350394953332426E-4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1.8805900397574131</v>
      </c>
      <c r="F15" s="115">
        <f xml:space="preserve"> (Regression!$CE$8*6*'In Process Calc.'!$C15^6+Regression!$CD$8*5*'In Process Calc.'!$C15^5+Regression!$CC$8*4*'In Process Calc.'!$C15^3+Regression!$CB$8*3*'In Process Calc.'!$C15^2  + Regression!$CA$8*2*'In Process Calc.'!$C15 + Regression!$BZ$8)/$A15</f>
        <v>5.0523542007478387E-3</v>
      </c>
      <c r="G15" s="115">
        <f xml:space="preserve"> (Regression!$CE$9*6*'In Process Calc.'!$C15^6+Regression!$CD$9*5*'In Process Calc.'!$C15^5+Regression!$CC$9*4*'In Process Calc.'!$C15^3+Regression!$CB$9*3*'In Process Calc.'!$C15^2  + Regression!$CA$9*2*'In Process Calc.'!$C15 + Regression!$BZ$9)/$B15</f>
        <v>1.1337540677204352E-3</v>
      </c>
      <c r="H15" s="115">
        <f xml:space="preserve"> (Regression!$CE$10*6*'In Process Calc.'!$C15^6+Regression!$CD$10*5*'In Process Calc.'!$C15^5+Regression!$CC$10*4*'In Process Calc.'!$C15^3+Regression!$CB$10*3*'In Process Calc.'!$C15^2  + Regression!$CA$10*2*'In Process Calc.'!$C15 + Regression!$BZ$10)/$B15</f>
        <v>4.2136038626518224E-4</v>
      </c>
      <c r="I15" s="115">
        <f xml:space="preserve"> (Regression!$CE$11*6*'In Process Calc.'!$C15^6+Regression!$CD$11*5*'In Process Calc.'!$C15^5+Regression!$CC$11*4*'In Process Calc.'!$C15^3+Regression!$CB$11*3*'In Process Calc.'!$C15^2  + Regression!$CA$11*2*'In Process Calc.'!$C15 + Regression!$BZ$11)/$A15</f>
        <v>1.2920330690850638E-3</v>
      </c>
      <c r="J15" s="115">
        <f>(Regression!$CE$12*6*'In Process Calc.'!$C15^6+Regression!$CD$12*5*'In Process Calc.'!$C15^5+Regression!$CC$12*4*'In Process Calc.'!$C15^3+Regression!$CB$12*3*'In Process Calc.'!$C15^2  + Regression!$CA$12*2*'In Process Calc.'!$C15 + Regression!$BZ$12)/$A15</f>
        <v>-1.8027939555403895E-4</v>
      </c>
      <c r="K15" s="115">
        <f xml:space="preserve"> (Regression!$CE$13*6*'In Process Calc.'!$C15^5+Regression!$CD$13*5*'In Process Calc.'!$C15^4+Regression!$CC$13*4*'In Process Calc.'!$C15^3+Regression!$CB$13*3*'In Process Calc.'!$C15^2  + Regression!$CA$13*2*'In Process Calc.'!$C15 + Regression!$BZ$13)/$A15</f>
        <v>4.2855703956809273E-2</v>
      </c>
      <c r="L15" s="115">
        <f xml:space="preserve"> (Regression!$CE$14*6*'In Process Calc.'!$C15^5+Regression!$CD$14*5*'In Process Calc.'!$C15^4+Regression!$CC$14*4*'In Process Calc.'!$C15^3+Regression!$CB$14*3*'In Process Calc.'!$C15^2  + Regression!$CA$14*2*'In Process Calc.'!$C15 + Regression!$BZ$14)/$B15</f>
        <v>1.5029904364080862E-3</v>
      </c>
      <c r="M15" s="115">
        <f xml:space="preserve"> (Regression!$CE$15*6*'In Process Calc.'!$C15^6+Regression!$CD$15*5*'In Process Calc.'!$C15^5+Regression!$CC$15*4*'In Process Calc.'!$C15^3+Regression!$CB$15*3*'In Process Calc.'!$C15^2  + Regression!$CA$15*2*'In Process Calc.'!$C15 + Regression!$BZ$15)/$A15</f>
        <v>1.3538631146859709E-2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-5.9164468412406714E-3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3.4265525596986562E-2</v>
      </c>
      <c r="AE15" s="115">
        <f xml:space="preserve"> (Regression!$CE$33*6*'In Process Calc.'!$C15^5+Regression!$CD$33*5*'In Process Calc.'!$C15^4+Regression!$CC$33*4*'In Process Calc.'!$C15^3 +Regression!$CB$33*3*'In Process Calc.'!$C15^2 + Regression!$CA$33*2*'In Process Calc.'!$C15 + Regression!$BZ$33)/$A15</f>
        <v>3.9317879797734413E-2</v>
      </c>
      <c r="AF15" s="115">
        <f xml:space="preserve"> (Regression!$CE$34*6*'In Process Calc.'!$C15^5+Regression!$CD$34*5*'In Process Calc.'!$C15^4+Regression!$CC$34*4*'In Process Calc.'!$C15^3 +Regression!$CB$34*3*'In Process Calc.'!$C15^2 + Regression!$CA$34*2*'In Process Calc.'!$C15 + Regression!$BZ$34)/$A15</f>
        <v>8.449565442683396E-2</v>
      </c>
      <c r="AG15" s="116">
        <f t="shared" si="0"/>
        <v>-0.13805506140334015</v>
      </c>
      <c r="AH15" s="116">
        <f t="shared" si="3"/>
        <v>0</v>
      </c>
      <c r="AI15" s="116">
        <f t="shared" si="1"/>
        <v>3.5070954333706106E-2</v>
      </c>
      <c r="AJ15" s="116">
        <f t="shared" si="2"/>
        <v>0</v>
      </c>
      <c r="AK15" s="76">
        <f>'In Process Calc.'!C15</f>
        <v>284.75000000005821</v>
      </c>
      <c r="AL15" s="122">
        <f>((Regression!CL48-Regression!CL49)*1000+'Post Process Calc.'!AL14*'In Process Calc.'!$E15+'In Process Calc.'!$G14*'Measured Data'!AS18+'In Process Calc.'!$F14*'Measured Data'!AS18)/'In Process Calc.'!$J14</f>
        <v>4.6244488600132572</v>
      </c>
      <c r="AM15" s="122">
        <f>((Regression!CM48-Regression!CM49)*1000+'Post Process Calc.'!AM14*'In Process Calc.'!$E15+'In Process Calc.'!$G14*'Measured Data'!AT18+'In Process Calc.'!$F14*'Measured Data'!AT18)/'In Process Calc.'!$J14</f>
        <v>1.9034985030778662</v>
      </c>
      <c r="AN15" s="122">
        <f>((Regression!CN48-Regression!CN49)*1000+'Post Process Calc.'!AN14*'In Process Calc.'!$E15+'In Process Calc.'!$G14*'Measured Data'!AU18+'In Process Calc.'!$F14*'Measured Data'!AU18)/'In Process Calc.'!$J14</f>
        <v>-0.98754622964057803</v>
      </c>
      <c r="AO15" s="122">
        <f>((Regression!CO48-Regression!CO49)*1000+'Post Process Calc.'!AO14*'In Process Calc.'!$E15+'In Process Calc.'!$G14*'Measured Data'!AV18+'In Process Calc.'!$F14*'Measured Data'!AV18)/'In Process Calc.'!$J14</f>
        <v>1.6173952709107473</v>
      </c>
      <c r="AP15" s="122">
        <f>((Regression!CP48-Regression!CP49)*1000+'Post Process Calc.'!AP14*'In Process Calc.'!$E15+'In Process Calc.'!$G14*'Measured Data'!AW18+'In Process Calc.'!$F14*'Measured Data'!AW18)/'In Process Calc.'!$J14</f>
        <v>7.1433216769027738E-2</v>
      </c>
      <c r="AQ15" s="122">
        <f>((Regression!CQ48-Regression!CQ49)*1000+'Post Process Calc.'!AQ14*'In Process Calc.'!$E15+'In Process Calc.'!$G14*'Measured Data'!AX18+'In Process Calc.'!$F14*'Measured Data'!AX18)/'In Process Calc.'!$J14</f>
        <v>-21.5921692477717</v>
      </c>
      <c r="AR15" s="122">
        <f>((Regression!CR48-Regression!CR49)*1000+'Post Process Calc.'!AR14*'In Process Calc.'!$E15+'In Process Calc.'!$G14*'Measured Data'!AY18+'In Process Calc.'!$F14*'Measured Data'!AY18)/'In Process Calc.'!$J14</f>
        <v>2.3040423070785989</v>
      </c>
      <c r="AS15" s="122">
        <f>((Regression!CS48-Regression!CS49)*1000+'Post Process Calc.'!AS14*'In Process Calc.'!$E15+'In Process Calc.'!$G14*'Measured Data'!AZ18+'In Process Calc.'!$F14*'Measured Data'!AZ18)/'In Process Calc.'!$J14</f>
        <v>8.2572511248586746</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-1.0376054456520394</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f>'Measured Data'!H20</f>
        <v>15.927300317382812</v>
      </c>
      <c r="B16" s="115">
        <f>'Measured Data'!H20*'In Process Calc.'!E16/1000</f>
        <v>28.707189122047257</v>
      </c>
      <c r="C16" s="295">
        <f>'Growth Regression'!$P15</f>
        <v>4.5085852626342119E-4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1.8732600906828103</v>
      </c>
      <c r="F16" s="115">
        <f xml:space="preserve"> (Regression!$CE$8*6*'In Process Calc.'!$C16^6+Regression!$CD$8*5*'In Process Calc.'!$C16^5+Regression!$CC$8*4*'In Process Calc.'!$C16^3+Regression!$CB$8*3*'In Process Calc.'!$C16^2  + Regression!$CA$8*2*'In Process Calc.'!$C16 + Regression!$BZ$8)/$A16</f>
        <v>9.2845168664395118E-3</v>
      </c>
      <c r="G16" s="115">
        <f xml:space="preserve"> (Regression!$CE$9*6*'In Process Calc.'!$C16^6+Regression!$CD$9*5*'In Process Calc.'!$C16^5+Regression!$CC$9*4*'In Process Calc.'!$C16^3+Regression!$CB$9*3*'In Process Calc.'!$C16^2  + Regression!$CA$9*2*'In Process Calc.'!$C16 + Regression!$BZ$9)/$B16</f>
        <v>1.5145551849792805E-3</v>
      </c>
      <c r="H16" s="115">
        <f xml:space="preserve"> (Regression!$CE$10*6*'In Process Calc.'!$C16^6+Regression!$CD$10*5*'In Process Calc.'!$C16^5+Regression!$CC$10*4*'In Process Calc.'!$C16^3+Regression!$CB$10*3*'In Process Calc.'!$C16^2  + Regression!$CA$10*2*'In Process Calc.'!$C16 + Regression!$BZ$10)/$B16</f>
        <v>-2.1971099744361533E-3</v>
      </c>
      <c r="I16" s="115">
        <f xml:space="preserve"> (Regression!$CE$11*6*'In Process Calc.'!$C16^6+Regression!$CD$11*5*'In Process Calc.'!$C16^5+Regression!$CC$11*4*'In Process Calc.'!$C16^3+Regression!$CB$11*3*'In Process Calc.'!$C16^2  + Regression!$CA$11*2*'In Process Calc.'!$C16 + Regression!$BZ$11)/$A16</f>
        <v>4.3988780188284834E-4</v>
      </c>
      <c r="J16" s="115">
        <f>(Regression!$CE$12*6*'In Process Calc.'!$C16^6+Regression!$CD$12*5*'In Process Calc.'!$C16^5+Regression!$CC$12*4*'In Process Calc.'!$C16^3+Regression!$CB$12*3*'In Process Calc.'!$C16^2  + Regression!$CA$12*2*'In Process Calc.'!$C16 + Regression!$BZ$12)/$A16</f>
        <v>-5.2251859398054316E-4</v>
      </c>
      <c r="K16" s="115">
        <f xml:space="preserve"> (Regression!$CE$13*6*'In Process Calc.'!$C16^5+Regression!$CD$13*5*'In Process Calc.'!$C16^4+Regression!$CC$13*4*'In Process Calc.'!$C16^3+Regression!$CB$13*3*'In Process Calc.'!$C16^2  + Regression!$CA$13*2*'In Process Calc.'!$C16 + Regression!$BZ$13)/$A16</f>
        <v>4.1231543662370175E-2</v>
      </c>
      <c r="L16" s="115">
        <f xml:space="preserve"> (Regression!$CE$14*6*'In Process Calc.'!$C16^5+Regression!$CD$14*5*'In Process Calc.'!$C16^4+Regression!$CC$14*4*'In Process Calc.'!$C16^3+Regression!$CB$14*3*'In Process Calc.'!$C16^2  + Regression!$CA$14*2*'In Process Calc.'!$C16 + Regression!$BZ$14)/$B16</f>
        <v>7.6880888906818827E-4</v>
      </c>
      <c r="M16" s="115">
        <f xml:space="preserve"> (Regression!$CE$15*6*'In Process Calc.'!$C16^6+Regression!$CD$15*5*'In Process Calc.'!$C16^5+Regression!$CC$15*4*'In Process Calc.'!$C16^3+Regression!$CB$15*3*'In Process Calc.'!$C16^2  + Regression!$CA$15*2*'In Process Calc.'!$C16 + Regression!$BZ$15)/$A16</f>
        <v>1.7891795965451585E-2</v>
      </c>
      <c r="N16" s="115">
        <f xml:space="preserve"> (Regression!$CE$16*6*'In Process Calc.'!$C16^6+Regression!$CD$16*5*'In Process Calc.'!$C16^5+Regression!$CC$16*4*'In Process Calc.'!$C16^3+Regression!$CB$16*3*'In Process Calc.'!$C16^2  + Regression!$CA$16*2*'In Process Calc.'!$C16 + Regression!$BZ$16)/$A16</f>
        <v>0</v>
      </c>
      <c r="O16" s="115">
        <f xml:space="preserve"> (Regression!$CE$17*6*'In Process Calc.'!$C16^6+Regression!$CD$17*5*'In Process Calc.'!$C16^5+Regression!$CC$17*4*'In Process Calc.'!$C16^3+Regression!$CB$17*3*'In Process Calc.'!$C16^2  + Regression!$CA$17*2*'In Process Calc.'!$C16 + Regression!$BZ$17)/$A16</f>
        <v>0</v>
      </c>
      <c r="P16" s="115">
        <f xml:space="preserve"> (Regression!$CE$18*6*'In Process Calc.'!$C16^6+Regression!$CD$18*5*'In Process Calc.'!$C16^5+Regression!$CC$18*4*'In Process Calc.'!$C16^3+Regression!$CB$18*3*'In Process Calc.'!$C16^2  + Regression!$CA$18*2*'In Process Calc.'!$C16 + Regression!$BZ$18)/$A16</f>
        <v>0</v>
      </c>
      <c r="Q16" s="115">
        <f xml:space="preserve"> (Regression!$CE$19*6*'In Process Calc.'!$C16^5+Regression!$CD$19*5*'In Process Calc.'!$C16^4+Regression!$CC$19*4*'In Process Calc.'!$C16^3 +Regression!$CB$19*3*'In Process Calc.'!$C16^2 + Regression!$CA$19*2*'In Process Calc.'!$C16 + Regression!$BZ$19)/$B16</f>
        <v>-1.0711425420801498E-3</v>
      </c>
      <c r="R16" s="115">
        <f xml:space="preserve"> (Regression!$CE$20*6*'In Process Calc.'!$C16^5+Regression!$CD$20*5*'In Process Calc.'!$C16^4+Regression!$CC$20*4*'In Process Calc.'!$C16^3 +Regression!$CB$20*3*'In Process Calc.'!$C16^2 + Regression!$CA$20*2*'In Process Calc.'!$C16 + Regression!$BZ$20)/$A16</f>
        <v>0</v>
      </c>
      <c r="S16" s="115">
        <f xml:space="preserve"> (Regression!$CE$21*6*'In Process Calc.'!$C16^5+Regression!$CD$21*5*'In Process Calc.'!$C16^4+Regression!$CC$21*4*'In Process Calc.'!$C16^3 +Regression!$CB$21*3*'In Process Calc.'!$C16^2 + Regression!$CA$21*2*'In Process Calc.'!$C16 + Regression!$BZ$21)/$A16</f>
        <v>0</v>
      </c>
      <c r="T16" s="115">
        <f xml:space="preserve"> (Regression!$CE$22*6*'In Process Calc.'!$C16^5+Regression!$CD$22*5*'In Process Calc.'!$C16^4+Regression!$CC$22*4*'In Process Calc.'!$C16^3 +Regression!$CB$22*3*'In Process Calc.'!$C16^2 + Regression!$CA$22*2*'In Process Calc.'!$C16 + Regression!$BZ$22)/$A16</f>
        <v>0</v>
      </c>
      <c r="U16" s="115">
        <f xml:space="preserve"> (Regression!$CE$23*6*'In Process Calc.'!$C16^5+Regression!$CD$23*5*'In Process Calc.'!$C16^4+Regression!$CC$23*4*'In Process Calc.'!$C16^3 +Regression!$CB$23*3*'In Process Calc.'!$C16^2 + Regression!$CA$23*2*'In Process Calc.'!$C16 + Regression!$BZ$23)/$A16</f>
        <v>0</v>
      </c>
      <c r="V16" s="115">
        <f xml:space="preserve"> (Regression!$CE$24*6*'In Process Calc.'!$C16^5+Regression!$CD$24*5*'In Process Calc.'!$C16^4+Regression!$CC$24*4*'In Process Calc.'!$C16^3 +Regression!$CB$24*3*'In Process Calc.'!$C16^2 + Regression!$CA$24*2*'In Process Calc.'!$C16 + Regression!$BZ$24)/$A16</f>
        <v>0</v>
      </c>
      <c r="W16" s="115">
        <f xml:space="preserve"> (Regression!$CE$25*6*'In Process Calc.'!$C16^5+Regression!$CD$25*5*'In Process Calc.'!$C16^4+Regression!$CC$25*4*'In Process Calc.'!$C16^3 +Regression!$CB$25*3*'In Process Calc.'!$C16^2 + Regression!$CA$25*2*'In Process Calc.'!$C16 + Regression!$BZ$25)/$A16</f>
        <v>0</v>
      </c>
      <c r="X16" s="115">
        <f xml:space="preserve"> (Regression!$CE$26*6*'In Process Calc.'!$C16^5+Regression!$CD$26*5*'In Process Calc.'!$C16^4+Regression!$CC$26*4*'In Process Calc.'!$C16^3 +Regression!$CB$26*3*'In Process Calc.'!$C16^2 + Regression!$CA$26*2*'In Process Calc.'!$C16 + Regression!$BZ$26)/$A16</f>
        <v>0</v>
      </c>
      <c r="Y16" s="115">
        <f xml:space="preserve"> (Regression!$CE$27*6*'In Process Calc.'!$C16^5+Regression!$CD$27*5*'In Process Calc.'!$C16^4+Regression!$CC$27*4*'In Process Calc.'!$C16^3 +Regression!$CB$27*3*'In Process Calc.'!$C16^2 + Regression!$CA$27*2*'In Process Calc.'!$C16 + Regression!$BZ$27)/$A16</f>
        <v>0</v>
      </c>
      <c r="Z16" s="115">
        <f xml:space="preserve"> (Regression!$CE$28*6*'In Process Calc.'!$C16^5+Regression!$CD$28*5*'In Process Calc.'!$C16^4+Regression!$CC$28*4*'In Process Calc.'!$C16^3 +Regression!$CB$28*3*'In Process Calc.'!$C16^2 + Regression!$CA$28*2*'In Process Calc.'!$C16 + Regression!$BZ$28)/$A16</f>
        <v>0</v>
      </c>
      <c r="AA16" s="115">
        <f xml:space="preserve"> (Regression!$CE$29*6*'In Process Calc.'!$C16^5+Regression!$CD$29*5*'In Process Calc.'!$C16^4+Regression!$CC$29*4*'In Process Calc.'!$C16^3 +Regression!$CB$29*3*'In Process Calc.'!$C16^2 + Regression!$CA$29*2*'In Process Calc.'!$C16 + Regression!$BZ$29)/$A16</f>
        <v>0</v>
      </c>
      <c r="AB16" s="115">
        <f xml:space="preserve"> (Regression!$CE$30*6*'In Process Calc.'!$C16^5+Regression!$CD$30*5*'In Process Calc.'!$C16^4+Regression!$CC$30*4*'In Process Calc.'!$C16^3 +Regression!$CB$30*3*'In Process Calc.'!$C16^2 + Regression!$CA$30*2*'In Process Calc.'!$C16 + Regression!$BZ$30)/$A16</f>
        <v>0</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4.4918877405053285E-2</v>
      </c>
      <c r="AE16" s="115">
        <f xml:space="preserve"> (Regression!$CE$33*6*'In Process Calc.'!$C16^5+Regression!$CD$33*5*'In Process Calc.'!$C16^4+Regression!$CC$33*4*'In Process Calc.'!$C16^3 +Regression!$CB$33*3*'In Process Calc.'!$C16^2 + Regression!$CA$33*2*'In Process Calc.'!$C16 + Regression!$BZ$33)/$A16</f>
        <v>5.4203394271492809E-2</v>
      </c>
      <c r="AF16" s="115">
        <f xml:space="preserve"> (Regression!$CE$34*6*'In Process Calc.'!$C16^5+Regression!$CD$34*5*'In Process Calc.'!$C16^4+Regression!$CC$34*4*'In Process Calc.'!$C16^3 +Regression!$CB$34*3*'In Process Calc.'!$C16^2 + Regression!$CA$34*2*'In Process Calc.'!$C16 + Regression!$BZ$34)/$A16</f>
        <v>9.8815737881976146E-2</v>
      </c>
      <c r="AG16" s="116">
        <f t="shared" si="0"/>
        <v>-2.5978715491501821E-2</v>
      </c>
      <c r="AH16" s="116">
        <f t="shared" si="3"/>
        <v>0</v>
      </c>
      <c r="AI16" s="116">
        <f t="shared" si="1"/>
        <v>1.8646134022137984E-2</v>
      </c>
      <c r="AJ16" s="116">
        <f t="shared" si="2"/>
        <v>0</v>
      </c>
      <c r="AK16" s="76"/>
    </row>
    <row r="17" spans="1:61">
      <c r="A17" s="115">
        <f>'Measured Data'!H21</f>
        <v>13.334700448608398</v>
      </c>
      <c r="B17" s="115">
        <f>'Measured Data'!H21*'In Process Calc.'!E17/1000</f>
        <v>24.005424074261473</v>
      </c>
      <c r="C17" s="295">
        <f>'Growth Regression'!$P16</f>
        <v>2.3603367431453538E-4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2.1672696599436696</v>
      </c>
      <c r="F17" s="115">
        <f xml:space="preserve"> (Regression!$CE$8*6*'In Process Calc.'!$C17^6+Regression!$CD$8*5*'In Process Calc.'!$C17^5+Regression!$CC$8*4*'In Process Calc.'!$C17^3+Regression!$CB$8*3*'In Process Calc.'!$C17^2  + Regression!$CA$8*2*'In Process Calc.'!$C17 + Regression!$BZ$8)/$A17</f>
        <v>1.7057562992790494E-2</v>
      </c>
      <c r="G17" s="115">
        <f xml:space="preserve"> (Regression!$CE$9*6*'In Process Calc.'!$C17^6+Regression!$CD$9*5*'In Process Calc.'!$C17^5+Regression!$CC$9*4*'In Process Calc.'!$C17^3+Regression!$CB$9*3*'In Process Calc.'!$C17^2  + Regression!$CA$9*2*'In Process Calc.'!$C17 + Regression!$BZ$9)/$B17</f>
        <v>2.3132511250077438E-3</v>
      </c>
      <c r="H17" s="115">
        <f xml:space="preserve"> (Regression!$CE$10*6*'In Process Calc.'!$C17^6+Regression!$CD$10*5*'In Process Calc.'!$C17^5+Regression!$CC$10*4*'In Process Calc.'!$C17^3+Regression!$CB$10*3*'In Process Calc.'!$C17^2  + Regression!$CA$10*2*'In Process Calc.'!$C17 + Regression!$BZ$10)/$B17</f>
        <v>-7.1264018794326969E-3</v>
      </c>
      <c r="I17" s="115">
        <f xml:space="preserve"> (Regression!$CE$11*6*'In Process Calc.'!$C17^6+Regression!$CD$11*5*'In Process Calc.'!$C17^5+Regression!$CC$11*4*'In Process Calc.'!$C17^3+Regression!$CB$11*3*'In Process Calc.'!$C17^2  + Regression!$CA$11*2*'In Process Calc.'!$C17 + Regression!$BZ$11)/$A17</f>
        <v>-1.4855981652993732E-3</v>
      </c>
      <c r="J17" s="115">
        <f>(Regression!$CE$12*6*'In Process Calc.'!$C17^6+Regression!$CD$12*5*'In Process Calc.'!$C17^5+Regression!$CC$12*4*'In Process Calc.'!$C17^3+Regression!$CB$12*3*'In Process Calc.'!$C17^2  + Regression!$CA$12*2*'In Process Calc.'!$C17 + Regression!$BZ$12)/$A17</f>
        <v>-1.1087487352377391E-3</v>
      </c>
      <c r="K17" s="115">
        <f xml:space="preserve"> (Regression!$CE$13*6*'In Process Calc.'!$C17^5+Regression!$CD$13*5*'In Process Calc.'!$C17^4+Regression!$CC$13*4*'In Process Calc.'!$C17^3+Regression!$CB$13*3*'In Process Calc.'!$C17^2  + Regression!$CA$13*2*'In Process Calc.'!$C17 + Regression!$BZ$13)/$A17</f>
        <v>4.396342073006148E-2</v>
      </c>
      <c r="L17" s="115">
        <f xml:space="preserve"> (Regression!$CE$14*6*'In Process Calc.'!$C17^5+Regression!$CD$14*5*'In Process Calc.'!$C17^4+Regression!$CC$14*4*'In Process Calc.'!$C17^3+Regression!$CB$14*3*'In Process Calc.'!$C17^2  + Regression!$CA$14*2*'In Process Calc.'!$C17 + Regression!$BZ$14)/$B17</f>
        <v>-9.727627145118239E-4</v>
      </c>
      <c r="M17" s="115">
        <f xml:space="preserve"> (Regression!$CE$15*6*'In Process Calc.'!$C17^6+Regression!$CD$15*5*'In Process Calc.'!$C17^5+Regression!$CC$15*4*'In Process Calc.'!$C17^3+Regression!$CB$15*3*'In Process Calc.'!$C17^2  + Regression!$CA$15*2*'In Process Calc.'!$C17 + Regression!$BZ$15)/$A17</f>
        <v>2.7027592334932272E-2</v>
      </c>
      <c r="N17" s="115">
        <f xml:space="preserve"> (Regression!$CE$16*6*'In Process Calc.'!$C17^6+Regression!$CD$16*5*'In Process Calc.'!$C17^5+Regression!$CC$16*4*'In Process Calc.'!$C17^3+Regression!$CB$16*3*'In Process Calc.'!$C17^2  + Regression!$CA$16*2*'In Process Calc.'!$C17 + Regression!$BZ$16)/$A17</f>
        <v>0</v>
      </c>
      <c r="O17" s="115">
        <f xml:space="preserve"> (Regression!$CE$17*6*'In Process Calc.'!$C17^6+Regression!$CD$17*5*'In Process Calc.'!$C17^5+Regression!$CC$17*4*'In Process Calc.'!$C17^3+Regression!$CB$17*3*'In Process Calc.'!$C17^2  + Regression!$CA$17*2*'In Process Calc.'!$C17 + Regression!$BZ$17)/$A17</f>
        <v>0</v>
      </c>
      <c r="P17" s="115">
        <f xml:space="preserve"> (Regression!$CE$18*6*'In Process Calc.'!$C17^6+Regression!$CD$18*5*'In Process Calc.'!$C17^5+Regression!$CC$18*4*'In Process Calc.'!$C17^3+Regression!$CB$18*3*'In Process Calc.'!$C17^2  + Regression!$CA$18*2*'In Process Calc.'!$C17 + Regression!$BZ$18)/$A17</f>
        <v>0</v>
      </c>
      <c r="Q17" s="115">
        <f xml:space="preserve"> (Regression!$CE$19*6*'In Process Calc.'!$C17^5+Regression!$CD$19*5*'In Process Calc.'!$C17^4+Regression!$CC$19*4*'In Process Calc.'!$C17^3 +Regression!$CB$19*3*'In Process Calc.'!$C17^2 + Regression!$CA$19*2*'In Process Calc.'!$C17 + Regression!$BZ$19)/$B17</f>
        <v>1.0867214874817652E-2</v>
      </c>
      <c r="R17" s="115">
        <f xml:space="preserve"> (Regression!$CE$20*6*'In Process Calc.'!$C17^5+Regression!$CD$20*5*'In Process Calc.'!$C17^4+Regression!$CC$20*4*'In Process Calc.'!$C17^3 +Regression!$CB$20*3*'In Process Calc.'!$C17^2 + Regression!$CA$20*2*'In Process Calc.'!$C17 + Regression!$BZ$20)/$A17</f>
        <v>0</v>
      </c>
      <c r="S17" s="115">
        <f xml:space="preserve"> (Regression!$CE$21*6*'In Process Calc.'!$C17^5+Regression!$CD$21*5*'In Process Calc.'!$C17^4+Regression!$CC$21*4*'In Process Calc.'!$C17^3 +Regression!$CB$21*3*'In Process Calc.'!$C17^2 + Regression!$CA$21*2*'In Process Calc.'!$C17 + Regression!$BZ$21)/$A17</f>
        <v>0</v>
      </c>
      <c r="T17" s="115">
        <f xml:space="preserve"> (Regression!$CE$22*6*'In Process Calc.'!$C17^5+Regression!$CD$22*5*'In Process Calc.'!$C17^4+Regression!$CC$22*4*'In Process Calc.'!$C17^3 +Regression!$CB$22*3*'In Process Calc.'!$C17^2 + Regression!$CA$22*2*'In Process Calc.'!$C17 + Regression!$BZ$22)/$A17</f>
        <v>0</v>
      </c>
      <c r="U17" s="115">
        <f xml:space="preserve"> (Regression!$CE$23*6*'In Process Calc.'!$C17^5+Regression!$CD$23*5*'In Process Calc.'!$C17^4+Regression!$CC$23*4*'In Process Calc.'!$C17^3 +Regression!$CB$23*3*'In Process Calc.'!$C17^2 + Regression!$CA$23*2*'In Process Calc.'!$C17 + Regression!$BZ$23)/$A17</f>
        <v>0</v>
      </c>
      <c r="V17" s="115">
        <f xml:space="preserve"> (Regression!$CE$24*6*'In Process Calc.'!$C17^5+Regression!$CD$24*5*'In Process Calc.'!$C17^4+Regression!$CC$24*4*'In Process Calc.'!$C17^3 +Regression!$CB$24*3*'In Process Calc.'!$C17^2 + Regression!$CA$24*2*'In Process Calc.'!$C17 + Regression!$BZ$24)/$A17</f>
        <v>0</v>
      </c>
      <c r="W17" s="115">
        <f xml:space="preserve"> (Regression!$CE$25*6*'In Process Calc.'!$C17^5+Regression!$CD$25*5*'In Process Calc.'!$C17^4+Regression!$CC$25*4*'In Process Calc.'!$C17^3 +Regression!$CB$25*3*'In Process Calc.'!$C17^2 + Regression!$CA$25*2*'In Process Calc.'!$C17 + Regression!$BZ$25)/$A17</f>
        <v>0</v>
      </c>
      <c r="X17" s="115">
        <f xml:space="preserve"> (Regression!$CE$26*6*'In Process Calc.'!$C17^5+Regression!$CD$26*5*'In Process Calc.'!$C17^4+Regression!$CC$26*4*'In Process Calc.'!$C17^3 +Regression!$CB$26*3*'In Process Calc.'!$C17^2 + Regression!$CA$26*2*'In Process Calc.'!$C17 + Regression!$BZ$26)/$A17</f>
        <v>0</v>
      </c>
      <c r="Y17" s="115">
        <f xml:space="preserve"> (Regression!$CE$27*6*'In Process Calc.'!$C17^5+Regression!$CD$27*5*'In Process Calc.'!$C17^4+Regression!$CC$27*4*'In Process Calc.'!$C17^3 +Regression!$CB$27*3*'In Process Calc.'!$C17^2 + Regression!$CA$27*2*'In Process Calc.'!$C17 + Regression!$BZ$27)/$A17</f>
        <v>0</v>
      </c>
      <c r="Z17" s="115">
        <f xml:space="preserve"> (Regression!$CE$28*6*'In Process Calc.'!$C17^5+Regression!$CD$28*5*'In Process Calc.'!$C17^4+Regression!$CC$28*4*'In Process Calc.'!$C17^3 +Regression!$CB$28*3*'In Process Calc.'!$C17^2 + Regression!$CA$28*2*'In Process Calc.'!$C17 + Regression!$BZ$28)/$A17</f>
        <v>0</v>
      </c>
      <c r="AA17" s="115">
        <f xml:space="preserve"> (Regression!$CE$29*6*'In Process Calc.'!$C17^5+Regression!$CD$29*5*'In Process Calc.'!$C17^4+Regression!$CC$29*4*'In Process Calc.'!$C17^3 +Regression!$CB$29*3*'In Process Calc.'!$C17^2 + Regression!$CA$29*2*'In Process Calc.'!$C17 + Regression!$BZ$29)/$A17</f>
        <v>0</v>
      </c>
      <c r="AB17" s="115">
        <f xml:space="preserve"> (Regression!$CE$30*6*'In Process Calc.'!$C17^5+Regression!$CD$30*5*'In Process Calc.'!$C17^4+Regression!$CC$30*4*'In Process Calc.'!$C17^3 +Regression!$CB$30*3*'In Process Calc.'!$C17^2 + Regression!$CA$30*2*'In Process Calc.'!$C17 + Regression!$BZ$30)/$A17</f>
        <v>0</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6.7630023150586999E-2</v>
      </c>
      <c r="AE17" s="115">
        <f xml:space="preserve"> (Regression!$CE$33*6*'In Process Calc.'!$C17^5+Regression!$CD$33*5*'In Process Calc.'!$C17^4+Regression!$CC$33*4*'In Process Calc.'!$C17^3 +Regression!$CB$33*3*'In Process Calc.'!$C17^2 + Regression!$CA$33*2*'In Process Calc.'!$C17 + Regression!$BZ$33)/$A17</f>
        <v>8.4687586143377513E-2</v>
      </c>
      <c r="AF17" s="115">
        <f xml:space="preserve"> (Regression!$CE$34*6*'In Process Calc.'!$C17^5+Regression!$CD$34*5*'In Process Calc.'!$C17^4+Regression!$CC$34*4*'In Process Calc.'!$C17^3 +Regression!$CB$34*3*'In Process Calc.'!$C17^2 + Regression!$CA$34*2*'In Process Calc.'!$C17 + Regression!$BZ$34)/$A17</f>
        <v>0.1347043286111074</v>
      </c>
      <c r="AG17" s="116">
        <f t="shared" si="0"/>
        <v>0.24718765497214429</v>
      </c>
      <c r="AH17" s="116">
        <f t="shared" si="3"/>
        <v>0</v>
      </c>
      <c r="AI17" s="116">
        <f t="shared" si="1"/>
        <v>-2.2126638427083643E-2</v>
      </c>
      <c r="AJ17" s="116">
        <f t="shared" si="2"/>
        <v>0</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69">
      <c r="A19" s="504" t="s">
        <v>706</v>
      </c>
      <c r="B19" s="511" t="s">
        <v>709</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0.36159999315738678</v>
      </c>
      <c r="B20" s="119">
        <f>('Measured Data'!H7*'In Process Calc.'!J3+'In Process Calc.'!E4*'Measured Data'!H8)/2/1000</f>
        <v>0.69622198686218262</v>
      </c>
      <c r="C20" s="118">
        <f xml:space="preserve"> (Regression!$CE$13*6*'Growth Regression'!S2^5+Regression!$CD$13*5*'Growth Regression'!S2^4+Regression!$CC$13*4*'Growth Regression'!S2^3+Regression!$CB$13*3*'Growth Regression'!S2^2  + Regression!$CA$13*2*'Growth Regression'!S2 + Regression!$BZ$13)/$A20</f>
        <v>0.14168145947515648</v>
      </c>
      <c r="D20" s="117">
        <f xml:space="preserve"> (Regression!$CE$19*6*'Growth Regression'!S2^5+Regression!$CD$19*5*'Growth Regression'!S2^4+Regression!$CC$19*4*'Growth Regression'!S2^3 +Regression!$CB$19*3*'Growth Regression'!S2^2 + Regression!$CA$19*2*'Growth Regression'!S2 + Regression!$BZ$19)/$B20</f>
        <v>2.3868760813708263E-2</v>
      </c>
      <c r="E20" s="117">
        <f xml:space="preserve"> (Regression!$CE$14*6*'Growth Regression'!S2^5+Regression!$CD$14*5*'Growth Regression'!S2^4+Regression!$CC$14*4*'Growth Regression'!S2^3+Regression!$CB$14*3*'Growth Regression'!S2^2  + Regression!$CA$14*2*'Growth Regression'!S2 + Regression!$BZ$14)/$B20</f>
        <v>-4.2635321586077531E-2</v>
      </c>
      <c r="F20" s="117">
        <f xml:space="preserve"> (Regression!$CE$10*6*'Growth Regression'!S2^6+Regression!$CD$10*5*'Growth Regression'!S2^5+Regression!$CC$10*4*'Growth Regression'!S2^3+Regression!$CB$10*3*'Growth Regression'!S2^2  + Regression!$CA$10*2*'Growth Regression'!S2 + Regression!$BZ$10)/$B20</f>
        <v>1.5869383937746361E-2</v>
      </c>
      <c r="G20" s="117">
        <f xml:space="preserve"> (Regression!$CE$11*6*'Growth Regression'!S2^6+Regression!$CD$11*5*'Growth Regression'!S2^5+Regression!$CC$11*4*'Growth Regression'!S2^3+Regression!$CB$11*3*'Growth Regression'!S2^2  + Regression!$CA$11*2*'Growth Regression'!S2 + Regression!$BZ$11)/$B20</f>
        <v>7.778113486920453E-2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0.64159999315738669</v>
      </c>
      <c r="B21" s="119">
        <f>('Measured Data'!H8*'In Process Calc.'!J4+'In Process Calc.'!E5*'Measured Data'!H9)/2/1000</f>
        <v>1.2257219868621823</v>
      </c>
      <c r="C21" s="118">
        <f xml:space="preserve"> (Regression!$CE$13*6*'Growth Regression'!S3^5+Regression!$CD$13*5*'Growth Regression'!S3^4+Regression!$CC$13*4*'Growth Regression'!S3^3+Regression!$CB$13*3*'Growth Regression'!S3^2  + Regression!$CA$13*2*'Growth Regression'!S3 + Regression!$BZ$13)/$A21</f>
        <v>9.6502611716234005E-2</v>
      </c>
      <c r="D21" s="117">
        <f xml:space="preserve"> (Regression!$CE$19*6*'Growth Regression'!S3^5+Regression!$CD$19*5*'Growth Regression'!S3^4+Regression!$CC$19*4*'Growth Regression'!S3^3 +Regression!$CB$19*3*'Growth Regression'!S3^2 + Regression!$CA$19*2*'Growth Regression'!S3 + Regression!$BZ$19)/$B21</f>
        <v>5.6760330276691424E-2</v>
      </c>
      <c r="E21" s="117">
        <f xml:space="preserve"> (Regression!$CE$14*6*'Growth Regression'!S3^5+Regression!$CD$14*5*'Growth Regression'!S3^4+Regression!$CC$14*4*'Growth Regression'!S3^3+Regression!$CB$14*3*'Growth Regression'!S3^2  + Regression!$CA$14*2*'Growth Regression'!S3 + Regression!$BZ$14)/$B21</f>
        <v>6.1179004635509874E-3</v>
      </c>
      <c r="F21" s="117">
        <f xml:space="preserve"> (Regression!$CE$10*6*'Growth Regression'!S3^6+Regression!$CD$10*5*'Growth Regression'!S3^5+Regression!$CC$10*4*'Growth Regression'!S3^3+Regression!$CB$10*3*'Growth Regression'!S3^2  + Regression!$CA$10*2*'Growth Regression'!S3 + Regression!$BZ$10)/$B21</f>
        <v>-5.0216146734615988E-3</v>
      </c>
      <c r="G21" s="117">
        <f xml:space="preserve"> (Regression!$CE$11*6*'Growth Regression'!S3^6+Regression!$CD$11*5*'Growth Regression'!S3^5+Regression!$CC$11*4*'Growth Regression'!S3^3+Regression!$CB$11*3*'Growth Regression'!S3^2  + Regression!$CA$11*2*'Growth Regression'!S3 + Regression!$BZ$11)/$B21</f>
        <v>9.9977312225397602E-3</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1.1408499730110169</v>
      </c>
      <c r="B22" s="119">
        <f>('Measured Data'!H9*'In Process Calc.'!J5+'In Process Calc.'!E6*'Measured Data'!H10)/2/1000</f>
        <v>2.1521245493686676</v>
      </c>
      <c r="C22" s="118">
        <f xml:space="preserve"> (Regression!$CE$13*6*'Growth Regression'!S4^5+Regression!$CD$13*5*'Growth Regression'!S4^4+Regression!$CC$13*4*'Growth Regression'!S4^3+Regression!$CB$13*3*'Growth Regression'!S4^2  + Regression!$CA$13*2*'Growth Regression'!S4 + Regression!$BZ$13)/$A22</f>
        <v>8.8933452765325743E-2</v>
      </c>
      <c r="D22" s="117">
        <f xml:space="preserve"> (Regression!$CE$19*6*'Growth Regression'!S4^5+Regression!$CD$19*5*'Growth Regression'!S4^4+Regression!$CC$19*4*'Growth Regression'!S4^3 +Regression!$CB$19*3*'Growth Regression'!S4^2 + Regression!$CA$19*2*'Growth Regression'!S4 + Regression!$BZ$19)/$B22</f>
        <v>5.6962083011659413E-2</v>
      </c>
      <c r="E22" s="117">
        <f xml:space="preserve"> (Regression!$CE$14*6*'Growth Regression'!S4^5+Regression!$CD$14*5*'Growth Regression'!S4^4+Regression!$CC$14*4*'Growth Regression'!S4^3+Regression!$CB$14*3*'Growth Regression'!S4^2  + Regression!$CA$14*2*'Growth Regression'!S4 + Regression!$BZ$14)/$B22</f>
        <v>-8.8274764218137039E-4</v>
      </c>
      <c r="F22" s="117">
        <f xml:space="preserve"> (Regression!$CE$10*6*'Growth Regression'!S4^6+Regression!$CD$10*5*'Growth Regression'!S4^5+Regression!$CC$10*4*'Growth Regression'!S4^3+Regression!$CB$10*3*'Growth Regression'!S4^2  + Regression!$CA$10*2*'Growth Regression'!S4 + Regression!$BZ$10)/$B22</f>
        <v>-3.2568936396333761E-3</v>
      </c>
      <c r="G22" s="117">
        <f xml:space="preserve"> (Regression!$CE$11*6*'Growth Regression'!S4^6+Regression!$CD$11*5*'Growth Regression'!S4^5+Regression!$CC$11*4*'Growth Regression'!S4^3+Regression!$CB$11*3*'Growth Regression'!S4^2  + Regression!$CA$11*2*'Growth Regression'!S4 + Regression!$BZ$11)/$B22</f>
        <v>-7.1214510274316793E-3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2.0983499718666079</v>
      </c>
      <c r="B23" s="119">
        <f>('Measured Data'!H10*'In Process Calc.'!J6+'In Process Calc.'!E7*'Measured Data'!H11)/2/1000</f>
        <v>3.9159920472389227</v>
      </c>
      <c r="C23" s="118">
        <f xml:space="preserve"> (Regression!$CE$13*6*'Growth Regression'!S5^5+Regression!$CD$13*5*'Growth Regression'!S5^4+Regression!$CC$13*4*'Growth Regression'!S5^3+Regression!$CB$13*3*'Growth Regression'!S5^2  + Regression!$CA$13*2*'Growth Regression'!S5 + Regression!$BZ$13)/$A23</f>
        <v>7.6048059699223167E-2</v>
      </c>
      <c r="D23" s="117">
        <f xml:space="preserve"> (Regression!$CE$19*6*'Growth Regression'!S5^5+Regression!$CD$19*5*'Growth Regression'!S5^4+Regression!$CC$19*4*'Growth Regression'!S5^3 +Regression!$CB$19*3*'Growth Regression'!S5^2 + Regression!$CA$19*2*'Growth Regression'!S5 + Regression!$BZ$19)/$B23</f>
        <v>3.9844846263097651E-2</v>
      </c>
      <c r="E23" s="117">
        <f xml:space="preserve"> (Regression!$CE$14*6*'Growth Regression'!S5^5+Regression!$CD$14*5*'Growth Regression'!S5^4+Regression!$CC$14*4*'Growth Regression'!S5^3+Regression!$CB$14*3*'Growth Regression'!S5^2  + Regression!$CA$14*2*'Growth Regression'!S5 + Regression!$BZ$14)/$B23</f>
        <v>-7.0498276647476691E-3</v>
      </c>
      <c r="F23" s="117">
        <f xml:space="preserve"> (Regression!$CE$10*6*'Growth Regression'!S5^6+Regression!$CD$10*5*'Growth Regression'!S5^5+Regression!$CC$10*4*'Growth Regression'!S5^3+Regression!$CB$10*3*'Growth Regression'!S5^2  + Regression!$CA$10*2*'Growth Regression'!S5 + Regression!$BZ$10)/$B23</f>
        <v>1.0290447878109857E-3</v>
      </c>
      <c r="G23" s="117">
        <f xml:space="preserve"> (Regression!$CE$11*6*'Growth Regression'!S5^6+Regression!$CD$11*5*'Growth Regression'!S5^5+Regression!$CC$11*4*'Growth Regression'!S5^3+Regression!$CB$11*3*'Growth Regression'!S5^2  + Regression!$CA$11*2*'Growth Regression'!S5 + Regression!$BZ$11)/$B23</f>
        <v>-7.3770227471512129E-3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3.3895500732421873</v>
      </c>
      <c r="B24" s="119">
        <f>('Measured Data'!H11*'In Process Calc.'!J7+'In Process Calc.'!E8*'Measured Data'!H12)/2/1000</f>
        <v>6.3311688167874092</v>
      </c>
      <c r="C24" s="118">
        <f xml:space="preserve"> (Regression!$CE$13*6*'Growth Regression'!S6^5+Regression!$CD$13*5*'Growth Regression'!S6^4+Regression!$CC$13*4*'Growth Regression'!S6^3+Regression!$CB$13*3*'Growth Regression'!S6^2  + Regression!$CA$13*2*'Growth Regression'!S6 + Regression!$BZ$13)/$A24</f>
        <v>6.751274483686158E-2</v>
      </c>
      <c r="D24" s="117">
        <f xml:space="preserve"> (Regression!$CE$19*6*'Growth Regression'!S6^5+Regression!$CD$19*5*'Growth Regression'!S6^4+Regression!$CC$19*4*'Growth Regression'!S6^3 +Regression!$CB$19*3*'Growth Regression'!S6^2 + Regression!$CA$19*2*'Growth Regression'!S6 + Regression!$BZ$19)/$B24</f>
        <v>2.5972966531969826E-2</v>
      </c>
      <c r="E24" s="117">
        <f xml:space="preserve"> (Regression!$CE$14*6*'Growth Regression'!S6^5+Regression!$CD$14*5*'Growth Regression'!S6^4+Regression!$CC$14*4*'Growth Regression'!S6^3+Regression!$CB$14*3*'Growth Regression'!S6^2  + Regression!$CA$14*2*'Growth Regression'!S6 + Regression!$BZ$14)/$B24</f>
        <v>-8.0374712413070325E-3</v>
      </c>
      <c r="F24" s="117">
        <f xml:space="preserve"> (Regression!$CE$10*6*'Growth Regression'!S6^6+Regression!$CD$10*5*'Growth Regression'!S6^5+Regression!$CC$10*4*'Growth Regression'!S6^3+Regression!$CB$10*3*'Growth Regression'!S6^2  + Regression!$CA$10*2*'Growth Regression'!S6 + Regression!$BZ$10)/$B24</f>
        <v>3.4329040275665854E-3</v>
      </c>
      <c r="G24" s="117">
        <f xml:space="preserve"> (Regression!$CE$11*6*'Growth Regression'!S6^6+Regression!$CD$11*5*'Growth Regression'!S6^5+Regression!$CC$11*4*'Growth Regression'!S6^3+Regression!$CB$11*3*'Growth Regression'!S6^2  + Regression!$CA$11*2*'Growth Regression'!S6 + Regression!$BZ$11)/$B24</f>
        <v>-5.1594592978489069E-3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479</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3.75">
      <c r="A25" s="117">
        <f>AVERAGE('Measured Data'!H12:H13)</f>
        <v>5.3854001594543455</v>
      </c>
      <c r="B25" s="119">
        <f>('Measured Data'!H12*'In Process Calc.'!J8+'In Process Calc.'!E9*'Measured Data'!H13)/2/1000</f>
        <v>10.122055468054779</v>
      </c>
      <c r="C25" s="118">
        <f xml:space="preserve"> (Regression!$CE$13*6*'Growth Regression'!S7^5+Regression!$CD$13*5*'Growth Regression'!S7^4+Regression!$CC$13*4*'Growth Regression'!S7^3+Regression!$CB$13*3*'Growth Regression'!S7^2  + Regression!$CA$13*2*'Growth Regression'!S7 + Regression!$BZ$13)/$A25</f>
        <v>5.7172683262818207E-2</v>
      </c>
      <c r="D25" s="117">
        <f xml:space="preserve"> (Regression!$CE$19*6*'Growth Regression'!S7^5+Regression!$CD$19*5*'Growth Regression'!S7^4+Regression!$CC$19*4*'Growth Regression'!S7^3 +Regression!$CB$19*3*'Growth Regression'!S7^2 + Regression!$CA$19*2*'Growth Regression'!S7 + Regression!$BZ$19)/$B25</f>
        <v>1.4386234443646301E-2</v>
      </c>
      <c r="E25" s="117">
        <f xml:space="preserve"> (Regression!$CE$14*6*'Growth Regression'!S7^5+Regression!$CD$14*5*'Growth Regression'!S7^4+Regression!$CC$14*4*'Growth Regression'!S7^3+Regression!$CB$14*3*'Growth Regression'!S7^2  + Regression!$CA$14*2*'Growth Regression'!S7 + Regression!$BZ$14)/$B25</f>
        <v>-6.3188815405761751E-3</v>
      </c>
      <c r="F25" s="117">
        <f xml:space="preserve"> (Regression!$CE$10*6*'Growth Regression'!S7^6+Regression!$CD$10*5*'Growth Regression'!S7^5+Regression!$CC$10*4*'Growth Regression'!S7^3+Regression!$CB$10*3*'Growth Regression'!S7^2  + Regression!$CA$10*2*'Growth Regression'!S7 + Regression!$BZ$10)/$B25</f>
        <v>4.2852971946348148E-3</v>
      </c>
      <c r="G25" s="117">
        <f xml:space="preserve"> (Regression!$CE$11*6*'Growth Regression'!S7^6+Regression!$CD$11*5*'Growth Regression'!S7^5+Regression!$CC$11*4*'Growth Regression'!S7^3+Regression!$CB$11*3*'Growth Regression'!S7^2  + Regression!$CA$11*2*'Growth Regression'!S7 + Regression!$BZ$11)/$B25</f>
        <v>-2.9030930592888636E-3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8.3361998630523679</v>
      </c>
      <c r="B26" s="119">
        <f>('Measured Data'!H13*'In Process Calc.'!J9+'In Process Calc.'!E10*'Measured Data'!H14)/2/1000</f>
        <v>15.763406430089429</v>
      </c>
      <c r="C26" s="118">
        <f xml:space="preserve"> (Regression!$CE$13*6*'Growth Regression'!S8^5+Regression!$CD$13*5*'Growth Regression'!S8^4+Regression!$CC$13*4*'Growth Regression'!S8^3+Regression!$CB$13*3*'Growth Regression'!S8^2  + Regression!$CA$13*2*'Growth Regression'!S8 + Regression!$BZ$13)/$A26</f>
        <v>4.7569789983488348E-2</v>
      </c>
      <c r="D26" s="117">
        <f xml:space="preserve"> (Regression!$CE$19*6*'Growth Regression'!S8^5+Regression!$CD$19*5*'Growth Regression'!S8^4+Regression!$CC$19*4*'Growth Regression'!S8^3 +Regression!$CB$19*3*'Growth Regression'!S8^2 + Regression!$CA$19*2*'Growth Regression'!S8 + Regression!$BZ$19)/$B26</f>
        <v>6.0691215806835492E-3</v>
      </c>
      <c r="E26" s="117">
        <f xml:space="preserve"> (Regression!$CE$14*6*'Growth Regression'!S8^5+Regression!$CD$14*5*'Growth Regression'!S8^4+Regression!$CC$14*4*'Growth Regression'!S8^3+Regression!$CB$14*3*'Growth Regression'!S8^2  + Regression!$CA$14*2*'Growth Regression'!S8 + Regression!$BZ$14)/$B26</f>
        <v>-3.9333998407575371E-3</v>
      </c>
      <c r="F26" s="117">
        <f xml:space="preserve"> (Regression!$CE$10*6*'Growth Regression'!S8^6+Regression!$CD$10*5*'Growth Regression'!S8^5+Regression!$CC$10*4*'Growth Regression'!S8^3+Regression!$CB$10*3*'Growth Regression'!S8^2  + Regression!$CA$10*2*'Growth Regression'!S8 + Regression!$BZ$10)/$B26</f>
        <v>4.2286911415685743E-3</v>
      </c>
      <c r="G26" s="117">
        <f xml:space="preserve"> (Regression!$CE$11*6*'Growth Regression'!S8^6+Regression!$CD$11*5*'Growth Regression'!S8^5+Regression!$CC$11*4*'Growth Regression'!S8^3+Regression!$CB$11*3*'Growth Regression'!S8^2  + Regression!$CA$11*2*'Growth Regression'!S8 + Regression!$BZ$11)/$B26</f>
        <v>-1.2864779853748109E-3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0.45000000006984919</v>
      </c>
      <c r="AL26" s="290">
        <f>'Measured Data'!U7</f>
        <v>5.8999999999999997E-2</v>
      </c>
      <c r="AM26" s="290">
        <f>'Measured Data'!V7</f>
        <v>1.9039999999999999</v>
      </c>
      <c r="AN26" s="290">
        <f>'Measured Data'!W7</f>
        <v>5.7690000000000001</v>
      </c>
      <c r="AO26" s="290">
        <f>'Measured Data'!X7</f>
        <v>1.6990000000000001</v>
      </c>
      <c r="AP26" s="290">
        <f>'Measured Data'!Y7</f>
        <v>1.016</v>
      </c>
      <c r="AQ26" s="290">
        <f>'Measured Data'!Z7</f>
        <v>33.470991807100511</v>
      </c>
      <c r="AR26" s="290">
        <f>'Measured Data'!AA7</f>
        <v>0</v>
      </c>
      <c r="AS26" s="290">
        <f>'Measured Data'!AB7</f>
        <v>2.2559999999999998</v>
      </c>
      <c r="AT26" s="290">
        <f>'Measured Data'!AC7</f>
        <v>0</v>
      </c>
      <c r="AU26" s="290">
        <f>'Measured Data'!AD7</f>
        <v>0</v>
      </c>
      <c r="AV26" s="290">
        <f>'Measured Data'!AE7</f>
        <v>0</v>
      </c>
      <c r="AW26" s="290">
        <f>'Measured Data'!AF7</f>
        <v>0.9991119005328597</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11.224649770355224</v>
      </c>
      <c r="B27" s="119">
        <f>('Measured Data'!H14*'In Process Calc.'!J10+'In Process Calc.'!E11*'Measured Data'!H15)/2/1000</f>
        <v>21.437078518147871</v>
      </c>
      <c r="C27" s="118">
        <f xml:space="preserve"> (Regression!$CE$13*6*'Growth Regression'!S9^5+Regression!$CD$13*5*'Growth Regression'!S9^4+Regression!$CC$13*4*'Growth Regression'!S9^3+Regression!$CB$13*3*'Growth Regression'!S9^2  + Regression!$CA$13*2*'Growth Regression'!S9 + Regression!$BZ$13)/$A27</f>
        <v>4.2933421169757249E-2</v>
      </c>
      <c r="D27" s="117">
        <f xml:space="preserve"> (Regression!$CE$19*6*'Growth Regression'!S9^5+Regression!$CD$19*5*'Growth Regression'!S9^4+Regression!$CC$19*4*'Growth Regression'!S9^3 +Regression!$CB$19*3*'Growth Regression'!S9^2 + Regression!$CA$19*2*'Growth Regression'!S9 + Regression!$BZ$19)/$B27</f>
        <v>1.0503141586855438E-3</v>
      </c>
      <c r="E27" s="117">
        <f xml:space="preserve"> (Regression!$CE$14*6*'Growth Regression'!S9^5+Regression!$CD$14*5*'Growth Regression'!S9^4+Regression!$CC$14*4*'Growth Regression'!S9^3+Regression!$CB$14*3*'Growth Regression'!S9^2  + Regression!$CA$14*2*'Growth Regression'!S9 + Regression!$BZ$14)/$B27</f>
        <v>-2.0974193157728346E-3</v>
      </c>
      <c r="F27" s="117">
        <f xml:space="preserve"> (Regression!$CE$10*6*'Growth Regression'!S9^6+Regression!$CD$10*5*'Growth Regression'!S9^5+Regression!$CC$10*4*'Growth Regression'!S9^3+Regression!$CB$10*3*'Growth Regression'!S9^2  + Regression!$CA$10*2*'Growth Regression'!S9 + Regression!$BZ$10)/$B27</f>
        <v>3.992106310231283E-3</v>
      </c>
      <c r="G27" s="117">
        <f xml:space="preserve"> (Regression!$CE$11*6*'Growth Regression'!S9^6+Regression!$CD$11*5*'Growth Regression'!S9^5+Regression!$CC$11*4*'Growth Regression'!S9^3+Regression!$CB$11*3*'Growth Regression'!S9^2  + Regression!$CA$11*2*'Growth Regression'!S9 + Regression!$BZ$11)/$B27</f>
        <v>-3.7844230722389063E-4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21.116666666697711</v>
      </c>
      <c r="AL27" s="290">
        <f>'Measured Data'!U8</f>
        <v>6.7000000000000004E-2</v>
      </c>
      <c r="AM27" s="290">
        <f>'Measured Data'!V8</f>
        <v>2.012</v>
      </c>
      <c r="AN27" s="290">
        <f>'Measured Data'!W8</f>
        <v>5.89</v>
      </c>
      <c r="AO27" s="290">
        <f>'Measured Data'!X8</f>
        <v>1.825</v>
      </c>
      <c r="AP27" s="290">
        <f>'Measured Data'!Y8</f>
        <v>1.115</v>
      </c>
      <c r="AQ27" s="290">
        <f>'Measured Data'!Z8</f>
        <v>33.91505139989787</v>
      </c>
      <c r="AR27" s="290">
        <f>'Measured Data'!AA8</f>
        <v>0</v>
      </c>
      <c r="AS27" s="290">
        <f>'Measured Data'!AB8</f>
        <v>2.3919999999999999</v>
      </c>
      <c r="AT27" s="290">
        <f>'Measured Data'!AC8</f>
        <v>0</v>
      </c>
      <c r="AU27" s="290">
        <f>'Measured Data'!AD8</f>
        <v>0</v>
      </c>
      <c r="AV27" s="290">
        <f>'Measured Data'!AE8</f>
        <v>0</v>
      </c>
      <c r="AW27" s="290">
        <f>'Measured Data'!AF8</f>
        <v>1.5541740674955598</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14.084949834442138</v>
      </c>
      <c r="B28" s="119">
        <f>('Measured Data'!H15*'In Process Calc.'!J11+'In Process Calc.'!E12*'Measured Data'!H16)/2/1000</f>
        <v>27.039767671662048</v>
      </c>
      <c r="C28" s="118">
        <f xml:space="preserve"> (Regression!$CE$13*6*'Growth Regression'!S10^5+Regression!$CD$13*5*'Growth Regression'!S10^4+Regression!$CC$13*4*'Growth Regression'!S10^3+Regression!$CB$13*3*'Growth Regression'!S10^2  + Regression!$CA$13*2*'Growth Regression'!S10 + Regression!$BZ$13)/$A28</f>
        <v>3.9759826158421149E-2</v>
      </c>
      <c r="D28" s="117">
        <f xml:space="preserve"> (Regression!$CE$19*6*'Growth Regression'!S10^5+Regression!$CD$19*5*'Growth Regression'!S10^4+Regression!$CC$19*4*'Growth Regression'!S10^3 +Regression!$CB$19*3*'Growth Regression'!S10^2 + Regression!$CA$19*2*'Growth Regression'!S10 + Regression!$BZ$19)/$B28</f>
        <v>-2.352584080629559E-3</v>
      </c>
      <c r="E28" s="117">
        <f xml:space="preserve"> (Regression!$CE$14*6*'Growth Regression'!S10^5+Regression!$CD$14*5*'Growth Regression'!S10^4+Regression!$CC$14*4*'Growth Regression'!S10^3+Regression!$CB$14*3*'Growth Regression'!S10^2  + Regression!$CA$14*2*'Growth Regression'!S10 + Regression!$BZ$14)/$B28</f>
        <v>-6.5328513771699837E-4</v>
      </c>
      <c r="F28" s="117">
        <f xml:space="preserve"> (Regression!$CE$10*6*'Growth Regression'!S10^6+Regression!$CD$10*5*'Growth Regression'!S10^5+Regression!$CC$10*4*'Growth Regression'!S10^3+Regression!$CB$10*3*'Growth Regression'!S10^2  + Regression!$CA$10*2*'Growth Regression'!S10 + Regression!$BZ$10)/$B28</f>
        <v>3.5677549154578773E-3</v>
      </c>
      <c r="G28" s="117">
        <f xml:space="preserve"> (Regression!$CE$11*6*'Growth Regression'!S10^6+Regression!$CD$11*5*'Growth Regression'!S10^5+Regression!$CC$11*4*'Growth Regression'!S10^3+Regression!$CB$11*3*'Growth Regression'!S10^2  + Regression!$CA$11*2*'Growth Regression'!S10 + Regression!$BZ$11)/$B28</f>
        <v>1.800795084200868E-4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48.383333333360497</v>
      </c>
      <c r="AL28" s="290">
        <f>'Measured Data'!U9</f>
        <v>6.6000000000000003E-2</v>
      </c>
      <c r="AM28" s="290">
        <f>'Measured Data'!V9</f>
        <v>1.772</v>
      </c>
      <c r="AN28" s="290">
        <f>'Measured Data'!W9</f>
        <v>5.2729999999999997</v>
      </c>
      <c r="AO28" s="290">
        <f>'Measured Data'!X9</f>
        <v>1.708</v>
      </c>
      <c r="AP28" s="290">
        <f>'Measured Data'!Y9</f>
        <v>1.03</v>
      </c>
      <c r="AQ28" s="290">
        <f>'Measured Data'!Z9</f>
        <v>32.083305579608783</v>
      </c>
      <c r="AR28" s="290">
        <f>'Measured Data'!AA9</f>
        <v>0.27500000000000002</v>
      </c>
      <c r="AS28" s="290">
        <f>'Measured Data'!AB9</f>
        <v>2.2530000000000001</v>
      </c>
      <c r="AT28" s="290">
        <f>'Measured Data'!AC9</f>
        <v>0</v>
      </c>
      <c r="AU28" s="290">
        <f>'Measured Data'!AD9</f>
        <v>0</v>
      </c>
      <c r="AV28" s="290">
        <f>'Measured Data'!AE9</f>
        <v>0</v>
      </c>
      <c r="AW28" s="290">
        <f>'Measured Data'!AF9</f>
        <v>2.6642984014209592</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16.0685494972229</v>
      </c>
      <c r="B29" s="119">
        <f>('Measured Data'!H16*'In Process Calc.'!J12+'In Process Calc.'!E13*'Measured Data'!H17)/2/1000</f>
        <v>30.371239664302255</v>
      </c>
      <c r="C29" s="118">
        <f xml:space="preserve"> (Regression!$CE$13*6*'Growth Regression'!S11^5+Regression!$CD$13*5*'Growth Regression'!S11^4+Regression!$CC$13*4*'Growth Regression'!S11^3+Regression!$CB$13*3*'Growth Regression'!S11^2  + Regression!$CA$13*2*'Growth Regression'!S11 + Regression!$BZ$13)/$A29</f>
        <v>3.8905966759615829E-2</v>
      </c>
      <c r="D29" s="117">
        <f xml:space="preserve"> (Regression!$CE$19*6*'Growth Regression'!S11^5+Regression!$CD$19*5*'Growth Regression'!S11^4+Regression!$CC$19*4*'Growth Regression'!S11^3 +Regression!$CB$19*3*'Growth Regression'!S11^2 + Regression!$CA$19*2*'Growth Regression'!S11 + Regression!$BZ$19)/$B29</f>
        <v>-4.8190449396288615E-3</v>
      </c>
      <c r="E29" s="117">
        <f xml:space="preserve"> (Regression!$CE$14*6*'Growth Regression'!S11^5+Regression!$CD$14*5*'Growth Regression'!S11^4+Regression!$CC$14*4*'Growth Regression'!S11^3+Regression!$CB$14*3*'Growth Regression'!S11^2  + Regression!$CA$14*2*'Growth Regression'!S11 + Regression!$BZ$14)/$B29</f>
        <v>4.1782871129268488E-4</v>
      </c>
      <c r="F29" s="117">
        <f xml:space="preserve"> (Regression!$CE$10*6*'Growth Regression'!S11^6+Regression!$CD$10*5*'Growth Regression'!S11^5+Regression!$CC$10*4*'Growth Regression'!S11^3+Regression!$CB$10*3*'Growth Regression'!S11^2  + Regression!$CA$10*2*'Growth Regression'!S11 + Regression!$BZ$10)/$B29</f>
        <v>3.1241600509410244E-3</v>
      </c>
      <c r="G29" s="117">
        <f xml:space="preserve"> (Regression!$CE$11*6*'Growth Regression'!S11^6+Regression!$CD$11*5*'Growth Regression'!S11^5+Regression!$CC$11*4*'Growth Regression'!S11^3+Regression!$CB$11*3*'Growth Regression'!S11^2  + Regression!$CA$11*2*'Growth Regression'!S11 + Regression!$BZ$11)/$B29</f>
        <v>5.3545626630083806E-4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70.883333333360497</v>
      </c>
      <c r="AL29" s="290">
        <f>'Measured Data'!U10</f>
        <v>0.10299999999999999</v>
      </c>
      <c r="AM29" s="290">
        <f>'Measured Data'!V10</f>
        <v>1.6379999999999999</v>
      </c>
      <c r="AN29" s="290">
        <f>'Measured Data'!W10</f>
        <v>4.3479999999999999</v>
      </c>
      <c r="AO29" s="290">
        <f>'Measured Data'!X10</f>
        <v>1.671</v>
      </c>
      <c r="AP29" s="290">
        <f>'Measured Data'!Y10</f>
        <v>0.94299999999999995</v>
      </c>
      <c r="AQ29" s="290">
        <f>'Measured Data'!Z10</f>
        <v>28.75285863362863</v>
      </c>
      <c r="AR29" s="290">
        <f>'Measured Data'!AA10</f>
        <v>0.36599999999999999</v>
      </c>
      <c r="AS29" s="290">
        <f>'Measured Data'!AB10</f>
        <v>2.2280000000000002</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16.133499486541748</v>
      </c>
      <c r="B30" s="119">
        <f>('Measured Data'!H17*'In Process Calc.'!J13+'In Process Calc.'!E14*'Measured Data'!H18)/2/1000</f>
        <v>29.976566000726621</v>
      </c>
      <c r="C30" s="118">
        <f xml:space="preserve"> (Regression!$CE$13*6*'Growth Regression'!S12^5+Regression!$CD$13*5*'Growth Regression'!S12^4+Regression!$CC$13*4*'Growth Regression'!S12^3+Regression!$CB$13*3*'Growth Regression'!S12^2  + Regression!$CA$13*2*'Growth Regression'!S12 + Regression!$BZ$13)/$A30</f>
        <v>4.1505521235241719E-2</v>
      </c>
      <c r="D30" s="117">
        <f xml:space="preserve"> (Regression!$CE$19*6*'Growth Regression'!S12^5+Regression!$CD$19*5*'Growth Regression'!S12^4+Regression!$CC$19*4*'Growth Regression'!S12^3 +Regression!$CB$19*3*'Growth Regression'!S12^2 + Regression!$CA$19*2*'Growth Regression'!S12 + Regression!$BZ$19)/$B30</f>
        <v>-6.6933398724203438E-3</v>
      </c>
      <c r="E30" s="117">
        <f xml:space="preserve"> (Regression!$CE$14*6*'Growth Regression'!S12^5+Regression!$CD$14*5*'Growth Regression'!S12^4+Regression!$CC$14*4*'Growth Regression'!S12^3+Regression!$CB$14*3*'Growth Regression'!S12^2  + Regression!$CA$14*2*'Growth Regression'!S12 + Regression!$BZ$14)/$B30</f>
        <v>1.2205660087457146E-3</v>
      </c>
      <c r="F30" s="117">
        <f xml:space="preserve"> (Regression!$CE$10*6*'Growth Regression'!S12^6+Regression!$CD$10*5*'Growth Regression'!S12^5+Regression!$CC$10*4*'Growth Regression'!S12^3+Regression!$CB$10*3*'Growth Regression'!S12^2  + Regression!$CA$10*2*'Growth Regression'!S12 + Regression!$BZ$10)/$B30</f>
        <v>2.5481701656887615E-3</v>
      </c>
      <c r="G30" s="117">
        <f xml:space="preserve"> (Regression!$CE$11*6*'Growth Regression'!S12^6+Regression!$CD$11*5*'Growth Regression'!S12^5+Regression!$CC$11*4*'Growth Regression'!S12^3+Regression!$CB$11*3*'Growth Regression'!S12^2  + Regression!$CA$11*2*'Growth Regression'!S12 + Regression!$BZ$11)/$B30</f>
        <v>7.7561129032786846E-4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95.366666666697711</v>
      </c>
      <c r="AL30" s="290">
        <f>'Measured Data'!U11</f>
        <v>0.27500000000000002</v>
      </c>
      <c r="AM30" s="290">
        <f>'Measured Data'!V11</f>
        <v>2.02</v>
      </c>
      <c r="AN30" s="290">
        <f>'Measured Data'!W11</f>
        <v>5.593</v>
      </c>
      <c r="AO30" s="290">
        <f>'Measured Data'!X11</f>
        <v>1.6419999999999999</v>
      </c>
      <c r="AP30" s="290">
        <f>'Measured Data'!Y11</f>
        <v>0.86599999999999999</v>
      </c>
      <c r="AQ30" s="290">
        <f>'Measured Data'!Z11</f>
        <v>32.860409867004151</v>
      </c>
      <c r="AR30" s="290">
        <f>'Measured Data'!AA11</f>
        <v>0.66800000000000004</v>
      </c>
      <c r="AS30" s="290">
        <f>'Measured Data'!AB11</f>
        <v>6.4169999999999998</v>
      </c>
      <c r="AT30" s="290">
        <f>'Measured Data'!AC11</f>
        <v>0</v>
      </c>
      <c r="AU30" s="290">
        <f>'Measured Data'!AD11</f>
        <v>0</v>
      </c>
      <c r="AV30" s="290">
        <f>'Measured Data'!AE11</f>
        <v>0</v>
      </c>
      <c r="AW30" s="290">
        <f>'Measured Data'!AF11</f>
        <v>5.5506216696269988</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15.900100095367431</v>
      </c>
      <c r="B31" s="119">
        <f>('Measured Data'!H18*'In Process Calc.'!J14+'In Process Calc.'!E15*'Measured Data'!H19)/2/1000</f>
        <v>29.105012470441736</v>
      </c>
      <c r="C31" s="118">
        <f xml:space="preserve"> (Regression!$CE$13*6*'Growth Regression'!S13^5+Regression!$CD$13*5*'Growth Regression'!S13^4+Regression!$CC$13*4*'Growth Regression'!S13^3+Regression!$CB$13*3*'Growth Regression'!S13^2  + Regression!$CA$13*2*'Growth Regression'!S13 + Regression!$BZ$13)/$A31</f>
        <v>4.3242327972520873E-2</v>
      </c>
      <c r="D31" s="117">
        <f xml:space="preserve"> (Regression!$CE$19*6*'Growth Regression'!S13^5+Regression!$CD$19*5*'Growth Regression'!S13^4+Regression!$CC$19*4*'Growth Regression'!S13^3 +Regression!$CB$19*3*'Growth Regression'!S13^2 + Regression!$CA$19*2*'Growth Regression'!S13 + Regression!$BZ$19)/$B31</f>
        <v>-6.8652389860441717E-3</v>
      </c>
      <c r="E31" s="117">
        <f xml:space="preserve"> (Regression!$CE$14*6*'Growth Regression'!S13^5+Regression!$CD$14*5*'Growth Regression'!S13^4+Regression!$CC$14*4*'Growth Regression'!S13^3+Regression!$CB$14*3*'Growth Regression'!S13^2  + Regression!$CA$14*2*'Growth Regression'!S13 + Regression!$BZ$14)/$B31</f>
        <v>1.572698634273976E-3</v>
      </c>
      <c r="F31" s="117">
        <f xml:space="preserve"> (Regression!$CE$10*6*'Growth Regression'!S13^6+Regression!$CD$10*5*'Growth Regression'!S13^5+Regression!$CC$10*4*'Growth Regression'!S13^3+Regression!$CB$10*3*'Growth Regression'!S13^2  + Regression!$CA$10*2*'Growth Regression'!S13 + Regression!$BZ$10)/$B31</f>
        <v>1.3377771083031723E-3</v>
      </c>
      <c r="G31" s="117">
        <f xml:space="preserve"> (Regression!$CE$11*6*'Growth Regression'!S13^6+Regression!$CD$11*5*'Growth Regression'!S13^5+Regression!$CC$11*4*'Growth Regression'!S13^3+Regression!$CB$11*3*'Growth Regression'!S13^2  + Regression!$CA$11*2*'Growth Regression'!S13 + Regression!$BZ$11)/$B31</f>
        <v>8.0862168860272978E-4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115.80000000010477</v>
      </c>
      <c r="AL31" s="290">
        <f>'Measured Data'!U12</f>
        <v>0.59899999999999998</v>
      </c>
      <c r="AM31" s="290">
        <f>'Measured Data'!V12</f>
        <v>2.423</v>
      </c>
      <c r="AN31" s="290">
        <f>'Measured Data'!W12</f>
        <v>6.4779999999999998</v>
      </c>
      <c r="AO31" s="290">
        <f>'Measured Data'!X12</f>
        <v>1.7450000000000001</v>
      </c>
      <c r="AP31" s="290">
        <f>'Measured Data'!Y12</f>
        <v>0.77700000000000002</v>
      </c>
      <c r="AQ31" s="290">
        <f>'Measured Data'!Z12</f>
        <v>34.192588645396214</v>
      </c>
      <c r="AR31" s="290">
        <f>'Measured Data'!AA12</f>
        <v>1.006</v>
      </c>
      <c r="AS31" s="290">
        <f>'Measured Data'!AB12</f>
        <v>9.4480000000000004</v>
      </c>
      <c r="AT31" s="290">
        <f>'Measured Data'!AC12</f>
        <v>0</v>
      </c>
      <c r="AU31" s="290">
        <f>'Measured Data'!AD12</f>
        <v>0</v>
      </c>
      <c r="AV31" s="290">
        <f>'Measured Data'!AE12</f>
        <v>0</v>
      </c>
      <c r="AW31" s="290">
        <f>'Measured Data'!AF12</f>
        <v>7.215808170515098</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15.965650422668457</v>
      </c>
      <c r="B32" s="119">
        <f>('Measured Data'!H19*'In Process Calc.'!J15+'In Process Calc.'!E16*'Measured Data'!H20)/2/1000</f>
        <v>28.822989260575021</v>
      </c>
      <c r="C32" s="118">
        <f xml:space="preserve"> (Regression!$CE$13*6*'Growth Regression'!S14^5+Regression!$CD$13*5*'Growth Regression'!S14^4+Regression!$CC$13*4*'Growth Regression'!S14^3+Regression!$CB$13*3*'Growth Regression'!S14^2  + Regression!$CA$13*2*'Growth Regression'!S14 + Regression!$BZ$13)/$A32</f>
        <v>4.2331157586141574E-2</v>
      </c>
      <c r="D32" s="117">
        <f xml:space="preserve"> (Regression!$CE$19*6*'Growth Regression'!S14^5+Regression!$CD$19*5*'Growth Regression'!S14^4+Regression!$CC$19*4*'Growth Regression'!S14^3 +Regression!$CB$19*3*'Growth Regression'!S14^2 + Regression!$CA$19*2*'Growth Regression'!S14 + Regression!$BZ$19)/$B32</f>
        <v>-4.0334080743014318E-3</v>
      </c>
      <c r="E32" s="117">
        <f xml:space="preserve"> (Regression!$CE$14*6*'Growth Regression'!S14^5+Regression!$CD$14*5*'Growth Regression'!S14^4+Regression!$CC$14*4*'Growth Regression'!S14^3+Regression!$CB$14*3*'Growth Regression'!S14^2  + Regression!$CA$14*2*'Growth Regression'!S14 + Regression!$BZ$14)/$B32</f>
        <v>1.2380669007363977E-3</v>
      </c>
      <c r="F32" s="117">
        <f xml:space="preserve"> (Regression!$CE$10*6*'Growth Regression'!S14^6+Regression!$CD$10*5*'Growth Regression'!S14^5+Regression!$CC$10*4*'Growth Regression'!S14^3+Regression!$CB$10*3*'Growth Regression'!S14^2  + Regression!$CA$10*2*'Growth Regression'!S14 + Regression!$BZ$10)/$B32</f>
        <v>-7.6082506240339443E-4</v>
      </c>
      <c r="G32" s="117">
        <f xml:space="preserve"> (Regression!$CE$11*6*'Growth Regression'!S14^6+Regression!$CD$11*5*'Growth Regression'!S14^5+Regression!$CC$11*4*'Growth Regression'!S14^3+Regression!$CB$11*3*'Growth Regression'!S14^2  + Regression!$CA$11*2*'Growth Regression'!S14 + Regression!$BZ$11)/$B32</f>
        <v>5.2896110643810474E-4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v>
      </c>
      <c r="AL32" s="290">
        <f>'Measured Data'!U13</f>
        <v>1.444</v>
      </c>
      <c r="AM32" s="290">
        <f>'Measured Data'!V13</f>
        <v>2.9140000000000001</v>
      </c>
      <c r="AN32" s="290">
        <f>'Measured Data'!W13</f>
        <v>6.5449999999999999</v>
      </c>
      <c r="AO32" s="290">
        <f>'Measured Data'!X13</f>
        <v>2.1829999999999998</v>
      </c>
      <c r="AP32" s="290">
        <f>'Measured Data'!Y13</f>
        <v>0.69</v>
      </c>
      <c r="AQ32" s="290">
        <f>'Measured Data'!Z13</f>
        <v>33.91505139989787</v>
      </c>
      <c r="AR32" s="290">
        <f>'Measured Data'!AA13</f>
        <v>1.6870000000000001</v>
      </c>
      <c r="AS32" s="290">
        <f>'Measured Data'!AB13</f>
        <v>13.005000000000001</v>
      </c>
      <c r="AT32" s="290">
        <f>'Measured Data'!AC13</f>
        <v>0</v>
      </c>
      <c r="AU32" s="290">
        <f>'Measured Data'!AD13</f>
        <v>0</v>
      </c>
      <c r="AV32" s="290">
        <f>'Measured Data'!AE13</f>
        <v>0</v>
      </c>
      <c r="AW32" s="290">
        <f>'Measured Data'!AF13</f>
        <v>9.4360568383658983</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14.631000382995605</v>
      </c>
      <c r="B33" s="119">
        <f>('Measured Data'!H20*'In Process Calc.'!J16+'In Process Calc.'!E17*'Measured Data'!H21)/2/1000</f>
        <v>26.356306598154365</v>
      </c>
      <c r="C33" s="118">
        <f xml:space="preserve"> (Regression!$CE$13*6*'Growth Regression'!S15^5+Regression!$CD$13*5*'Growth Regression'!S15^4+Regression!$CC$13*4*'Growth Regression'!S15^3+Regression!$CB$13*3*'Growth Regression'!S15^2  + Regression!$CA$13*2*'Growth Regression'!S15 + Regression!$BZ$13)/$A33</f>
        <v>4.2853546043707065E-2</v>
      </c>
      <c r="D33" s="117">
        <f xml:space="preserve"> (Regression!$CE$19*6*'Growth Regression'!S15^5+Regression!$CD$19*5*'Growth Regression'!S15^4+Regression!$CC$19*4*'Growth Regression'!S15^3 +Regression!$CB$19*3*'Growth Regression'!S15^2 + Regression!$CA$19*2*'Growth Regression'!S15 + Regression!$BZ$19)/$B33</f>
        <v>3.5479888088676306E-3</v>
      </c>
      <c r="E33" s="117">
        <f xml:space="preserve"> (Regression!$CE$14*6*'Growth Regression'!S15^5+Regression!$CD$14*5*'Growth Regression'!S15^4+Regression!$CC$14*4*'Growth Regression'!S15^3+Regression!$CB$14*3*'Growth Regression'!S15^2  + Regression!$CA$14*2*'Growth Regression'!S15 + Regression!$BZ$14)/$B33</f>
        <v>8.3067224887842001E-5</v>
      </c>
      <c r="F33" s="117">
        <f xml:space="preserve"> (Regression!$CE$10*6*'Growth Regression'!S15^6+Regression!$CD$10*5*'Growth Regression'!S15^5+Regression!$CC$10*4*'Growth Regression'!S15^3+Regression!$CB$10*3*'Growth Regression'!S15^2  + Regression!$CA$10*2*'Growth Regression'!S15 + Regression!$BZ$10)/$B33</f>
        <v>-4.2828443381643846E-3</v>
      </c>
      <c r="G33" s="117">
        <f xml:space="preserve"> (Regression!$CE$11*6*'Growth Regression'!S15^6+Regression!$CD$11*5*'Growth Regression'!S15^5+Regression!$CC$11*4*'Growth Regression'!S15^3+Regression!$CB$11*3*'Growth Regression'!S15^2  + Regression!$CA$11*2*'Growth Regression'!S15 + Regression!$BZ$11)/$B33</f>
        <v>-1.7537725006085017E-4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164.65000000008149</v>
      </c>
      <c r="AL33" s="290">
        <f>'Measured Data'!U14</f>
        <v>2.85</v>
      </c>
      <c r="AM33" s="290">
        <f>'Measured Data'!V14</f>
        <v>3.3980000000000001</v>
      </c>
      <c r="AN33" s="290">
        <f>'Measured Data'!W14</f>
        <v>5.5880000000000001</v>
      </c>
      <c r="AO33" s="290">
        <f>'Measured Data'!X14</f>
        <v>2.8410000000000002</v>
      </c>
      <c r="AP33" s="290">
        <f>'Measured Data'!Y14</f>
        <v>0.58699999999999997</v>
      </c>
      <c r="AQ33" s="290">
        <f>'Measured Data'!Z14</f>
        <v>31.250693843113741</v>
      </c>
      <c r="AR33" s="290">
        <f>'Measured Data'!AA14</f>
        <v>2.6819999999999999</v>
      </c>
      <c r="AS33" s="290">
        <f>'Measured Data'!AB14</f>
        <v>15.743</v>
      </c>
      <c r="AT33" s="290">
        <f>'Measured Data'!AC14</f>
        <v>0</v>
      </c>
      <c r="AU33" s="290">
        <f>'Measured Data'!AD14</f>
        <v>0</v>
      </c>
      <c r="AV33" s="290">
        <f>'Measured Data'!AE14</f>
        <v>0</v>
      </c>
      <c r="AW33" s="290">
        <f>'Measured Data'!AF14</f>
        <v>10.990230905861457</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13.334700448608398</v>
      </c>
      <c r="B34" s="119">
        <f>('Measured Data'!H21*'In Process Calc.'!J17+'In Process Calc.'!E18*'Measured Data'!H22)/2/1000</f>
        <v>12.002712037130737</v>
      </c>
      <c r="C34" s="118">
        <f xml:space="preserve"> (Regression!$CE$13*6*'Growth Regression'!S16^5+Regression!$CD$13*5*'Growth Regression'!S16^4+Regression!$CC$13*4*'Growth Regression'!S16^3+Regression!$CB$13*3*'Growth Regression'!S16^2  + Regression!$CA$13*2*'Growth Regression'!S16 + Regression!$BZ$13)/$A34</f>
        <v>4.2577756219971813E-3</v>
      </c>
      <c r="D34" s="117">
        <f xml:space="preserve"> (Regression!$CE$19*6*'Growth Regression'!S16^5+Regression!$CD$19*5*'Growth Regression'!S16^4+Regression!$CC$19*4*'Growth Regression'!S16^3 +Regression!$CB$19*3*'Growth Regression'!S16^2 + Regression!$CA$19*2*'Growth Regression'!S16 + Regression!$BZ$19)/$B34</f>
        <v>-2.1238063735241455E-4</v>
      </c>
      <c r="E34" s="117">
        <f xml:space="preserve"> (Regression!$CE$14*6*'Growth Regression'!S16^5+Regression!$CD$14*5*'Growth Regression'!S16^4+Regression!$CC$14*4*'Growth Regression'!S16^3+Regression!$CB$14*3*'Growth Regression'!S16^2  + Regression!$CA$14*2*'Growth Regression'!S16 + Regression!$BZ$14)/$B34</f>
        <v>-5.9460028686340663E-3</v>
      </c>
      <c r="F34" s="117">
        <f xml:space="preserve"> (Regression!$CE$10*6*'Growth Regression'!S16^6+Regression!$CD$10*5*'Growth Regression'!S16^5+Regression!$CC$10*4*'Growth Regression'!S16^3+Regression!$CB$10*3*'Growth Regression'!S16^2  + Regression!$CA$10*2*'Growth Regression'!S16 + Regression!$BZ$10)/$B34</f>
        <v>2.0940473865251898E-3</v>
      </c>
      <c r="G34" s="117">
        <f xml:space="preserve"> (Regression!$CE$11*6*'Growth Regression'!S16^6+Regression!$CD$11*5*'Growth Regression'!S16^5+Regression!$CC$11*4*'Growth Regression'!S16^3+Regression!$CB$11*3*'Growth Regression'!S16^2  + Regression!$CA$11*2*'Growth Regression'!S16 + Regression!$BZ$11)/$B34</f>
        <v>6.5457376246324042E-3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189.03333333326736</v>
      </c>
      <c r="AL34" s="290">
        <f>'Measured Data'!U15</f>
        <v>4.8929999999999998</v>
      </c>
      <c r="AM34" s="290">
        <f>'Measured Data'!V15</f>
        <v>3.0089999999999999</v>
      </c>
      <c r="AN34" s="290">
        <f>'Measured Data'!W15</f>
        <v>1.1599999999999999</v>
      </c>
      <c r="AO34" s="290">
        <f>'Measured Data'!X15</f>
        <v>3.5670000000000002</v>
      </c>
      <c r="AP34" s="290">
        <f>'Measured Data'!Y15</f>
        <v>0.41</v>
      </c>
      <c r="AQ34" s="290">
        <f>'Measured Data'!Z15</f>
        <v>20.260218921379249</v>
      </c>
      <c r="AR34" s="290">
        <f>'Measured Data'!AA15</f>
        <v>3.4809999999999999</v>
      </c>
      <c r="AS34" s="290">
        <f>'Measured Data'!AB15</f>
        <v>14.6</v>
      </c>
      <c r="AT34" s="290">
        <f>'Measured Data'!AC15</f>
        <v>0</v>
      </c>
      <c r="AU34" s="290">
        <f>'Measured Data'!AD15</f>
        <v>0</v>
      </c>
      <c r="AV34" s="290">
        <f>'Measured Data'!AE15</f>
        <v>0</v>
      </c>
      <c r="AW34" s="290">
        <f>'Measured Data'!AF15</f>
        <v>12.655417406749555</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212.98333333327901</v>
      </c>
      <c r="AL35" s="290">
        <f>'Measured Data'!U16</f>
        <v>6.5250000000000004</v>
      </c>
      <c r="AM35" s="290">
        <f>'Measured Data'!V16</f>
        <v>2.5329999999999999</v>
      </c>
      <c r="AN35" s="290">
        <f>'Measured Data'!W16</f>
        <v>0</v>
      </c>
      <c r="AO35" s="290">
        <f>'Measured Data'!X16</f>
        <v>3.1579999999999999</v>
      </c>
      <c r="AP35" s="290">
        <f>'Measured Data'!Y16</f>
        <v>0.23699999999999999</v>
      </c>
      <c r="AQ35" s="290">
        <f>'Measured Data'!Z16</f>
        <v>9.8803259397411143</v>
      </c>
      <c r="AR35" s="290">
        <f>'Measured Data'!AA16</f>
        <v>3.5910000000000002</v>
      </c>
      <c r="AS35" s="290">
        <f>'Measured Data'!AB16</f>
        <v>11.56</v>
      </c>
      <c r="AT35" s="290">
        <f>'Measured Data'!AC16</f>
        <v>0</v>
      </c>
      <c r="AU35" s="290">
        <f>'Measured Data'!AD16</f>
        <v>0</v>
      </c>
      <c r="AV35" s="290">
        <f>'Measured Data'!AE16</f>
        <v>0</v>
      </c>
      <c r="AW35" s="290">
        <f>'Measured Data'!AF16</f>
        <v>8.9920071047957375</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238.10000000009313</v>
      </c>
      <c r="AL36" s="290">
        <f>'Measured Data'!U17</f>
        <v>7.3479999999999999</v>
      </c>
      <c r="AM36" s="290">
        <f>'Measured Data'!V17</f>
        <v>2.3109999999999999</v>
      </c>
      <c r="AN36" s="290">
        <f>'Measured Data'!W17</f>
        <v>0</v>
      </c>
      <c r="AO36" s="290">
        <f>'Measured Data'!X17</f>
        <v>2.6589999999999998</v>
      </c>
      <c r="AP36" s="290">
        <f>'Measured Data'!Y17</f>
        <v>0.13400000000000001</v>
      </c>
      <c r="AQ36" s="290">
        <f>'Measured Data'!Z17</f>
        <v>5.4952374608672478</v>
      </c>
      <c r="AR36" s="290">
        <f>'Measured Data'!AA17</f>
        <v>3.4980000000000002</v>
      </c>
      <c r="AS36" s="290">
        <f>'Measured Data'!AB17</f>
        <v>8.9469999999999992</v>
      </c>
      <c r="AT36" s="290">
        <f>'Measured Data'!AC17</f>
        <v>0</v>
      </c>
      <c r="AU36" s="290">
        <f>'Measured Data'!AD17</f>
        <v>0</v>
      </c>
      <c r="AV36" s="290">
        <f>'Measured Data'!AE17</f>
        <v>0</v>
      </c>
      <c r="AW36" s="290">
        <f>'Measured Data'!AF17</f>
        <v>7.3268206039076382</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261.75</v>
      </c>
      <c r="AL37" s="290">
        <f>'Measured Data'!U18</f>
        <v>6.2030000000000003</v>
      </c>
      <c r="AM37" s="290">
        <f>'Measured Data'!V18</f>
        <v>1.97</v>
      </c>
      <c r="AN37" s="290">
        <f>'Measured Data'!W18</f>
        <v>6.8000000000000005E-2</v>
      </c>
      <c r="AO37" s="290">
        <f>'Measured Data'!X18</f>
        <v>2.4900000000000002</v>
      </c>
      <c r="AP37" s="290">
        <f>'Measured Data'!Y18</f>
        <v>8.5000000000000006E-2</v>
      </c>
      <c r="AQ37" s="290">
        <f>'Measured Data'!Z18</f>
        <v>7.0494460356579856</v>
      </c>
      <c r="AR37" s="290">
        <f>'Measured Data'!AA18</f>
        <v>2.5630000000000002</v>
      </c>
      <c r="AS37" s="290">
        <f>'Measured Data'!AB18</f>
        <v>6.4160000000000004</v>
      </c>
      <c r="AT37" s="290">
        <f>'Measured Data'!AC18</f>
        <v>0</v>
      </c>
      <c r="AU37" s="290">
        <f>'Measured Data'!AD18</f>
        <v>0</v>
      </c>
      <c r="AV37" s="290">
        <f>'Measured Data'!AE18</f>
        <v>0</v>
      </c>
      <c r="AW37" s="290">
        <f>'Measured Data'!AF18</f>
        <v>5.8836589698046184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284.75000000005821</v>
      </c>
      <c r="AL38" s="290">
        <f>'Measured Data'!U19</f>
        <v>4.8979999999999997</v>
      </c>
      <c r="AM38" s="290">
        <f>'Measured Data'!V19</f>
        <v>1.6319999999999999</v>
      </c>
      <c r="AN38" s="290">
        <f>'Measured Data'!W19</f>
        <v>6.3E-2</v>
      </c>
      <c r="AO38" s="290">
        <f>'Measured Data'!X19</f>
        <v>2.056</v>
      </c>
      <c r="AP38" s="290">
        <f>'Measured Data'!Y19</f>
        <v>9.7000000000000003E-2</v>
      </c>
      <c r="AQ38" s="290">
        <f>'Measured Data'!Z19</f>
        <v>8.6591620595483914</v>
      </c>
      <c r="AR38" s="290">
        <f>'Measured Data'!AA19</f>
        <v>2.4649999999999999</v>
      </c>
      <c r="AS38" s="290">
        <f>'Measured Data'!AB19</f>
        <v>4.1349999999999998</v>
      </c>
      <c r="AT38" s="290">
        <f>'Measured Data'!AC19</f>
        <v>0</v>
      </c>
      <c r="AU38" s="290">
        <f>'Measured Data'!AD19</f>
        <v>0</v>
      </c>
      <c r="AV38" s="290">
        <f>'Measured Data'!AE19</f>
        <v>0</v>
      </c>
      <c r="AW38" s="290">
        <f>'Measured Data'!AF19</f>
        <v>4.4404973357015995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defaultRowHeight="12.75"/>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712</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K23" sqref="K23"/>
    </sheetView>
  </sheetViews>
  <sheetFormatPr defaultRowHeight="12.75"/>
  <cols>
    <col min="2" max="2" width="29.5703125" customWidth="1"/>
    <col min="9" max="9" width="11.5703125" bestFit="1" customWidth="1"/>
  </cols>
  <sheetData>
    <row r="1" spans="1:103" ht="22.5">
      <c r="A1" t="str">
        <f>'Measured Data'!A6</f>
        <v>SAMPLE #</v>
      </c>
      <c r="B1" t="s">
        <v>113</v>
      </c>
      <c r="C1" t="s">
        <v>509</v>
      </c>
      <c r="D1" t="s">
        <v>510</v>
      </c>
      <c r="E1" t="s">
        <v>713</v>
      </c>
      <c r="F1" t="s">
        <v>608</v>
      </c>
      <c r="G1" t="s">
        <v>511</v>
      </c>
      <c r="H1" t="str">
        <f>'Measured Data'!B6</f>
        <v xml:space="preserve">Day </v>
      </c>
      <c r="I1" t="str">
        <f>'Measured Data'!C6</f>
        <v>Hours</v>
      </c>
      <c r="J1" t="str">
        <f>'In Process Calc.'!B2</f>
        <v>RUN TIME (DAYS)</v>
      </c>
      <c r="K1" t="str">
        <f>'In Process Calc.'!C2</f>
        <v>RUN TIME (HOURS)</v>
      </c>
      <c r="L1" t="s">
        <v>491</v>
      </c>
      <c r="M1" t="s">
        <v>493</v>
      </c>
      <c r="N1" t="s">
        <v>492</v>
      </c>
      <c r="O1" t="s">
        <v>494</v>
      </c>
      <c r="P1" t="s">
        <v>495</v>
      </c>
      <c r="Q1" s="323" t="s">
        <v>496</v>
      </c>
      <c r="R1" s="323" t="s">
        <v>714</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712</v>
      </c>
    </row>
    <row r="2" spans="1:103">
      <c r="A2">
        <f>'Measured Data'!A7</f>
        <v>0</v>
      </c>
      <c r="B2" t="s">
        <v>586</v>
      </c>
      <c r="C2" s="324" t="s">
        <v>588</v>
      </c>
      <c r="D2">
        <v>1</v>
      </c>
      <c r="E2">
        <f>'Measured Data'!H7</f>
        <v>0.26</v>
      </c>
      <c r="F2" s="477">
        <f>'Measured Data'!K7</f>
        <v>99.2</v>
      </c>
      <c r="G2" t="s">
        <v>515</v>
      </c>
      <c r="H2" s="321">
        <f>'Measured Data'!B7</f>
        <v>1.8750000002910383E-2</v>
      </c>
      <c r="I2" s="322">
        <f>'Measured Data'!C7</f>
        <v>0.45000000006984919</v>
      </c>
      <c r="J2">
        <f>'In Process Calc.'!B3</f>
        <v>1.8750000002910383E-2</v>
      </c>
      <c r="K2">
        <f>'In Process Calc.'!C3</f>
        <v>0.45000000006984919</v>
      </c>
      <c r="L2">
        <f>'Measured Data'!Z7</f>
        <v>33.470991807100511</v>
      </c>
      <c r="M2">
        <f>'Measured Data'!AF7</f>
        <v>0.9991119005328597</v>
      </c>
      <c r="N2">
        <f>'Measured Data'!AA7</f>
        <v>0</v>
      </c>
      <c r="O2">
        <f>'Measured Data'!W7</f>
        <v>5.7690000000000001</v>
      </c>
      <c r="P2">
        <f>'Measured Data'!X7</f>
        <v>1.6990000000000001</v>
      </c>
      <c r="Q2">
        <f>'Growth Regression'!P2</f>
        <v>2.6520367508222929E-2</v>
      </c>
      <c r="R2">
        <f>Q2/'Growth Regression'!$O$24</f>
        <v>0.98551057587448809</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0.70792899137635334</v>
      </c>
      <c r="AL2">
        <f t="array" ref="AL2">INDEX(Transcriptome!E$2:E$28,MATCH(1,(Transcriptome!$A$2:$A$28=$B2)*(Transcriptome!$C$2:$C$28=$G2),0))</f>
        <v>1.5892398211913721</v>
      </c>
      <c r="AM2">
        <f t="array" ref="AM2">INDEX(Transcriptome!F$2:F$28,MATCH(1,(Transcriptome!$A$2:$A$28=$B2)*(Transcriptome!$C$2:$C$28=$G2),0))</f>
        <v>1.0699878087137091</v>
      </c>
      <c r="AN2">
        <f t="array" ref="AN2">INDEX(Transcriptome!G$2:G$28,MATCH(1,(Transcriptome!$A$2:$A$28=$B2)*(Transcriptome!$C$2:$C$28=$G2),0))</f>
        <v>0.70940308754432024</v>
      </c>
      <c r="AO2">
        <f t="array" ref="AO2">INDEX(Transcriptome!H$2:H$28,MATCH(1,(Transcriptome!$A$2:$A$28=$B2)*(Transcriptome!$C$2:$C$28=$G2),0))</f>
        <v>0</v>
      </c>
      <c r="AP2">
        <f t="array" ref="AP2">INDEX(Transcriptome!I$2:I$28,MATCH(1,(Transcriptome!$A$2:$A$28=$B2)*(Transcriptome!$C$2:$C$28=$G2),0))</f>
        <v>0.93552032018387032</v>
      </c>
      <c r="AQ2">
        <f t="array" ref="AQ2">INDEX(Transcriptome!J$2:J$28,MATCH(1,(Transcriptome!$A$2:$A$28=$B2)*(Transcriptome!$C$2:$C$28=$G2),0))</f>
        <v>1.0834614534636753</v>
      </c>
      <c r="AR2">
        <f t="array" ref="AR2">INDEX(Transcriptome!K$2:K$28,MATCH(1,(Transcriptome!$A$2:$A$28=$B2)*(Transcriptome!$C$2:$C$28=$G2),0))</f>
        <v>0.80377161141689246</v>
      </c>
      <c r="AS2">
        <f t="array" ref="AS2">INDEX(Transcriptome!L$2:L$28,MATCH(1,(Transcriptome!$A$2:$A$28=$B2)*(Transcriptome!$C$2:$C$28=$G2),0))</f>
        <v>0.85695479911735994</v>
      </c>
      <c r="AT2">
        <f t="array" ref="AT2">INDEX(Transcriptome!M$2:M$28,MATCH(1,(Transcriptome!$A$2:$A$28=$B2)*(Transcriptome!$C$2:$C$28=$G2),0))</f>
        <v>0.93891873980212981</v>
      </c>
      <c r="AU2">
        <f t="array" ref="AU2">INDEX(Transcriptome!N$2:N$28,MATCH(1,(Transcriptome!$A$2:$A$28=$B2)*(Transcriptome!$C$2:$C$28=$G2),0))</f>
        <v>0.70695686220859</v>
      </c>
      <c r="AV2">
        <f t="array" ref="AV2">INDEX(Transcriptome!O$2:O$28,MATCH(1,(Transcriptome!$A$2:$A$28=$B2)*(Transcriptome!$C$2:$C$28=$G2),0))</f>
        <v>0.8593713480497972</v>
      </c>
      <c r="AW2">
        <f t="array" ref="AW2">INDEX(Transcriptome!P$2:P$28,MATCH(1,(Transcriptome!$A$2:$A$28=$B2)*(Transcriptome!$C$2:$C$28=$G2),0))</f>
        <v>0.79904520541729218</v>
      </c>
      <c r="AX2">
        <f t="array" ref="AX2">INDEX(Transcriptome!Q$2:Q$28,MATCH(1,(Transcriptome!$A$2:$A$28=$B2)*(Transcriptome!$C$2:$C$28=$G2),0))</f>
        <v>0.47872282221313689</v>
      </c>
      <c r="AY2">
        <f t="array" ref="AY2">INDEX(Transcriptome!R$2:R$28,MATCH(1,(Transcriptome!$A$2:$A$28=$B2)*(Transcriptome!$C$2:$C$28=$G2),0))</f>
        <v>0.41383633912857071</v>
      </c>
      <c r="AZ2">
        <f t="array" ref="AZ2">INDEX(Transcriptome!S$2:S$28,MATCH(1,(Transcriptome!$A$2:$A$28=$B2)*(Transcriptome!$C$2:$C$28=$G2),0))</f>
        <v>0.44645950550293145</v>
      </c>
      <c r="BA2">
        <f t="array" ref="BA2">INDEX(Transcriptome!T$2:T$28,MATCH(1,(Transcriptome!$A$2:$A$28=$B2)*(Transcriptome!$C$2:$C$28=$G2),0))</f>
        <v>1.008655396739049</v>
      </c>
      <c r="BB2">
        <f t="array" ref="BB2">INDEX(Transcriptome!U$2:U$28,MATCH(1,(Transcriptome!$A$2:$A$28=$B2)*(Transcriptome!$C$2:$C$28=$G2),0))</f>
        <v>2.62155377663843</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0.59644766722058296</v>
      </c>
      <c r="BF2">
        <f t="array" ref="BF2">INDEX(Transcriptome!Y$2:Y$28,MATCH(1,(Transcriptome!$A$2:$A$28=$B2)*(Transcriptome!$C$2:$C$28=$G2),0))</f>
        <v>0</v>
      </c>
      <c r="BG2">
        <f t="array" ref="BG2">INDEX(Transcriptome!Z$2:Z$28,MATCH(1,(Transcriptome!$A$2:$A$28=$B2)*(Transcriptome!$C$2:$C$28=$G2),0))</f>
        <v>0.91328392911817136</v>
      </c>
      <c r="BH2">
        <f t="array" ref="BH2">INDEX(Transcriptome!AA$2:AA$28,MATCH(1,(Transcriptome!$A$2:$A$28=$B2)*(Transcriptome!$C$2:$C$28=$G2),0))</f>
        <v>1.061272583395289</v>
      </c>
      <c r="BI2">
        <f t="array" ref="BI2">INDEX(Transcriptome!AB$2:AB$28,MATCH(1,(Transcriptome!$A$2:$A$28=$B2)*(Transcriptome!$C$2:$C$28=$G2),0))</f>
        <v>0.40610812418406372</v>
      </c>
      <c r="BJ2">
        <f t="array" ref="BJ2">INDEX(Transcriptome!AC$2:AC$28,MATCH(1,(Transcriptome!$A$2:$A$28=$B2)*(Transcriptome!$C$2:$C$28=$G2),0))</f>
        <v>0.96854091898455463</v>
      </c>
      <c r="BK2">
        <f t="array" ref="BK2">INDEX(Transcriptome!AD$2:AD$28,MATCH(1,(Transcriptome!$A$2:$A$28=$B2)*(Transcriptome!$C$2:$C$28=$G2),0))</f>
        <v>0.74430848274637873</v>
      </c>
      <c r="BL2">
        <f t="array" ref="BL2">INDEX(Transcriptome!AE$2:AE$28,MATCH(1,(Transcriptome!$A$2:$A$28=$B2)*(Transcriptome!$C$2:$C$28=$G2),0))</f>
        <v>1.2431887576302834</v>
      </c>
      <c r="BM2">
        <f t="array" ref="BM2">INDEX(Transcriptome!AF$2:AF$28,MATCH(1,(Transcriptome!$A$2:$A$28=$B2)*(Transcriptome!$C$2:$C$28=$G2),0))</f>
        <v>0.49714311780941689</v>
      </c>
      <c r="BN2">
        <f t="array" ref="BN2">INDEX(Transcriptome!AG$2:AG$28,MATCH(1,(Transcriptome!$A$2:$A$28=$B2)*(Transcriptome!$C$2:$C$28=$G2),0))</f>
        <v>0.567414845207453</v>
      </c>
      <c r="BO2">
        <f t="array" ref="BO2">INDEX(Transcriptome!AH$2:AH$28,MATCH(1,(Transcriptome!$A$2:$A$28=$B2)*(Transcriptome!$C$2:$C$28=$G2),0))</f>
        <v>1.7504787263397232</v>
      </c>
      <c r="BP2">
        <f t="array" ref="BP2">INDEX(Transcriptome!AI$2:AI$28,MATCH(1,(Transcriptome!$A$2:$A$28=$B2)*(Transcriptome!$C$2:$C$28=$G2),0))</f>
        <v>0.56812861528565461</v>
      </c>
      <c r="BQ2">
        <f t="array" ref="BQ2">INDEX(Transcriptome!AJ$2:AJ$28,MATCH(1,(Transcriptome!$A$2:$A$28=$B2)*(Transcriptome!$C$2:$C$28=$G2),0))</f>
        <v>0.82144460906259187</v>
      </c>
      <c r="BR2">
        <f t="array" ref="BR2">INDEX(Transcriptome!AK$2:AK$28,MATCH(1,(Transcriptome!$A$2:$A$28=$B2)*(Transcriptome!$C$2:$C$28=$G2),0))</f>
        <v>0.4273004653597422</v>
      </c>
      <c r="BS2">
        <f t="array" ref="BS2">INDEX(Transcriptome!AL$2:AL$28,MATCH(1,(Transcriptome!$A$2:$A$28=$B2)*(Transcriptome!$C$2:$C$28=$G2),0))</f>
        <v>1</v>
      </c>
      <c r="BT2">
        <f t="array" ref="BT2">INDEX(Transcriptome!AM$2:AM$28,MATCH(1,(Transcriptome!$A$2:$A$28=$B2)*(Transcriptome!$C$2:$C$28=$G2),0))</f>
        <v>0.53518948544168743</v>
      </c>
      <c r="BU2">
        <f t="array" ref="BU2">INDEX(Transcriptome!AN$2:AN$28,MATCH(1,(Transcriptome!$A$2:$A$28=$B2)*(Transcriptome!$C$2:$C$28=$G2),0))</f>
        <v>0.73171138313074335</v>
      </c>
      <c r="BV2">
        <f t="array" ref="BV2">INDEX(Transcriptome!AO$2:AO$28,MATCH(1,(Transcriptome!$A$2:$A$28=$B2)*(Transcriptome!$C$2:$C$28=$G2),0))</f>
        <v>0.79282459441774966</v>
      </c>
      <c r="BW2">
        <f t="array" ref="BW2">INDEX(Transcriptome!AP$2:AP$28,MATCH(1,(Transcriptome!$A$2:$A$28=$B2)*(Transcriptome!$C$2:$C$28=$G2),0))</f>
        <v>0.94021059648890959</v>
      </c>
      <c r="BX2">
        <f t="array" ref="BX2">INDEX(Transcriptome!AQ$2:AQ$28,MATCH(1,(Transcriptome!$A$2:$A$28=$B2)*(Transcriptome!$C$2:$C$28=$G2),0))</f>
        <v>1.47708404581313</v>
      </c>
      <c r="BY2">
        <f t="array" ref="BY2">INDEX(Transcriptome!AR$2:AR$28,MATCH(1,(Transcriptome!$A$2:$A$28=$B2)*(Transcriptome!$C$2:$C$28=$G2),0))</f>
        <v>0.58760190296554049</v>
      </c>
      <c r="BZ2">
        <f t="array" ref="BZ2">INDEX(Transcriptome!AS$2:AS$28,MATCH(1,(Transcriptome!$A$2:$A$28=$B2)*(Transcriptome!$C$2:$C$28=$G2),0))</f>
        <v>0.72689778127724192</v>
      </c>
      <c r="CA2">
        <f t="array" ref="CA2">INDEX(Transcriptome!AT$2:AT$28,MATCH(1,(Transcriptome!$A$2:$A$28=$B2)*(Transcriptome!$C$2:$C$28=$G2),0))</f>
        <v>0.52996440534176203</v>
      </c>
      <c r="CB2">
        <f t="array" ref="CB2">INDEX(Transcriptome!AU$2:AU$28,MATCH(1,(Transcriptome!$A$2:$A$28=$B2)*(Transcriptome!$C$2:$C$28=$G2),0))</f>
        <v>1.2346382979140564</v>
      </c>
      <c r="CC2">
        <f t="array" ref="CC2">INDEX(Transcriptome!AV$2:AV$28,MATCH(1,(Transcriptome!$A$2:$A$28=$B2)*(Transcriptome!$C$2:$C$28=$G2),0))</f>
        <v>0.59394270175385044</v>
      </c>
      <c r="CD2">
        <f t="array" ref="CD2">INDEX(Transcriptome!AW$2:AW$28,MATCH(1,(Transcriptome!$A$2:$A$28=$B2)*(Transcriptome!$C$2:$C$28=$G2),0))</f>
        <v>0.79380009303939492</v>
      </c>
      <c r="CE2">
        <f t="array" ref="CE2">INDEX(Transcriptome!AX$2:AX$28,MATCH(1,(Transcriptome!$A$2:$A$28=$B2)*(Transcriptome!$C$2:$C$28=$G2),0))</f>
        <v>0.66411075288126009</v>
      </c>
      <c r="CF2">
        <f t="array" ref="CF2">INDEX(Transcriptome!AY$2:AY$28,MATCH(1,(Transcriptome!$A$2:$A$28=$B2)*(Transcriptome!$C$2:$C$28=$G2),0))</f>
        <v>0.91230940759148649</v>
      </c>
      <c r="CG2">
        <f t="array" ref="CG2">INDEX(Transcriptome!AZ$2:AZ$28,MATCH(1,(Transcriptome!$A$2:$A$28=$B2)*(Transcriptome!$C$2:$C$28=$G2),0))</f>
        <v>0.52236635594220548</v>
      </c>
      <c r="CH2">
        <f t="array" ref="CH2">INDEX(Transcriptome!BA$2:BA$28,MATCH(1,(Transcriptome!$A$2:$A$28=$B2)*(Transcriptome!$C$2:$C$28=$G2),0))</f>
        <v>1.4722765738374801</v>
      </c>
      <c r="CI2">
        <f t="array" ref="CI2">INDEX(Transcriptome!BB$2:BB$28,MATCH(1,(Transcriptome!$A$2:$A$28=$B2)*(Transcriptome!$C$2:$C$28=$G2),0))</f>
        <v>1.7837978141567536</v>
      </c>
      <c r="CJ2">
        <f t="array" ref="CJ2">INDEX(Transcriptome!BC$2:BC$28,MATCH(1,(Transcriptome!$A$2:$A$28=$B2)*(Transcriptome!$C$2:$C$28=$G2),0))</f>
        <v>0</v>
      </c>
      <c r="CK2">
        <f t="array" ref="CK2">INDEX(Transcriptome!BD$2:BD$28,MATCH(1,(Transcriptome!$A$2:$A$28=$B2)*(Transcriptome!$C$2:$C$28=$G2),0))</f>
        <v>0.89732664094598091</v>
      </c>
      <c r="CL2">
        <f t="array" ref="CL2">INDEX(Transcriptome!BE$2:BE$28,MATCH(1,(Transcriptome!$A$2:$A$28=$B2)*(Transcriptome!$C$2:$C$28=$G2),0))</f>
        <v>1.4278341624379669</v>
      </c>
      <c r="CM2">
        <f t="array" ref="CM2">INDEX(Transcriptome!BF$2:BF$28,MATCH(1,(Transcriptome!$A$2:$A$28=$B2)*(Transcriptome!$C$2:$C$28=$G2),0))</f>
        <v>1.0547210245064886</v>
      </c>
      <c r="CN2">
        <f t="array" ref="CN2">INDEX(Transcriptome!BG$2:BG$28,MATCH(1,(Transcriptome!$A$2:$A$28=$B2)*(Transcriptome!$C$2:$C$28=$G2),0))</f>
        <v>2.2222015287581018</v>
      </c>
      <c r="CO2">
        <f t="array" ref="CO2">INDEX(Transcriptome!BH$2:BH$28,MATCH(1,(Transcriptome!$A$2:$A$28=$B2)*(Transcriptome!$C$2:$C$28=$G2),0))</f>
        <v>0.40924168851755272</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2.7449342282819935</v>
      </c>
      <c r="CS2">
        <f t="array" ref="CS2">INDEX(Transcriptome!BL$2:BL$28,MATCH(1,(Transcriptome!$A$2:$A$28=$B2)*(Transcriptome!$C$2:$C$28=$G2),0))</f>
        <v>1.9495020029319203</v>
      </c>
      <c r="CT2">
        <f t="array" ref="CT2">INDEX(Transcriptome!BM$2:BM$28,MATCH(1,(Transcriptome!$A$2:$A$28=$B2)*(Transcriptome!$C$2:$C$28=$G2),0))</f>
        <v>0.84121164659459347</v>
      </c>
      <c r="CU2">
        <f t="array" ref="CU2">INDEX(Transcriptome!BN$2:BN$28,MATCH(1,(Transcriptome!$A$2:$A$28=$B2)*(Transcriptome!$C$2:$C$28=$G2),0))</f>
        <v>31.952489188561209</v>
      </c>
      <c r="CV2">
        <f t="array" ref="CV2">INDEX(Transcriptome!BO$2:BO$28,MATCH(1,(Transcriptome!$A$2:$A$28=$B2)*(Transcriptome!$C$2:$C$28=$G2),0))</f>
        <v>0.74951232158557368</v>
      </c>
      <c r="CW2">
        <f t="array" ref="CW2">INDEX(Transcriptome!BP$2:BP$28,MATCH(1,(Transcriptome!$A$2:$A$28=$B2)*(Transcriptome!$C$2:$C$28=$G2),0))</f>
        <v>0.40924168851755272</v>
      </c>
      <c r="CX2">
        <f t="array" ref="CX2">INDEX(Transcriptome!BQ$2:BQ$28,MATCH(1,(Transcriptome!$A$2:$A$28=$B2)*(Transcriptome!$C$2:$C$28=$G2),0))</f>
        <v>1</v>
      </c>
      <c r="CY2">
        <f t="array" ref="CY2">INDEX(Transcriptome!BR$2:BR$28,MATCH(1,(Transcriptome!$A$2:$A$28=$B2)*(Transcriptome!$C$2:$C$28=$G2),0))</f>
        <v>1.3819649840367882</v>
      </c>
    </row>
    <row r="3" spans="1:103">
      <c r="A3">
        <f>'Measured Data'!A8</f>
        <v>1</v>
      </c>
      <c r="B3" t="s">
        <v>586</v>
      </c>
      <c r="C3" s="324" t="s">
        <v>588</v>
      </c>
      <c r="D3">
        <v>1</v>
      </c>
      <c r="E3">
        <f>'Measured Data'!H8</f>
        <v>0.46319998631477349</v>
      </c>
      <c r="F3" s="477">
        <f>'Measured Data'!K8</f>
        <v>99.55999755859375</v>
      </c>
      <c r="G3" t="s">
        <v>515</v>
      </c>
      <c r="H3" s="321">
        <f>'Measured Data'!B8</f>
        <v>0.87986111111240461</v>
      </c>
      <c r="I3" s="322">
        <f>'Measured Data'!C8</f>
        <v>21.116666666697711</v>
      </c>
      <c r="J3">
        <f>'In Process Calc.'!B4</f>
        <v>0.87986111111240461</v>
      </c>
      <c r="K3">
        <f>'In Process Calc.'!C4</f>
        <v>21.116666666697711</v>
      </c>
      <c r="L3">
        <f>'Measured Data'!Z8</f>
        <v>33.91505139989787</v>
      </c>
      <c r="M3">
        <f>'Measured Data'!AF8</f>
        <v>1.5541740674955598</v>
      </c>
      <c r="N3">
        <f>'Measured Data'!AA8</f>
        <v>0</v>
      </c>
      <c r="O3">
        <f>'Measured Data'!W8</f>
        <v>5.89</v>
      </c>
      <c r="P3">
        <f>'Measured Data'!X8</f>
        <v>1.825</v>
      </c>
      <c r="Q3">
        <f>'Growth Regression'!P3</f>
        <v>2.62375468366388E-2</v>
      </c>
      <c r="R3">
        <f>Q3/'Growth Regression'!$O$24</f>
        <v>0.97500081341227252</v>
      </c>
      <c r="S3">
        <f>'Post Process Calc.'!K4</f>
        <v>0.11260218115305266</v>
      </c>
      <c r="T3">
        <f>'Post Process Calc.'!Q4</f>
        <v>4.3263079253742544E-2</v>
      </c>
      <c r="U3">
        <f>'Post Process Calc.'!L4</f>
        <v>-6.5099020312279739E-3</v>
      </c>
      <c r="V3">
        <f>'Post Process Calc.'!H4</f>
        <v>1.5656502239925847E-3</v>
      </c>
      <c r="W3">
        <f>'Post Process Calc.'!I4</f>
        <v>7.3584177928993827E-2</v>
      </c>
      <c r="X3">
        <f>'Post Process Calc.'!AG4</f>
        <v>0.38421173382900919</v>
      </c>
      <c r="Y3">
        <f>S3/0.0016</f>
        <v>70.376363220657908</v>
      </c>
      <c r="Z3">
        <f t="shared" ref="Y3:Z14" si="2">T3/0.0016</f>
        <v>27.039424533589088</v>
      </c>
      <c r="AA3">
        <f t="shared" si="0"/>
        <v>-4.0686887695174834</v>
      </c>
      <c r="AB3">
        <f t="shared" si="0"/>
        <v>0.97853138999536537</v>
      </c>
      <c r="AC3">
        <f t="shared" si="0"/>
        <v>45.99011120562114</v>
      </c>
      <c r="AD3">
        <v>100</v>
      </c>
      <c r="AE3">
        <v>0.32</v>
      </c>
      <c r="AF3">
        <v>7</v>
      </c>
      <c r="AG3">
        <v>0.7</v>
      </c>
      <c r="AH3">
        <f t="shared" si="1"/>
        <v>5.0118723362727164E-8</v>
      </c>
      <c r="AI3">
        <v>1</v>
      </c>
      <c r="AJ3">
        <v>0.311</v>
      </c>
      <c r="AK3">
        <f t="array" ref="AK3">INDEX(Transcriptome!D$2:D$28,MATCH(1,(Transcriptome!$A$2:$A$28=$B3)*(Transcriptome!$C$2:$C$28=$G3),0))</f>
        <v>0.70792899137635334</v>
      </c>
      <c r="AL3">
        <f t="array" ref="AL3">INDEX(Transcriptome!E$2:E$28,MATCH(1,(Transcriptome!$A$2:$A$28=$B3)*(Transcriptome!$C$2:$C$28=$G3),0))</f>
        <v>1.5892398211913721</v>
      </c>
      <c r="AM3">
        <f t="array" ref="AM3">INDEX(Transcriptome!F$2:F$28,MATCH(1,(Transcriptome!$A$2:$A$28=$B3)*(Transcriptome!$C$2:$C$28=$G3),0))</f>
        <v>1.0699878087137091</v>
      </c>
      <c r="AN3">
        <f t="array" ref="AN3">INDEX(Transcriptome!G$2:G$28,MATCH(1,(Transcriptome!$A$2:$A$28=$B3)*(Transcriptome!$C$2:$C$28=$G3),0))</f>
        <v>0.70940308754432024</v>
      </c>
      <c r="AO3">
        <f t="array" ref="AO3">INDEX(Transcriptome!H$2:H$28,MATCH(1,(Transcriptome!$A$2:$A$28=$B3)*(Transcriptome!$C$2:$C$28=$G3),0))</f>
        <v>0</v>
      </c>
      <c r="AP3">
        <f t="array" ref="AP3">INDEX(Transcriptome!I$2:I$28,MATCH(1,(Transcriptome!$A$2:$A$28=$B3)*(Transcriptome!$C$2:$C$28=$G3),0))</f>
        <v>0.93552032018387032</v>
      </c>
      <c r="AQ3">
        <f t="array" ref="AQ3">INDEX(Transcriptome!J$2:J$28,MATCH(1,(Transcriptome!$A$2:$A$28=$B3)*(Transcriptome!$C$2:$C$28=$G3),0))</f>
        <v>1.0834614534636753</v>
      </c>
      <c r="AR3">
        <f t="array" ref="AR3">INDEX(Transcriptome!K$2:K$28,MATCH(1,(Transcriptome!$A$2:$A$28=$B3)*(Transcriptome!$C$2:$C$28=$G3),0))</f>
        <v>0.80377161141689246</v>
      </c>
      <c r="AS3">
        <f t="array" ref="AS3">INDEX(Transcriptome!L$2:L$28,MATCH(1,(Transcriptome!$A$2:$A$28=$B3)*(Transcriptome!$C$2:$C$28=$G3),0))</f>
        <v>0.85695479911735994</v>
      </c>
      <c r="AT3">
        <f t="array" ref="AT3">INDEX(Transcriptome!M$2:M$28,MATCH(1,(Transcriptome!$A$2:$A$28=$B3)*(Transcriptome!$C$2:$C$28=$G3),0))</f>
        <v>0.93891873980212981</v>
      </c>
      <c r="AU3">
        <f t="array" ref="AU3">INDEX(Transcriptome!N$2:N$28,MATCH(1,(Transcriptome!$A$2:$A$28=$B3)*(Transcriptome!$C$2:$C$28=$G3),0))</f>
        <v>0.70695686220859</v>
      </c>
      <c r="AV3">
        <f t="array" ref="AV3">INDEX(Transcriptome!O$2:O$28,MATCH(1,(Transcriptome!$A$2:$A$28=$B3)*(Transcriptome!$C$2:$C$28=$G3),0))</f>
        <v>0.8593713480497972</v>
      </c>
      <c r="AW3">
        <f t="array" ref="AW3">INDEX(Transcriptome!P$2:P$28,MATCH(1,(Transcriptome!$A$2:$A$28=$B3)*(Transcriptome!$C$2:$C$28=$G3),0))</f>
        <v>0.79904520541729218</v>
      </c>
      <c r="AX3">
        <f t="array" ref="AX3">INDEX(Transcriptome!Q$2:Q$28,MATCH(1,(Transcriptome!$A$2:$A$28=$B3)*(Transcriptome!$C$2:$C$28=$G3),0))</f>
        <v>0.47872282221313689</v>
      </c>
      <c r="AY3">
        <f t="array" ref="AY3">INDEX(Transcriptome!R$2:R$28,MATCH(1,(Transcriptome!$A$2:$A$28=$B3)*(Transcriptome!$C$2:$C$28=$G3),0))</f>
        <v>0.41383633912857071</v>
      </c>
      <c r="AZ3">
        <f t="array" ref="AZ3">INDEX(Transcriptome!S$2:S$28,MATCH(1,(Transcriptome!$A$2:$A$28=$B3)*(Transcriptome!$C$2:$C$28=$G3),0))</f>
        <v>0.44645950550293145</v>
      </c>
      <c r="BA3">
        <f t="array" ref="BA3">INDEX(Transcriptome!T$2:T$28,MATCH(1,(Transcriptome!$A$2:$A$28=$B3)*(Transcriptome!$C$2:$C$28=$G3),0))</f>
        <v>1.008655396739049</v>
      </c>
      <c r="BB3">
        <f t="array" ref="BB3">INDEX(Transcriptome!U$2:U$28,MATCH(1,(Transcriptome!$A$2:$A$28=$B3)*(Transcriptome!$C$2:$C$28=$G3),0))</f>
        <v>2.62155377663843</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0.59644766722058296</v>
      </c>
      <c r="BF3">
        <f t="array" ref="BF3">INDEX(Transcriptome!Y$2:Y$28,MATCH(1,(Transcriptome!$A$2:$A$28=$B3)*(Transcriptome!$C$2:$C$28=$G3),0))</f>
        <v>0</v>
      </c>
      <c r="BG3">
        <f t="array" ref="BG3">INDEX(Transcriptome!Z$2:Z$28,MATCH(1,(Transcriptome!$A$2:$A$28=$B3)*(Transcriptome!$C$2:$C$28=$G3),0))</f>
        <v>0.91328392911817136</v>
      </c>
      <c r="BH3">
        <f t="array" ref="BH3">INDEX(Transcriptome!AA$2:AA$28,MATCH(1,(Transcriptome!$A$2:$A$28=$B3)*(Transcriptome!$C$2:$C$28=$G3),0))</f>
        <v>1.061272583395289</v>
      </c>
      <c r="BI3">
        <f t="array" ref="BI3">INDEX(Transcriptome!AB$2:AB$28,MATCH(1,(Transcriptome!$A$2:$A$28=$B3)*(Transcriptome!$C$2:$C$28=$G3),0))</f>
        <v>0.40610812418406372</v>
      </c>
      <c r="BJ3">
        <f t="array" ref="BJ3">INDEX(Transcriptome!AC$2:AC$28,MATCH(1,(Transcriptome!$A$2:$A$28=$B3)*(Transcriptome!$C$2:$C$28=$G3),0))</f>
        <v>0.96854091898455463</v>
      </c>
      <c r="BK3">
        <f t="array" ref="BK3">INDEX(Transcriptome!AD$2:AD$28,MATCH(1,(Transcriptome!$A$2:$A$28=$B3)*(Transcriptome!$C$2:$C$28=$G3),0))</f>
        <v>0.74430848274637873</v>
      </c>
      <c r="BL3">
        <f t="array" ref="BL3">INDEX(Transcriptome!AE$2:AE$28,MATCH(1,(Transcriptome!$A$2:$A$28=$B3)*(Transcriptome!$C$2:$C$28=$G3),0))</f>
        <v>1.2431887576302834</v>
      </c>
      <c r="BM3">
        <f t="array" ref="BM3">INDEX(Transcriptome!AF$2:AF$28,MATCH(1,(Transcriptome!$A$2:$A$28=$B3)*(Transcriptome!$C$2:$C$28=$G3),0))</f>
        <v>0.49714311780941689</v>
      </c>
      <c r="BN3">
        <f t="array" ref="BN3">INDEX(Transcriptome!AG$2:AG$28,MATCH(1,(Transcriptome!$A$2:$A$28=$B3)*(Transcriptome!$C$2:$C$28=$G3),0))</f>
        <v>0.567414845207453</v>
      </c>
      <c r="BO3">
        <f t="array" ref="BO3">INDEX(Transcriptome!AH$2:AH$28,MATCH(1,(Transcriptome!$A$2:$A$28=$B3)*(Transcriptome!$C$2:$C$28=$G3),0))</f>
        <v>1.7504787263397232</v>
      </c>
      <c r="BP3">
        <f t="array" ref="BP3">INDEX(Transcriptome!AI$2:AI$28,MATCH(1,(Transcriptome!$A$2:$A$28=$B3)*(Transcriptome!$C$2:$C$28=$G3),0))</f>
        <v>0.56812861528565461</v>
      </c>
      <c r="BQ3">
        <f t="array" ref="BQ3">INDEX(Transcriptome!AJ$2:AJ$28,MATCH(1,(Transcriptome!$A$2:$A$28=$B3)*(Transcriptome!$C$2:$C$28=$G3),0))</f>
        <v>0.82144460906259187</v>
      </c>
      <c r="BR3">
        <f t="array" ref="BR3">INDEX(Transcriptome!AK$2:AK$28,MATCH(1,(Transcriptome!$A$2:$A$28=$B3)*(Transcriptome!$C$2:$C$28=$G3),0))</f>
        <v>0.4273004653597422</v>
      </c>
      <c r="BS3">
        <f t="array" ref="BS3">INDEX(Transcriptome!AL$2:AL$28,MATCH(1,(Transcriptome!$A$2:$A$28=$B3)*(Transcriptome!$C$2:$C$28=$G3),0))</f>
        <v>1</v>
      </c>
      <c r="BT3">
        <f t="array" ref="BT3">INDEX(Transcriptome!AM$2:AM$28,MATCH(1,(Transcriptome!$A$2:$A$28=$B3)*(Transcriptome!$C$2:$C$28=$G3),0))</f>
        <v>0.53518948544168743</v>
      </c>
      <c r="BU3">
        <f t="array" ref="BU3">INDEX(Transcriptome!AN$2:AN$28,MATCH(1,(Transcriptome!$A$2:$A$28=$B3)*(Transcriptome!$C$2:$C$28=$G3),0))</f>
        <v>0.73171138313074335</v>
      </c>
      <c r="BV3">
        <f t="array" ref="BV3">INDEX(Transcriptome!AO$2:AO$28,MATCH(1,(Transcriptome!$A$2:$A$28=$B3)*(Transcriptome!$C$2:$C$28=$G3),0))</f>
        <v>0.79282459441774966</v>
      </c>
      <c r="BW3">
        <f t="array" ref="BW3">INDEX(Transcriptome!AP$2:AP$28,MATCH(1,(Transcriptome!$A$2:$A$28=$B3)*(Transcriptome!$C$2:$C$28=$G3),0))</f>
        <v>0.94021059648890959</v>
      </c>
      <c r="BX3">
        <f t="array" ref="BX3">INDEX(Transcriptome!AQ$2:AQ$28,MATCH(1,(Transcriptome!$A$2:$A$28=$B3)*(Transcriptome!$C$2:$C$28=$G3),0))</f>
        <v>1.47708404581313</v>
      </c>
      <c r="BY3">
        <f t="array" ref="BY3">INDEX(Transcriptome!AR$2:AR$28,MATCH(1,(Transcriptome!$A$2:$A$28=$B3)*(Transcriptome!$C$2:$C$28=$G3),0))</f>
        <v>0.58760190296554049</v>
      </c>
      <c r="BZ3">
        <f t="array" ref="BZ3">INDEX(Transcriptome!AS$2:AS$28,MATCH(1,(Transcriptome!$A$2:$A$28=$B3)*(Transcriptome!$C$2:$C$28=$G3),0))</f>
        <v>0.72689778127724192</v>
      </c>
      <c r="CA3">
        <f t="array" ref="CA3">INDEX(Transcriptome!AT$2:AT$28,MATCH(1,(Transcriptome!$A$2:$A$28=$B3)*(Transcriptome!$C$2:$C$28=$G3),0))</f>
        <v>0.52996440534176203</v>
      </c>
      <c r="CB3">
        <f t="array" ref="CB3">INDEX(Transcriptome!AU$2:AU$28,MATCH(1,(Transcriptome!$A$2:$A$28=$B3)*(Transcriptome!$C$2:$C$28=$G3),0))</f>
        <v>1.2346382979140564</v>
      </c>
      <c r="CC3">
        <f t="array" ref="CC3">INDEX(Transcriptome!AV$2:AV$28,MATCH(1,(Transcriptome!$A$2:$A$28=$B3)*(Transcriptome!$C$2:$C$28=$G3),0))</f>
        <v>0.59394270175385044</v>
      </c>
      <c r="CD3">
        <f t="array" ref="CD3">INDEX(Transcriptome!AW$2:AW$28,MATCH(1,(Transcriptome!$A$2:$A$28=$B3)*(Transcriptome!$C$2:$C$28=$G3),0))</f>
        <v>0.79380009303939492</v>
      </c>
      <c r="CE3">
        <f t="array" ref="CE3">INDEX(Transcriptome!AX$2:AX$28,MATCH(1,(Transcriptome!$A$2:$A$28=$B3)*(Transcriptome!$C$2:$C$28=$G3),0))</f>
        <v>0.66411075288126009</v>
      </c>
      <c r="CF3">
        <f t="array" ref="CF3">INDEX(Transcriptome!AY$2:AY$28,MATCH(1,(Transcriptome!$A$2:$A$28=$B3)*(Transcriptome!$C$2:$C$28=$G3),0))</f>
        <v>0.91230940759148649</v>
      </c>
      <c r="CG3">
        <f t="array" ref="CG3">INDEX(Transcriptome!AZ$2:AZ$28,MATCH(1,(Transcriptome!$A$2:$A$28=$B3)*(Transcriptome!$C$2:$C$28=$G3),0))</f>
        <v>0.52236635594220548</v>
      </c>
      <c r="CH3">
        <f t="array" ref="CH3">INDEX(Transcriptome!BA$2:BA$28,MATCH(1,(Transcriptome!$A$2:$A$28=$B3)*(Transcriptome!$C$2:$C$28=$G3),0))</f>
        <v>1.4722765738374801</v>
      </c>
      <c r="CI3">
        <f t="array" ref="CI3">INDEX(Transcriptome!BB$2:BB$28,MATCH(1,(Transcriptome!$A$2:$A$28=$B3)*(Transcriptome!$C$2:$C$28=$G3),0))</f>
        <v>1.7837978141567536</v>
      </c>
      <c r="CJ3">
        <f t="array" ref="CJ3">INDEX(Transcriptome!BC$2:BC$28,MATCH(1,(Transcriptome!$A$2:$A$28=$B3)*(Transcriptome!$C$2:$C$28=$G3),0))</f>
        <v>0</v>
      </c>
      <c r="CK3">
        <f t="array" ref="CK3">INDEX(Transcriptome!BD$2:BD$28,MATCH(1,(Transcriptome!$A$2:$A$28=$B3)*(Transcriptome!$C$2:$C$28=$G3),0))</f>
        <v>0.89732664094598091</v>
      </c>
      <c r="CL3">
        <f t="array" ref="CL3">INDEX(Transcriptome!BE$2:BE$28,MATCH(1,(Transcriptome!$A$2:$A$28=$B3)*(Transcriptome!$C$2:$C$28=$G3),0))</f>
        <v>1.4278341624379669</v>
      </c>
      <c r="CM3">
        <f t="array" ref="CM3">INDEX(Transcriptome!BF$2:BF$28,MATCH(1,(Transcriptome!$A$2:$A$28=$B3)*(Transcriptome!$C$2:$C$28=$G3),0))</f>
        <v>1.0547210245064886</v>
      </c>
      <c r="CN3">
        <f t="array" ref="CN3">INDEX(Transcriptome!BG$2:BG$28,MATCH(1,(Transcriptome!$A$2:$A$28=$B3)*(Transcriptome!$C$2:$C$28=$G3),0))</f>
        <v>2.2222015287581018</v>
      </c>
      <c r="CO3">
        <f t="array" ref="CO3">INDEX(Transcriptome!BH$2:BH$28,MATCH(1,(Transcriptome!$A$2:$A$28=$B3)*(Transcriptome!$C$2:$C$28=$G3),0))</f>
        <v>0.40924168851755272</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2.7449342282819935</v>
      </c>
      <c r="CS3">
        <f t="array" ref="CS3">INDEX(Transcriptome!BL$2:BL$28,MATCH(1,(Transcriptome!$A$2:$A$28=$B3)*(Transcriptome!$C$2:$C$28=$G3),0))</f>
        <v>1.9495020029319203</v>
      </c>
      <c r="CT3">
        <f t="array" ref="CT3">INDEX(Transcriptome!BM$2:BM$28,MATCH(1,(Transcriptome!$A$2:$A$28=$B3)*(Transcriptome!$C$2:$C$28=$G3),0))</f>
        <v>0.84121164659459347</v>
      </c>
      <c r="CU3">
        <f t="array" ref="CU3">INDEX(Transcriptome!BN$2:BN$28,MATCH(1,(Transcriptome!$A$2:$A$28=$B3)*(Transcriptome!$C$2:$C$28=$G3),0))</f>
        <v>31.952489188561209</v>
      </c>
      <c r="CV3">
        <f t="array" ref="CV3">INDEX(Transcriptome!BO$2:BO$28,MATCH(1,(Transcriptome!$A$2:$A$28=$B3)*(Transcriptome!$C$2:$C$28=$G3),0))</f>
        <v>0.74951232158557368</v>
      </c>
      <c r="CW3">
        <f t="array" ref="CW3">INDEX(Transcriptome!BP$2:BP$28,MATCH(1,(Transcriptome!$A$2:$A$28=$B3)*(Transcriptome!$C$2:$C$28=$G3),0))</f>
        <v>0.40924168851755272</v>
      </c>
      <c r="CX3">
        <f t="array" ref="CX3">INDEX(Transcriptome!BQ$2:BQ$28,MATCH(1,(Transcriptome!$A$2:$A$28=$B3)*(Transcriptome!$C$2:$C$28=$G3),0))</f>
        <v>1</v>
      </c>
      <c r="CY3">
        <f t="array" ref="CY3">INDEX(Transcriptome!BR$2:BR$28,MATCH(1,(Transcriptome!$A$2:$A$28=$B3)*(Transcriptome!$C$2:$C$28=$G3),0))</f>
        <v>1.3819649840367882</v>
      </c>
    </row>
    <row r="4" spans="1:103">
      <c r="A4">
        <f>'Measured Data'!A9</f>
        <v>2</v>
      </c>
      <c r="B4" t="s">
        <v>586</v>
      </c>
      <c r="C4" s="324" t="s">
        <v>588</v>
      </c>
      <c r="D4">
        <v>1</v>
      </c>
      <c r="E4">
        <f>'Measured Data'!H9</f>
        <v>0.81999999999999984</v>
      </c>
      <c r="F4" s="477">
        <f>'Measured Data'!K9</f>
        <v>98.7</v>
      </c>
      <c r="G4" t="s">
        <v>515</v>
      </c>
      <c r="H4" s="321">
        <f>'Measured Data'!B9</f>
        <v>2.015972222223354</v>
      </c>
      <c r="I4" s="322">
        <f>'Measured Data'!C9</f>
        <v>48.383333333360497</v>
      </c>
      <c r="J4">
        <f>'In Process Calc.'!B5</f>
        <v>2.015972222223354</v>
      </c>
      <c r="K4">
        <f>'In Process Calc.'!C5</f>
        <v>48.383333333360497</v>
      </c>
      <c r="L4">
        <f>'Measured Data'!Z9</f>
        <v>32.083305579608783</v>
      </c>
      <c r="M4">
        <f>'Measured Data'!AF9</f>
        <v>2.6642984014209592</v>
      </c>
      <c r="N4">
        <f>'Measured Data'!AA9</f>
        <v>0.27500000000000002</v>
      </c>
      <c r="O4">
        <f>'Measured Data'!W9</f>
        <v>5.2729999999999997</v>
      </c>
      <c r="P4">
        <f>'Measured Data'!X9</f>
        <v>1.708</v>
      </c>
      <c r="Q4">
        <f>'Growth Regression'!P4</f>
        <v>2.5545985573235321E-2</v>
      </c>
      <c r="R4">
        <f>Q4/'Growth Regression'!$O$24</f>
        <v>0.9493020391121828</v>
      </c>
      <c r="S4">
        <f>'Post Process Calc.'!K5</f>
        <v>9.8048409829188124E-2</v>
      </c>
      <c r="T4">
        <f>'Post Process Calc.'!Q5</f>
        <v>6.4041090526176458E-2</v>
      </c>
      <c r="U4">
        <f>'Post Process Calc.'!L5</f>
        <v>3.9564734369251127E-3</v>
      </c>
      <c r="V4">
        <f>'Post Process Calc.'!H5</f>
        <v>-5.4315354534614398E-3</v>
      </c>
      <c r="W4">
        <f>'Post Process Calc.'!I5</f>
        <v>-5.727602038660763E-3</v>
      </c>
      <c r="X4">
        <f>'Post Process Calc.'!AG5</f>
        <v>0.65315787005361514</v>
      </c>
      <c r="Y4">
        <f t="shared" si="2"/>
        <v>61.280256143242575</v>
      </c>
      <c r="Z4">
        <f t="shared" si="2"/>
        <v>40.025681578860286</v>
      </c>
      <c r="AA4">
        <f t="shared" si="0"/>
        <v>2.4727958980781954</v>
      </c>
      <c r="AB4">
        <f t="shared" si="0"/>
        <v>-3.3947096584133996</v>
      </c>
      <c r="AC4">
        <f t="shared" si="0"/>
        <v>-3.5797512741629767</v>
      </c>
      <c r="AD4">
        <v>100</v>
      </c>
      <c r="AE4">
        <v>0.32</v>
      </c>
      <c r="AF4">
        <v>7</v>
      </c>
      <c r="AG4">
        <v>0.7</v>
      </c>
      <c r="AH4">
        <f t="shared" si="1"/>
        <v>5.0118723362727164E-8</v>
      </c>
      <c r="AI4">
        <v>1</v>
      </c>
      <c r="AJ4">
        <v>0.311</v>
      </c>
      <c r="AK4">
        <f t="array" ref="AK4">INDEX(Transcriptome!D$2:D$28,MATCH(1,(Transcriptome!$A$2:$A$28=$B4)*(Transcriptome!$C$2:$C$28=$G4),0))</f>
        <v>0.70792899137635334</v>
      </c>
      <c r="AL4">
        <f t="array" ref="AL4">INDEX(Transcriptome!E$2:E$28,MATCH(1,(Transcriptome!$A$2:$A$28=$B4)*(Transcriptome!$C$2:$C$28=$G4),0))</f>
        <v>1.5892398211913721</v>
      </c>
      <c r="AM4">
        <f t="array" ref="AM4">INDEX(Transcriptome!F$2:F$28,MATCH(1,(Transcriptome!$A$2:$A$28=$B4)*(Transcriptome!$C$2:$C$28=$G4),0))</f>
        <v>1.0699878087137091</v>
      </c>
      <c r="AN4">
        <f t="array" ref="AN4">INDEX(Transcriptome!G$2:G$28,MATCH(1,(Transcriptome!$A$2:$A$28=$B4)*(Transcriptome!$C$2:$C$28=$G4),0))</f>
        <v>0.70940308754432024</v>
      </c>
      <c r="AO4">
        <f t="array" ref="AO4">INDEX(Transcriptome!H$2:H$28,MATCH(1,(Transcriptome!$A$2:$A$28=$B4)*(Transcriptome!$C$2:$C$28=$G4),0))</f>
        <v>0</v>
      </c>
      <c r="AP4">
        <f t="array" ref="AP4">INDEX(Transcriptome!I$2:I$28,MATCH(1,(Transcriptome!$A$2:$A$28=$B4)*(Transcriptome!$C$2:$C$28=$G4),0))</f>
        <v>0.93552032018387032</v>
      </c>
      <c r="AQ4">
        <f t="array" ref="AQ4">INDEX(Transcriptome!J$2:J$28,MATCH(1,(Transcriptome!$A$2:$A$28=$B4)*(Transcriptome!$C$2:$C$28=$G4),0))</f>
        <v>1.0834614534636753</v>
      </c>
      <c r="AR4">
        <f t="array" ref="AR4">INDEX(Transcriptome!K$2:K$28,MATCH(1,(Transcriptome!$A$2:$A$28=$B4)*(Transcriptome!$C$2:$C$28=$G4),0))</f>
        <v>0.80377161141689246</v>
      </c>
      <c r="AS4">
        <f t="array" ref="AS4">INDEX(Transcriptome!L$2:L$28,MATCH(1,(Transcriptome!$A$2:$A$28=$B4)*(Transcriptome!$C$2:$C$28=$G4),0))</f>
        <v>0.85695479911735994</v>
      </c>
      <c r="AT4">
        <f t="array" ref="AT4">INDEX(Transcriptome!M$2:M$28,MATCH(1,(Transcriptome!$A$2:$A$28=$B4)*(Transcriptome!$C$2:$C$28=$G4),0))</f>
        <v>0.93891873980212981</v>
      </c>
      <c r="AU4">
        <f t="array" ref="AU4">INDEX(Transcriptome!N$2:N$28,MATCH(1,(Transcriptome!$A$2:$A$28=$B4)*(Transcriptome!$C$2:$C$28=$G4),0))</f>
        <v>0.70695686220859</v>
      </c>
      <c r="AV4">
        <f t="array" ref="AV4">INDEX(Transcriptome!O$2:O$28,MATCH(1,(Transcriptome!$A$2:$A$28=$B4)*(Transcriptome!$C$2:$C$28=$G4),0))</f>
        <v>0.8593713480497972</v>
      </c>
      <c r="AW4">
        <f t="array" ref="AW4">INDEX(Transcriptome!P$2:P$28,MATCH(1,(Transcriptome!$A$2:$A$28=$B4)*(Transcriptome!$C$2:$C$28=$G4),0))</f>
        <v>0.79904520541729218</v>
      </c>
      <c r="AX4">
        <f t="array" ref="AX4">INDEX(Transcriptome!Q$2:Q$28,MATCH(1,(Transcriptome!$A$2:$A$28=$B4)*(Transcriptome!$C$2:$C$28=$G4),0))</f>
        <v>0.47872282221313689</v>
      </c>
      <c r="AY4">
        <f t="array" ref="AY4">INDEX(Transcriptome!R$2:R$28,MATCH(1,(Transcriptome!$A$2:$A$28=$B4)*(Transcriptome!$C$2:$C$28=$G4),0))</f>
        <v>0.41383633912857071</v>
      </c>
      <c r="AZ4">
        <f t="array" ref="AZ4">INDEX(Transcriptome!S$2:S$28,MATCH(1,(Transcriptome!$A$2:$A$28=$B4)*(Transcriptome!$C$2:$C$28=$G4),0))</f>
        <v>0.44645950550293145</v>
      </c>
      <c r="BA4">
        <f t="array" ref="BA4">INDEX(Transcriptome!T$2:T$28,MATCH(1,(Transcriptome!$A$2:$A$28=$B4)*(Transcriptome!$C$2:$C$28=$G4),0))</f>
        <v>1.008655396739049</v>
      </c>
      <c r="BB4">
        <f t="array" ref="BB4">INDEX(Transcriptome!U$2:U$28,MATCH(1,(Transcriptome!$A$2:$A$28=$B4)*(Transcriptome!$C$2:$C$28=$G4),0))</f>
        <v>2.62155377663843</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0.59644766722058296</v>
      </c>
      <c r="BF4">
        <f t="array" ref="BF4">INDEX(Transcriptome!Y$2:Y$28,MATCH(1,(Transcriptome!$A$2:$A$28=$B4)*(Transcriptome!$C$2:$C$28=$G4),0))</f>
        <v>0</v>
      </c>
      <c r="BG4">
        <f t="array" ref="BG4">INDEX(Transcriptome!Z$2:Z$28,MATCH(1,(Transcriptome!$A$2:$A$28=$B4)*(Transcriptome!$C$2:$C$28=$G4),0))</f>
        <v>0.91328392911817136</v>
      </c>
      <c r="BH4">
        <f t="array" ref="BH4">INDEX(Transcriptome!AA$2:AA$28,MATCH(1,(Transcriptome!$A$2:$A$28=$B4)*(Transcriptome!$C$2:$C$28=$G4),0))</f>
        <v>1.061272583395289</v>
      </c>
      <c r="BI4">
        <f t="array" ref="BI4">INDEX(Transcriptome!AB$2:AB$28,MATCH(1,(Transcriptome!$A$2:$A$28=$B4)*(Transcriptome!$C$2:$C$28=$G4),0))</f>
        <v>0.40610812418406372</v>
      </c>
      <c r="BJ4">
        <f t="array" ref="BJ4">INDEX(Transcriptome!AC$2:AC$28,MATCH(1,(Transcriptome!$A$2:$A$28=$B4)*(Transcriptome!$C$2:$C$28=$G4),0))</f>
        <v>0.96854091898455463</v>
      </c>
      <c r="BK4">
        <f t="array" ref="BK4">INDEX(Transcriptome!AD$2:AD$28,MATCH(1,(Transcriptome!$A$2:$A$28=$B4)*(Transcriptome!$C$2:$C$28=$G4),0))</f>
        <v>0.74430848274637873</v>
      </c>
      <c r="BL4">
        <f t="array" ref="BL4">INDEX(Transcriptome!AE$2:AE$28,MATCH(1,(Transcriptome!$A$2:$A$28=$B4)*(Transcriptome!$C$2:$C$28=$G4),0))</f>
        <v>1.2431887576302834</v>
      </c>
      <c r="BM4">
        <f t="array" ref="BM4">INDEX(Transcriptome!AF$2:AF$28,MATCH(1,(Transcriptome!$A$2:$A$28=$B4)*(Transcriptome!$C$2:$C$28=$G4),0))</f>
        <v>0.49714311780941689</v>
      </c>
      <c r="BN4">
        <f t="array" ref="BN4">INDEX(Transcriptome!AG$2:AG$28,MATCH(1,(Transcriptome!$A$2:$A$28=$B4)*(Transcriptome!$C$2:$C$28=$G4),0))</f>
        <v>0.567414845207453</v>
      </c>
      <c r="BO4">
        <f t="array" ref="BO4">INDEX(Transcriptome!AH$2:AH$28,MATCH(1,(Transcriptome!$A$2:$A$28=$B4)*(Transcriptome!$C$2:$C$28=$G4),0))</f>
        <v>1.7504787263397232</v>
      </c>
      <c r="BP4">
        <f t="array" ref="BP4">INDEX(Transcriptome!AI$2:AI$28,MATCH(1,(Transcriptome!$A$2:$A$28=$B4)*(Transcriptome!$C$2:$C$28=$G4),0))</f>
        <v>0.56812861528565461</v>
      </c>
      <c r="BQ4">
        <f t="array" ref="BQ4">INDEX(Transcriptome!AJ$2:AJ$28,MATCH(1,(Transcriptome!$A$2:$A$28=$B4)*(Transcriptome!$C$2:$C$28=$G4),0))</f>
        <v>0.82144460906259187</v>
      </c>
      <c r="BR4">
        <f t="array" ref="BR4">INDEX(Transcriptome!AK$2:AK$28,MATCH(1,(Transcriptome!$A$2:$A$28=$B4)*(Transcriptome!$C$2:$C$28=$G4),0))</f>
        <v>0.4273004653597422</v>
      </c>
      <c r="BS4">
        <f t="array" ref="BS4">INDEX(Transcriptome!AL$2:AL$28,MATCH(1,(Transcriptome!$A$2:$A$28=$B4)*(Transcriptome!$C$2:$C$28=$G4),0))</f>
        <v>1</v>
      </c>
      <c r="BT4">
        <f t="array" ref="BT4">INDEX(Transcriptome!AM$2:AM$28,MATCH(1,(Transcriptome!$A$2:$A$28=$B4)*(Transcriptome!$C$2:$C$28=$G4),0))</f>
        <v>0.53518948544168743</v>
      </c>
      <c r="BU4">
        <f t="array" ref="BU4">INDEX(Transcriptome!AN$2:AN$28,MATCH(1,(Transcriptome!$A$2:$A$28=$B4)*(Transcriptome!$C$2:$C$28=$G4),0))</f>
        <v>0.73171138313074335</v>
      </c>
      <c r="BV4">
        <f t="array" ref="BV4">INDEX(Transcriptome!AO$2:AO$28,MATCH(1,(Transcriptome!$A$2:$A$28=$B4)*(Transcriptome!$C$2:$C$28=$G4),0))</f>
        <v>0.79282459441774966</v>
      </c>
      <c r="BW4">
        <f t="array" ref="BW4">INDEX(Transcriptome!AP$2:AP$28,MATCH(1,(Transcriptome!$A$2:$A$28=$B4)*(Transcriptome!$C$2:$C$28=$G4),0))</f>
        <v>0.94021059648890959</v>
      </c>
      <c r="BX4">
        <f t="array" ref="BX4">INDEX(Transcriptome!AQ$2:AQ$28,MATCH(1,(Transcriptome!$A$2:$A$28=$B4)*(Transcriptome!$C$2:$C$28=$G4),0))</f>
        <v>1.47708404581313</v>
      </c>
      <c r="BY4">
        <f t="array" ref="BY4">INDEX(Transcriptome!AR$2:AR$28,MATCH(1,(Transcriptome!$A$2:$A$28=$B4)*(Transcriptome!$C$2:$C$28=$G4),0))</f>
        <v>0.58760190296554049</v>
      </c>
      <c r="BZ4">
        <f t="array" ref="BZ4">INDEX(Transcriptome!AS$2:AS$28,MATCH(1,(Transcriptome!$A$2:$A$28=$B4)*(Transcriptome!$C$2:$C$28=$G4),0))</f>
        <v>0.72689778127724192</v>
      </c>
      <c r="CA4">
        <f t="array" ref="CA4">INDEX(Transcriptome!AT$2:AT$28,MATCH(1,(Transcriptome!$A$2:$A$28=$B4)*(Transcriptome!$C$2:$C$28=$G4),0))</f>
        <v>0.52996440534176203</v>
      </c>
      <c r="CB4">
        <f t="array" ref="CB4">INDEX(Transcriptome!AU$2:AU$28,MATCH(1,(Transcriptome!$A$2:$A$28=$B4)*(Transcriptome!$C$2:$C$28=$G4),0))</f>
        <v>1.2346382979140564</v>
      </c>
      <c r="CC4">
        <f t="array" ref="CC4">INDEX(Transcriptome!AV$2:AV$28,MATCH(1,(Transcriptome!$A$2:$A$28=$B4)*(Transcriptome!$C$2:$C$28=$G4),0))</f>
        <v>0.59394270175385044</v>
      </c>
      <c r="CD4">
        <f t="array" ref="CD4">INDEX(Transcriptome!AW$2:AW$28,MATCH(1,(Transcriptome!$A$2:$A$28=$B4)*(Transcriptome!$C$2:$C$28=$G4),0))</f>
        <v>0.79380009303939492</v>
      </c>
      <c r="CE4">
        <f t="array" ref="CE4">INDEX(Transcriptome!AX$2:AX$28,MATCH(1,(Transcriptome!$A$2:$A$28=$B4)*(Transcriptome!$C$2:$C$28=$G4),0))</f>
        <v>0.66411075288126009</v>
      </c>
      <c r="CF4">
        <f t="array" ref="CF4">INDEX(Transcriptome!AY$2:AY$28,MATCH(1,(Transcriptome!$A$2:$A$28=$B4)*(Transcriptome!$C$2:$C$28=$G4),0))</f>
        <v>0.91230940759148649</v>
      </c>
      <c r="CG4">
        <f t="array" ref="CG4">INDEX(Transcriptome!AZ$2:AZ$28,MATCH(1,(Transcriptome!$A$2:$A$28=$B4)*(Transcriptome!$C$2:$C$28=$G4),0))</f>
        <v>0.52236635594220548</v>
      </c>
      <c r="CH4">
        <f t="array" ref="CH4">INDEX(Transcriptome!BA$2:BA$28,MATCH(1,(Transcriptome!$A$2:$A$28=$B4)*(Transcriptome!$C$2:$C$28=$G4),0))</f>
        <v>1.4722765738374801</v>
      </c>
      <c r="CI4">
        <f t="array" ref="CI4">INDEX(Transcriptome!BB$2:BB$28,MATCH(1,(Transcriptome!$A$2:$A$28=$B4)*(Transcriptome!$C$2:$C$28=$G4),0))</f>
        <v>1.7837978141567536</v>
      </c>
      <c r="CJ4">
        <f t="array" ref="CJ4">INDEX(Transcriptome!BC$2:BC$28,MATCH(1,(Transcriptome!$A$2:$A$28=$B4)*(Transcriptome!$C$2:$C$28=$G4),0))</f>
        <v>0</v>
      </c>
      <c r="CK4">
        <f t="array" ref="CK4">INDEX(Transcriptome!BD$2:BD$28,MATCH(1,(Transcriptome!$A$2:$A$28=$B4)*(Transcriptome!$C$2:$C$28=$G4),0))</f>
        <v>0.89732664094598091</v>
      </c>
      <c r="CL4">
        <f t="array" ref="CL4">INDEX(Transcriptome!BE$2:BE$28,MATCH(1,(Transcriptome!$A$2:$A$28=$B4)*(Transcriptome!$C$2:$C$28=$G4),0))</f>
        <v>1.4278341624379669</v>
      </c>
      <c r="CM4">
        <f t="array" ref="CM4">INDEX(Transcriptome!BF$2:BF$28,MATCH(1,(Transcriptome!$A$2:$A$28=$B4)*(Transcriptome!$C$2:$C$28=$G4),0))</f>
        <v>1.0547210245064886</v>
      </c>
      <c r="CN4">
        <f t="array" ref="CN4">INDEX(Transcriptome!BG$2:BG$28,MATCH(1,(Transcriptome!$A$2:$A$28=$B4)*(Transcriptome!$C$2:$C$28=$G4),0))</f>
        <v>2.2222015287581018</v>
      </c>
      <c r="CO4">
        <f t="array" ref="CO4">INDEX(Transcriptome!BH$2:BH$28,MATCH(1,(Transcriptome!$A$2:$A$28=$B4)*(Transcriptome!$C$2:$C$28=$G4),0))</f>
        <v>0.40924168851755272</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2.7449342282819935</v>
      </c>
      <c r="CS4">
        <f t="array" ref="CS4">INDEX(Transcriptome!BL$2:BL$28,MATCH(1,(Transcriptome!$A$2:$A$28=$B4)*(Transcriptome!$C$2:$C$28=$G4),0))</f>
        <v>1.9495020029319203</v>
      </c>
      <c r="CT4">
        <f t="array" ref="CT4">INDEX(Transcriptome!BM$2:BM$28,MATCH(1,(Transcriptome!$A$2:$A$28=$B4)*(Transcriptome!$C$2:$C$28=$G4),0))</f>
        <v>0.84121164659459347</v>
      </c>
      <c r="CU4">
        <f t="array" ref="CU4">INDEX(Transcriptome!BN$2:BN$28,MATCH(1,(Transcriptome!$A$2:$A$28=$B4)*(Transcriptome!$C$2:$C$28=$G4),0))</f>
        <v>31.952489188561209</v>
      </c>
      <c r="CV4">
        <f t="array" ref="CV4">INDEX(Transcriptome!BO$2:BO$28,MATCH(1,(Transcriptome!$A$2:$A$28=$B4)*(Transcriptome!$C$2:$C$28=$G4),0))</f>
        <v>0.74951232158557368</v>
      </c>
      <c r="CW4">
        <f t="array" ref="CW4">INDEX(Transcriptome!BP$2:BP$28,MATCH(1,(Transcriptome!$A$2:$A$28=$B4)*(Transcriptome!$C$2:$C$28=$G4),0))</f>
        <v>0.40924168851755272</v>
      </c>
      <c r="CX4">
        <f t="array" ref="CX4">INDEX(Transcriptome!BQ$2:BQ$28,MATCH(1,(Transcriptome!$A$2:$A$28=$B4)*(Transcriptome!$C$2:$C$28=$G4),0))</f>
        <v>1</v>
      </c>
      <c r="CY4">
        <f t="array" ref="CY4">INDEX(Transcriptome!BR$2:BR$28,MATCH(1,(Transcriptome!$A$2:$A$28=$B4)*(Transcriptome!$C$2:$C$28=$G4),0))</f>
        <v>1.3819649840367882</v>
      </c>
    </row>
    <row r="5" spans="1:103">
      <c r="A5">
        <f>'Measured Data'!A10</f>
        <v>3</v>
      </c>
      <c r="B5" t="s">
        <v>586</v>
      </c>
      <c r="C5" s="324" t="s">
        <v>588</v>
      </c>
      <c r="D5">
        <v>1</v>
      </c>
      <c r="E5">
        <f>'Measured Data'!H10</f>
        <v>1.4616999460220337</v>
      </c>
      <c r="F5" s="477">
        <f>'Measured Data'!K10</f>
        <v>99.270103454589844</v>
      </c>
      <c r="G5" t="s">
        <v>515</v>
      </c>
      <c r="H5" s="321">
        <f>'Measured Data'!B10</f>
        <v>2.953472222223354</v>
      </c>
      <c r="I5" s="322">
        <f>'Measured Data'!C10</f>
        <v>70.883333333360497</v>
      </c>
      <c r="J5">
        <f>'In Process Calc.'!B6</f>
        <v>2.953472222223354</v>
      </c>
      <c r="K5">
        <f>'In Process Calc.'!C6</f>
        <v>70.883333333360497</v>
      </c>
      <c r="L5">
        <f>'Measured Data'!Z10</f>
        <v>28.75285863362863</v>
      </c>
      <c r="M5">
        <f>'Measured Data'!AF10</f>
        <v>3.8854351687388986</v>
      </c>
      <c r="N5">
        <f>'Measured Data'!AA10</f>
        <v>0.36599999999999999</v>
      </c>
      <c r="O5">
        <f>'Measured Data'!W10</f>
        <v>4.3479999999999999</v>
      </c>
      <c r="P5">
        <f>'Measured Data'!X10</f>
        <v>1.671</v>
      </c>
      <c r="Q5">
        <f>'Growth Regression'!P5</f>
        <v>2.4511890413168775E-2</v>
      </c>
      <c r="R5">
        <f>Q5/'Growth Regression'!$O$24</f>
        <v>0.91087452801565616</v>
      </c>
      <c r="S5">
        <f>'Post Process Calc.'!K6</f>
        <v>8.6970115367674058E-2</v>
      </c>
      <c r="T5">
        <f>'Post Process Calc.'!Q6</f>
        <v>5.1533007128908959E-2</v>
      </c>
      <c r="U5">
        <f>'Post Process Calc.'!L6</f>
        <v>-4.9202861570126263E-3</v>
      </c>
      <c r="V5">
        <f>'Post Process Calc.'!H6</f>
        <v>-1.062236925422217E-3</v>
      </c>
      <c r="W5">
        <f>'Post Process Calc.'!I6</f>
        <v>-1.5863210389686681E-2</v>
      </c>
      <c r="X5">
        <f>'Post Process Calc.'!AG6</f>
        <v>0.59253695261928185</v>
      </c>
      <c r="Y5">
        <f t="shared" si="2"/>
        <v>54.356322104796284</v>
      </c>
      <c r="Z5">
        <f t="shared" si="2"/>
        <v>32.208129455568098</v>
      </c>
      <c r="AA5">
        <f t="shared" si="0"/>
        <v>-3.0751788481328912</v>
      </c>
      <c r="AB5">
        <f t="shared" si="0"/>
        <v>-0.66389807838888559</v>
      </c>
      <c r="AC5">
        <f t="shared" si="0"/>
        <v>-9.9145064935541747</v>
      </c>
      <c r="AD5">
        <v>100</v>
      </c>
      <c r="AE5">
        <v>0.32</v>
      </c>
      <c r="AF5">
        <v>7</v>
      </c>
      <c r="AG5">
        <v>0.7</v>
      </c>
      <c r="AH5">
        <f t="shared" si="1"/>
        <v>5.0118723362727164E-8</v>
      </c>
      <c r="AI5">
        <v>1</v>
      </c>
      <c r="AJ5">
        <v>0.311</v>
      </c>
      <c r="AK5">
        <f t="array" ref="AK5">INDEX(Transcriptome!D$2:D$28,MATCH(1,(Transcriptome!$A$2:$A$28=$B5)*(Transcriptome!$C$2:$C$28=$G5),0))</f>
        <v>0.70792899137635334</v>
      </c>
      <c r="AL5">
        <f t="array" ref="AL5">INDEX(Transcriptome!E$2:E$28,MATCH(1,(Transcriptome!$A$2:$A$28=$B5)*(Transcriptome!$C$2:$C$28=$G5),0))</f>
        <v>1.5892398211913721</v>
      </c>
      <c r="AM5">
        <f t="array" ref="AM5">INDEX(Transcriptome!F$2:F$28,MATCH(1,(Transcriptome!$A$2:$A$28=$B5)*(Transcriptome!$C$2:$C$28=$G5),0))</f>
        <v>1.0699878087137091</v>
      </c>
      <c r="AN5">
        <f t="array" ref="AN5">INDEX(Transcriptome!G$2:G$28,MATCH(1,(Transcriptome!$A$2:$A$28=$B5)*(Transcriptome!$C$2:$C$28=$G5),0))</f>
        <v>0.70940308754432024</v>
      </c>
      <c r="AO5">
        <f t="array" ref="AO5">INDEX(Transcriptome!H$2:H$28,MATCH(1,(Transcriptome!$A$2:$A$28=$B5)*(Transcriptome!$C$2:$C$28=$G5),0))</f>
        <v>0</v>
      </c>
      <c r="AP5">
        <f t="array" ref="AP5">INDEX(Transcriptome!I$2:I$28,MATCH(1,(Transcriptome!$A$2:$A$28=$B5)*(Transcriptome!$C$2:$C$28=$G5),0))</f>
        <v>0.93552032018387032</v>
      </c>
      <c r="AQ5">
        <f t="array" ref="AQ5">INDEX(Transcriptome!J$2:J$28,MATCH(1,(Transcriptome!$A$2:$A$28=$B5)*(Transcriptome!$C$2:$C$28=$G5),0))</f>
        <v>1.0834614534636753</v>
      </c>
      <c r="AR5">
        <f t="array" ref="AR5">INDEX(Transcriptome!K$2:K$28,MATCH(1,(Transcriptome!$A$2:$A$28=$B5)*(Transcriptome!$C$2:$C$28=$G5),0))</f>
        <v>0.80377161141689246</v>
      </c>
      <c r="AS5">
        <f t="array" ref="AS5">INDEX(Transcriptome!L$2:L$28,MATCH(1,(Transcriptome!$A$2:$A$28=$B5)*(Transcriptome!$C$2:$C$28=$G5),0))</f>
        <v>0.85695479911735994</v>
      </c>
      <c r="AT5">
        <f t="array" ref="AT5">INDEX(Transcriptome!M$2:M$28,MATCH(1,(Transcriptome!$A$2:$A$28=$B5)*(Transcriptome!$C$2:$C$28=$G5),0))</f>
        <v>0.93891873980212981</v>
      </c>
      <c r="AU5">
        <f t="array" ref="AU5">INDEX(Transcriptome!N$2:N$28,MATCH(1,(Transcriptome!$A$2:$A$28=$B5)*(Transcriptome!$C$2:$C$28=$G5),0))</f>
        <v>0.70695686220859</v>
      </c>
      <c r="AV5">
        <f t="array" ref="AV5">INDEX(Transcriptome!O$2:O$28,MATCH(1,(Transcriptome!$A$2:$A$28=$B5)*(Transcriptome!$C$2:$C$28=$G5),0))</f>
        <v>0.8593713480497972</v>
      </c>
      <c r="AW5">
        <f t="array" ref="AW5">INDEX(Transcriptome!P$2:P$28,MATCH(1,(Transcriptome!$A$2:$A$28=$B5)*(Transcriptome!$C$2:$C$28=$G5),0))</f>
        <v>0.79904520541729218</v>
      </c>
      <c r="AX5">
        <f t="array" ref="AX5">INDEX(Transcriptome!Q$2:Q$28,MATCH(1,(Transcriptome!$A$2:$A$28=$B5)*(Transcriptome!$C$2:$C$28=$G5),0))</f>
        <v>0.47872282221313689</v>
      </c>
      <c r="AY5">
        <f t="array" ref="AY5">INDEX(Transcriptome!R$2:R$28,MATCH(1,(Transcriptome!$A$2:$A$28=$B5)*(Transcriptome!$C$2:$C$28=$G5),0))</f>
        <v>0.41383633912857071</v>
      </c>
      <c r="AZ5">
        <f t="array" ref="AZ5">INDEX(Transcriptome!S$2:S$28,MATCH(1,(Transcriptome!$A$2:$A$28=$B5)*(Transcriptome!$C$2:$C$28=$G5),0))</f>
        <v>0.44645950550293145</v>
      </c>
      <c r="BA5">
        <f t="array" ref="BA5">INDEX(Transcriptome!T$2:T$28,MATCH(1,(Transcriptome!$A$2:$A$28=$B5)*(Transcriptome!$C$2:$C$28=$G5),0))</f>
        <v>1.008655396739049</v>
      </c>
      <c r="BB5">
        <f t="array" ref="BB5">INDEX(Transcriptome!U$2:U$28,MATCH(1,(Transcriptome!$A$2:$A$28=$B5)*(Transcriptome!$C$2:$C$28=$G5),0))</f>
        <v>2.62155377663843</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0.59644766722058296</v>
      </c>
      <c r="BF5">
        <f t="array" ref="BF5">INDEX(Transcriptome!Y$2:Y$28,MATCH(1,(Transcriptome!$A$2:$A$28=$B5)*(Transcriptome!$C$2:$C$28=$G5),0))</f>
        <v>0</v>
      </c>
      <c r="BG5">
        <f t="array" ref="BG5">INDEX(Transcriptome!Z$2:Z$28,MATCH(1,(Transcriptome!$A$2:$A$28=$B5)*(Transcriptome!$C$2:$C$28=$G5),0))</f>
        <v>0.91328392911817136</v>
      </c>
      <c r="BH5">
        <f t="array" ref="BH5">INDEX(Transcriptome!AA$2:AA$28,MATCH(1,(Transcriptome!$A$2:$A$28=$B5)*(Transcriptome!$C$2:$C$28=$G5),0))</f>
        <v>1.061272583395289</v>
      </c>
      <c r="BI5">
        <f t="array" ref="BI5">INDEX(Transcriptome!AB$2:AB$28,MATCH(1,(Transcriptome!$A$2:$A$28=$B5)*(Transcriptome!$C$2:$C$28=$G5),0))</f>
        <v>0.40610812418406372</v>
      </c>
      <c r="BJ5">
        <f t="array" ref="BJ5">INDEX(Transcriptome!AC$2:AC$28,MATCH(1,(Transcriptome!$A$2:$A$28=$B5)*(Transcriptome!$C$2:$C$28=$G5),0))</f>
        <v>0.96854091898455463</v>
      </c>
      <c r="BK5">
        <f t="array" ref="BK5">INDEX(Transcriptome!AD$2:AD$28,MATCH(1,(Transcriptome!$A$2:$A$28=$B5)*(Transcriptome!$C$2:$C$28=$G5),0))</f>
        <v>0.74430848274637873</v>
      </c>
      <c r="BL5">
        <f t="array" ref="BL5">INDEX(Transcriptome!AE$2:AE$28,MATCH(1,(Transcriptome!$A$2:$A$28=$B5)*(Transcriptome!$C$2:$C$28=$G5),0))</f>
        <v>1.2431887576302834</v>
      </c>
      <c r="BM5">
        <f t="array" ref="BM5">INDEX(Transcriptome!AF$2:AF$28,MATCH(1,(Transcriptome!$A$2:$A$28=$B5)*(Transcriptome!$C$2:$C$28=$G5),0))</f>
        <v>0.49714311780941689</v>
      </c>
      <c r="BN5">
        <f t="array" ref="BN5">INDEX(Transcriptome!AG$2:AG$28,MATCH(1,(Transcriptome!$A$2:$A$28=$B5)*(Transcriptome!$C$2:$C$28=$G5),0))</f>
        <v>0.567414845207453</v>
      </c>
      <c r="BO5">
        <f t="array" ref="BO5">INDEX(Transcriptome!AH$2:AH$28,MATCH(1,(Transcriptome!$A$2:$A$28=$B5)*(Transcriptome!$C$2:$C$28=$G5),0))</f>
        <v>1.7504787263397232</v>
      </c>
      <c r="BP5">
        <f t="array" ref="BP5">INDEX(Transcriptome!AI$2:AI$28,MATCH(1,(Transcriptome!$A$2:$A$28=$B5)*(Transcriptome!$C$2:$C$28=$G5),0))</f>
        <v>0.56812861528565461</v>
      </c>
      <c r="BQ5">
        <f t="array" ref="BQ5">INDEX(Transcriptome!AJ$2:AJ$28,MATCH(1,(Transcriptome!$A$2:$A$28=$B5)*(Transcriptome!$C$2:$C$28=$G5),0))</f>
        <v>0.82144460906259187</v>
      </c>
      <c r="BR5">
        <f t="array" ref="BR5">INDEX(Transcriptome!AK$2:AK$28,MATCH(1,(Transcriptome!$A$2:$A$28=$B5)*(Transcriptome!$C$2:$C$28=$G5),0))</f>
        <v>0.4273004653597422</v>
      </c>
      <c r="BS5">
        <f t="array" ref="BS5">INDEX(Transcriptome!AL$2:AL$28,MATCH(1,(Transcriptome!$A$2:$A$28=$B5)*(Transcriptome!$C$2:$C$28=$G5),0))</f>
        <v>1</v>
      </c>
      <c r="BT5">
        <f t="array" ref="BT5">INDEX(Transcriptome!AM$2:AM$28,MATCH(1,(Transcriptome!$A$2:$A$28=$B5)*(Transcriptome!$C$2:$C$28=$G5),0))</f>
        <v>0.53518948544168743</v>
      </c>
      <c r="BU5">
        <f t="array" ref="BU5">INDEX(Transcriptome!AN$2:AN$28,MATCH(1,(Transcriptome!$A$2:$A$28=$B5)*(Transcriptome!$C$2:$C$28=$G5),0))</f>
        <v>0.73171138313074335</v>
      </c>
      <c r="BV5">
        <f t="array" ref="BV5">INDEX(Transcriptome!AO$2:AO$28,MATCH(1,(Transcriptome!$A$2:$A$28=$B5)*(Transcriptome!$C$2:$C$28=$G5),0))</f>
        <v>0.79282459441774966</v>
      </c>
      <c r="BW5">
        <f t="array" ref="BW5">INDEX(Transcriptome!AP$2:AP$28,MATCH(1,(Transcriptome!$A$2:$A$28=$B5)*(Transcriptome!$C$2:$C$28=$G5),0))</f>
        <v>0.94021059648890959</v>
      </c>
      <c r="BX5">
        <f t="array" ref="BX5">INDEX(Transcriptome!AQ$2:AQ$28,MATCH(1,(Transcriptome!$A$2:$A$28=$B5)*(Transcriptome!$C$2:$C$28=$G5),0))</f>
        <v>1.47708404581313</v>
      </c>
      <c r="BY5">
        <f t="array" ref="BY5">INDEX(Transcriptome!AR$2:AR$28,MATCH(1,(Transcriptome!$A$2:$A$28=$B5)*(Transcriptome!$C$2:$C$28=$G5),0))</f>
        <v>0.58760190296554049</v>
      </c>
      <c r="BZ5">
        <f t="array" ref="BZ5">INDEX(Transcriptome!AS$2:AS$28,MATCH(1,(Transcriptome!$A$2:$A$28=$B5)*(Transcriptome!$C$2:$C$28=$G5),0))</f>
        <v>0.72689778127724192</v>
      </c>
      <c r="CA5">
        <f t="array" ref="CA5">INDEX(Transcriptome!AT$2:AT$28,MATCH(1,(Transcriptome!$A$2:$A$28=$B5)*(Transcriptome!$C$2:$C$28=$G5),0))</f>
        <v>0.52996440534176203</v>
      </c>
      <c r="CB5">
        <f t="array" ref="CB5">INDEX(Transcriptome!AU$2:AU$28,MATCH(1,(Transcriptome!$A$2:$A$28=$B5)*(Transcriptome!$C$2:$C$28=$G5),0))</f>
        <v>1.2346382979140564</v>
      </c>
      <c r="CC5">
        <f t="array" ref="CC5">INDEX(Transcriptome!AV$2:AV$28,MATCH(1,(Transcriptome!$A$2:$A$28=$B5)*(Transcriptome!$C$2:$C$28=$G5),0))</f>
        <v>0.59394270175385044</v>
      </c>
      <c r="CD5">
        <f t="array" ref="CD5">INDEX(Transcriptome!AW$2:AW$28,MATCH(1,(Transcriptome!$A$2:$A$28=$B5)*(Transcriptome!$C$2:$C$28=$G5),0))</f>
        <v>0.79380009303939492</v>
      </c>
      <c r="CE5">
        <f t="array" ref="CE5">INDEX(Transcriptome!AX$2:AX$28,MATCH(1,(Transcriptome!$A$2:$A$28=$B5)*(Transcriptome!$C$2:$C$28=$G5),0))</f>
        <v>0.66411075288126009</v>
      </c>
      <c r="CF5">
        <f t="array" ref="CF5">INDEX(Transcriptome!AY$2:AY$28,MATCH(1,(Transcriptome!$A$2:$A$28=$B5)*(Transcriptome!$C$2:$C$28=$G5),0))</f>
        <v>0.91230940759148649</v>
      </c>
      <c r="CG5">
        <f t="array" ref="CG5">INDEX(Transcriptome!AZ$2:AZ$28,MATCH(1,(Transcriptome!$A$2:$A$28=$B5)*(Transcriptome!$C$2:$C$28=$G5),0))</f>
        <v>0.52236635594220548</v>
      </c>
      <c r="CH5">
        <f t="array" ref="CH5">INDEX(Transcriptome!BA$2:BA$28,MATCH(1,(Transcriptome!$A$2:$A$28=$B5)*(Transcriptome!$C$2:$C$28=$G5),0))</f>
        <v>1.4722765738374801</v>
      </c>
      <c r="CI5">
        <f t="array" ref="CI5">INDEX(Transcriptome!BB$2:BB$28,MATCH(1,(Transcriptome!$A$2:$A$28=$B5)*(Transcriptome!$C$2:$C$28=$G5),0))</f>
        <v>1.7837978141567536</v>
      </c>
      <c r="CJ5">
        <f t="array" ref="CJ5">INDEX(Transcriptome!BC$2:BC$28,MATCH(1,(Transcriptome!$A$2:$A$28=$B5)*(Transcriptome!$C$2:$C$28=$G5),0))</f>
        <v>0</v>
      </c>
      <c r="CK5">
        <f t="array" ref="CK5">INDEX(Transcriptome!BD$2:BD$28,MATCH(1,(Transcriptome!$A$2:$A$28=$B5)*(Transcriptome!$C$2:$C$28=$G5),0))</f>
        <v>0.89732664094598091</v>
      </c>
      <c r="CL5">
        <f t="array" ref="CL5">INDEX(Transcriptome!BE$2:BE$28,MATCH(1,(Transcriptome!$A$2:$A$28=$B5)*(Transcriptome!$C$2:$C$28=$G5),0))</f>
        <v>1.4278341624379669</v>
      </c>
      <c r="CM5">
        <f t="array" ref="CM5">INDEX(Transcriptome!BF$2:BF$28,MATCH(1,(Transcriptome!$A$2:$A$28=$B5)*(Transcriptome!$C$2:$C$28=$G5),0))</f>
        <v>1.0547210245064886</v>
      </c>
      <c r="CN5">
        <f t="array" ref="CN5">INDEX(Transcriptome!BG$2:BG$28,MATCH(1,(Transcriptome!$A$2:$A$28=$B5)*(Transcriptome!$C$2:$C$28=$G5),0))</f>
        <v>2.2222015287581018</v>
      </c>
      <c r="CO5">
        <f t="array" ref="CO5">INDEX(Transcriptome!BH$2:BH$28,MATCH(1,(Transcriptome!$A$2:$A$28=$B5)*(Transcriptome!$C$2:$C$28=$G5),0))</f>
        <v>0.40924168851755272</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2.7449342282819935</v>
      </c>
      <c r="CS5">
        <f t="array" ref="CS5">INDEX(Transcriptome!BL$2:BL$28,MATCH(1,(Transcriptome!$A$2:$A$28=$B5)*(Transcriptome!$C$2:$C$28=$G5),0))</f>
        <v>1.9495020029319203</v>
      </c>
      <c r="CT5">
        <f t="array" ref="CT5">INDEX(Transcriptome!BM$2:BM$28,MATCH(1,(Transcriptome!$A$2:$A$28=$B5)*(Transcriptome!$C$2:$C$28=$G5),0))</f>
        <v>0.84121164659459347</v>
      </c>
      <c r="CU5">
        <f t="array" ref="CU5">INDEX(Transcriptome!BN$2:BN$28,MATCH(1,(Transcriptome!$A$2:$A$28=$B5)*(Transcriptome!$C$2:$C$28=$G5),0))</f>
        <v>31.952489188561209</v>
      </c>
      <c r="CV5">
        <f t="array" ref="CV5">INDEX(Transcriptome!BO$2:BO$28,MATCH(1,(Transcriptome!$A$2:$A$28=$B5)*(Transcriptome!$C$2:$C$28=$G5),0))</f>
        <v>0.74951232158557368</v>
      </c>
      <c r="CW5">
        <f t="array" ref="CW5">INDEX(Transcriptome!BP$2:BP$28,MATCH(1,(Transcriptome!$A$2:$A$28=$B5)*(Transcriptome!$C$2:$C$28=$G5),0))</f>
        <v>0.40924168851755272</v>
      </c>
      <c r="CX5">
        <f t="array" ref="CX5">INDEX(Transcriptome!BQ$2:BQ$28,MATCH(1,(Transcriptome!$A$2:$A$28=$B5)*(Transcriptome!$C$2:$C$28=$G5),0))</f>
        <v>1</v>
      </c>
      <c r="CY5">
        <f t="array" ref="CY5">INDEX(Transcriptome!BR$2:BR$28,MATCH(1,(Transcriptome!$A$2:$A$28=$B5)*(Transcriptome!$C$2:$C$28=$G5),0))</f>
        <v>1.3819649840367882</v>
      </c>
    </row>
    <row r="6" spans="1:103">
      <c r="A6">
        <f>'Measured Data'!A11</f>
        <v>4</v>
      </c>
      <c r="B6" t="s">
        <v>586</v>
      </c>
      <c r="C6" s="324" t="s">
        <v>588</v>
      </c>
      <c r="D6">
        <v>1</v>
      </c>
      <c r="E6">
        <f>'Measured Data'!H11</f>
        <v>2.7349999977111819</v>
      </c>
      <c r="F6" s="477">
        <f>'Measured Data'!K11</f>
        <v>98.889701843261719</v>
      </c>
      <c r="G6" t="s">
        <v>515</v>
      </c>
      <c r="H6" s="321">
        <f>'Measured Data'!B11</f>
        <v>3.9736111111124046</v>
      </c>
      <c r="I6" s="322">
        <f>'Measured Data'!C11</f>
        <v>95.366666666697711</v>
      </c>
      <c r="J6">
        <f>'In Process Calc.'!B7</f>
        <v>3.9736111111124046</v>
      </c>
      <c r="K6">
        <f>'In Process Calc.'!C7</f>
        <v>95.366666666697711</v>
      </c>
      <c r="L6">
        <f>'Measured Data'!Z11</f>
        <v>32.860409867004151</v>
      </c>
      <c r="M6">
        <f>'Measured Data'!AF11</f>
        <v>5.5506216696269988</v>
      </c>
      <c r="N6">
        <f>'Measured Data'!AA11</f>
        <v>0.66800000000000004</v>
      </c>
      <c r="O6">
        <f>'Measured Data'!W11</f>
        <v>5.593</v>
      </c>
      <c r="P6">
        <f>'Measured Data'!X11</f>
        <v>1.6419999999999999</v>
      </c>
      <c r="Q6">
        <f>'Growth Regression'!P6</f>
        <v>2.2630896243082663E-2</v>
      </c>
      <c r="R6">
        <f>Q6/'Growth Regression'!$O$24</f>
        <v>0.84097581159691315</v>
      </c>
      <c r="S6">
        <f>'Post Process Calc.'!K7</f>
        <v>7.1657987708768633E-2</v>
      </c>
      <c r="T6">
        <f>'Post Process Calc.'!Q7</f>
        <v>3.2183198605669025E-2</v>
      </c>
      <c r="U6">
        <f>'Post Process Calc.'!L7</f>
        <v>-8.0897615215411237E-3</v>
      </c>
      <c r="V6">
        <f>'Post Process Calc.'!H7</f>
        <v>2.5607790631026299E-3</v>
      </c>
      <c r="W6">
        <f>'Post Process Calc.'!I7</f>
        <v>-1.1674545885499031E-2</v>
      </c>
      <c r="X6">
        <f>'Post Process Calc.'!AG7</f>
        <v>0.44912227700933383</v>
      </c>
      <c r="Y6">
        <f t="shared" si="2"/>
        <v>44.786242317980395</v>
      </c>
      <c r="Z6">
        <f t="shared" si="2"/>
        <v>20.114499128543141</v>
      </c>
      <c r="AA6">
        <f t="shared" si="0"/>
        <v>-5.0561009509632022</v>
      </c>
      <c r="AB6">
        <f t="shared" si="0"/>
        <v>1.6004869144391436</v>
      </c>
      <c r="AC6">
        <f t="shared" si="0"/>
        <v>-7.296591178436894</v>
      </c>
      <c r="AD6">
        <v>100</v>
      </c>
      <c r="AE6">
        <v>0.32</v>
      </c>
      <c r="AF6">
        <v>7</v>
      </c>
      <c r="AG6">
        <v>0.7</v>
      </c>
      <c r="AH6">
        <f t="shared" si="1"/>
        <v>5.0118723362727164E-8</v>
      </c>
      <c r="AI6">
        <v>1</v>
      </c>
      <c r="AJ6">
        <v>0.311</v>
      </c>
      <c r="AK6">
        <f t="array" ref="AK6">INDEX(Transcriptome!D$2:D$28,MATCH(1,(Transcriptome!$A$2:$A$28=$B6)*(Transcriptome!$C$2:$C$28=$G6),0))</f>
        <v>0.70792899137635334</v>
      </c>
      <c r="AL6">
        <f t="array" ref="AL6">INDEX(Transcriptome!E$2:E$28,MATCH(1,(Transcriptome!$A$2:$A$28=$B6)*(Transcriptome!$C$2:$C$28=$G6),0))</f>
        <v>1.5892398211913721</v>
      </c>
      <c r="AM6">
        <f t="array" ref="AM6">INDEX(Transcriptome!F$2:F$28,MATCH(1,(Transcriptome!$A$2:$A$28=$B6)*(Transcriptome!$C$2:$C$28=$G6),0))</f>
        <v>1.0699878087137091</v>
      </c>
      <c r="AN6">
        <f t="array" ref="AN6">INDEX(Transcriptome!G$2:G$28,MATCH(1,(Transcriptome!$A$2:$A$28=$B6)*(Transcriptome!$C$2:$C$28=$G6),0))</f>
        <v>0.70940308754432024</v>
      </c>
      <c r="AO6">
        <f t="array" ref="AO6">INDEX(Transcriptome!H$2:H$28,MATCH(1,(Transcriptome!$A$2:$A$28=$B6)*(Transcriptome!$C$2:$C$28=$G6),0))</f>
        <v>0</v>
      </c>
      <c r="AP6">
        <f t="array" ref="AP6">INDEX(Transcriptome!I$2:I$28,MATCH(1,(Transcriptome!$A$2:$A$28=$B6)*(Transcriptome!$C$2:$C$28=$G6),0))</f>
        <v>0.93552032018387032</v>
      </c>
      <c r="AQ6">
        <f t="array" ref="AQ6">INDEX(Transcriptome!J$2:J$28,MATCH(1,(Transcriptome!$A$2:$A$28=$B6)*(Transcriptome!$C$2:$C$28=$G6),0))</f>
        <v>1.0834614534636753</v>
      </c>
      <c r="AR6">
        <f t="array" ref="AR6">INDEX(Transcriptome!K$2:K$28,MATCH(1,(Transcriptome!$A$2:$A$28=$B6)*(Transcriptome!$C$2:$C$28=$G6),0))</f>
        <v>0.80377161141689246</v>
      </c>
      <c r="AS6">
        <f t="array" ref="AS6">INDEX(Transcriptome!L$2:L$28,MATCH(1,(Transcriptome!$A$2:$A$28=$B6)*(Transcriptome!$C$2:$C$28=$G6),0))</f>
        <v>0.85695479911735994</v>
      </c>
      <c r="AT6">
        <f t="array" ref="AT6">INDEX(Transcriptome!M$2:M$28,MATCH(1,(Transcriptome!$A$2:$A$28=$B6)*(Transcriptome!$C$2:$C$28=$G6),0))</f>
        <v>0.93891873980212981</v>
      </c>
      <c r="AU6">
        <f t="array" ref="AU6">INDEX(Transcriptome!N$2:N$28,MATCH(1,(Transcriptome!$A$2:$A$28=$B6)*(Transcriptome!$C$2:$C$28=$G6),0))</f>
        <v>0.70695686220859</v>
      </c>
      <c r="AV6">
        <f t="array" ref="AV6">INDEX(Transcriptome!O$2:O$28,MATCH(1,(Transcriptome!$A$2:$A$28=$B6)*(Transcriptome!$C$2:$C$28=$G6),0))</f>
        <v>0.8593713480497972</v>
      </c>
      <c r="AW6">
        <f t="array" ref="AW6">INDEX(Transcriptome!P$2:P$28,MATCH(1,(Transcriptome!$A$2:$A$28=$B6)*(Transcriptome!$C$2:$C$28=$G6),0))</f>
        <v>0.79904520541729218</v>
      </c>
      <c r="AX6">
        <f t="array" ref="AX6">INDEX(Transcriptome!Q$2:Q$28,MATCH(1,(Transcriptome!$A$2:$A$28=$B6)*(Transcriptome!$C$2:$C$28=$G6),0))</f>
        <v>0.47872282221313689</v>
      </c>
      <c r="AY6">
        <f t="array" ref="AY6">INDEX(Transcriptome!R$2:R$28,MATCH(1,(Transcriptome!$A$2:$A$28=$B6)*(Transcriptome!$C$2:$C$28=$G6),0))</f>
        <v>0.41383633912857071</v>
      </c>
      <c r="AZ6">
        <f t="array" ref="AZ6">INDEX(Transcriptome!S$2:S$28,MATCH(1,(Transcriptome!$A$2:$A$28=$B6)*(Transcriptome!$C$2:$C$28=$G6),0))</f>
        <v>0.44645950550293145</v>
      </c>
      <c r="BA6">
        <f t="array" ref="BA6">INDEX(Transcriptome!T$2:T$28,MATCH(1,(Transcriptome!$A$2:$A$28=$B6)*(Transcriptome!$C$2:$C$28=$G6),0))</f>
        <v>1.008655396739049</v>
      </c>
      <c r="BB6">
        <f t="array" ref="BB6">INDEX(Transcriptome!U$2:U$28,MATCH(1,(Transcriptome!$A$2:$A$28=$B6)*(Transcriptome!$C$2:$C$28=$G6),0))</f>
        <v>2.62155377663843</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0.59644766722058296</v>
      </c>
      <c r="BF6">
        <f t="array" ref="BF6">INDEX(Transcriptome!Y$2:Y$28,MATCH(1,(Transcriptome!$A$2:$A$28=$B6)*(Transcriptome!$C$2:$C$28=$G6),0))</f>
        <v>0</v>
      </c>
      <c r="BG6">
        <f t="array" ref="BG6">INDEX(Transcriptome!Z$2:Z$28,MATCH(1,(Transcriptome!$A$2:$A$28=$B6)*(Transcriptome!$C$2:$C$28=$G6),0))</f>
        <v>0.91328392911817136</v>
      </c>
      <c r="BH6">
        <f t="array" ref="BH6">INDEX(Transcriptome!AA$2:AA$28,MATCH(1,(Transcriptome!$A$2:$A$28=$B6)*(Transcriptome!$C$2:$C$28=$G6),0))</f>
        <v>1.061272583395289</v>
      </c>
      <c r="BI6">
        <f t="array" ref="BI6">INDEX(Transcriptome!AB$2:AB$28,MATCH(1,(Transcriptome!$A$2:$A$28=$B6)*(Transcriptome!$C$2:$C$28=$G6),0))</f>
        <v>0.40610812418406372</v>
      </c>
      <c r="BJ6">
        <f t="array" ref="BJ6">INDEX(Transcriptome!AC$2:AC$28,MATCH(1,(Transcriptome!$A$2:$A$28=$B6)*(Transcriptome!$C$2:$C$28=$G6),0))</f>
        <v>0.96854091898455463</v>
      </c>
      <c r="BK6">
        <f t="array" ref="BK6">INDEX(Transcriptome!AD$2:AD$28,MATCH(1,(Transcriptome!$A$2:$A$28=$B6)*(Transcriptome!$C$2:$C$28=$G6),0))</f>
        <v>0.74430848274637873</v>
      </c>
      <c r="BL6">
        <f t="array" ref="BL6">INDEX(Transcriptome!AE$2:AE$28,MATCH(1,(Transcriptome!$A$2:$A$28=$B6)*(Transcriptome!$C$2:$C$28=$G6),0))</f>
        <v>1.2431887576302834</v>
      </c>
      <c r="BM6">
        <f t="array" ref="BM6">INDEX(Transcriptome!AF$2:AF$28,MATCH(1,(Transcriptome!$A$2:$A$28=$B6)*(Transcriptome!$C$2:$C$28=$G6),0))</f>
        <v>0.49714311780941689</v>
      </c>
      <c r="BN6">
        <f t="array" ref="BN6">INDEX(Transcriptome!AG$2:AG$28,MATCH(1,(Transcriptome!$A$2:$A$28=$B6)*(Transcriptome!$C$2:$C$28=$G6),0))</f>
        <v>0.567414845207453</v>
      </c>
      <c r="BO6">
        <f t="array" ref="BO6">INDEX(Transcriptome!AH$2:AH$28,MATCH(1,(Transcriptome!$A$2:$A$28=$B6)*(Transcriptome!$C$2:$C$28=$G6),0))</f>
        <v>1.7504787263397232</v>
      </c>
      <c r="BP6">
        <f t="array" ref="BP6">INDEX(Transcriptome!AI$2:AI$28,MATCH(1,(Transcriptome!$A$2:$A$28=$B6)*(Transcriptome!$C$2:$C$28=$G6),0))</f>
        <v>0.56812861528565461</v>
      </c>
      <c r="BQ6">
        <f t="array" ref="BQ6">INDEX(Transcriptome!AJ$2:AJ$28,MATCH(1,(Transcriptome!$A$2:$A$28=$B6)*(Transcriptome!$C$2:$C$28=$G6),0))</f>
        <v>0.82144460906259187</v>
      </c>
      <c r="BR6">
        <f t="array" ref="BR6">INDEX(Transcriptome!AK$2:AK$28,MATCH(1,(Transcriptome!$A$2:$A$28=$B6)*(Transcriptome!$C$2:$C$28=$G6),0))</f>
        <v>0.4273004653597422</v>
      </c>
      <c r="BS6">
        <f t="array" ref="BS6">INDEX(Transcriptome!AL$2:AL$28,MATCH(1,(Transcriptome!$A$2:$A$28=$B6)*(Transcriptome!$C$2:$C$28=$G6),0))</f>
        <v>1</v>
      </c>
      <c r="BT6">
        <f t="array" ref="BT6">INDEX(Transcriptome!AM$2:AM$28,MATCH(1,(Transcriptome!$A$2:$A$28=$B6)*(Transcriptome!$C$2:$C$28=$G6),0))</f>
        <v>0.53518948544168743</v>
      </c>
      <c r="BU6">
        <f t="array" ref="BU6">INDEX(Transcriptome!AN$2:AN$28,MATCH(1,(Transcriptome!$A$2:$A$28=$B6)*(Transcriptome!$C$2:$C$28=$G6),0))</f>
        <v>0.73171138313074335</v>
      </c>
      <c r="BV6">
        <f t="array" ref="BV6">INDEX(Transcriptome!AO$2:AO$28,MATCH(1,(Transcriptome!$A$2:$A$28=$B6)*(Transcriptome!$C$2:$C$28=$G6),0))</f>
        <v>0.79282459441774966</v>
      </c>
      <c r="BW6">
        <f t="array" ref="BW6">INDEX(Transcriptome!AP$2:AP$28,MATCH(1,(Transcriptome!$A$2:$A$28=$B6)*(Transcriptome!$C$2:$C$28=$G6),0))</f>
        <v>0.94021059648890959</v>
      </c>
      <c r="BX6">
        <f t="array" ref="BX6">INDEX(Transcriptome!AQ$2:AQ$28,MATCH(1,(Transcriptome!$A$2:$A$28=$B6)*(Transcriptome!$C$2:$C$28=$G6),0))</f>
        <v>1.47708404581313</v>
      </c>
      <c r="BY6">
        <f t="array" ref="BY6">INDEX(Transcriptome!AR$2:AR$28,MATCH(1,(Transcriptome!$A$2:$A$28=$B6)*(Transcriptome!$C$2:$C$28=$G6),0))</f>
        <v>0.58760190296554049</v>
      </c>
      <c r="BZ6">
        <f t="array" ref="BZ6">INDEX(Transcriptome!AS$2:AS$28,MATCH(1,(Transcriptome!$A$2:$A$28=$B6)*(Transcriptome!$C$2:$C$28=$G6),0))</f>
        <v>0.72689778127724192</v>
      </c>
      <c r="CA6">
        <f t="array" ref="CA6">INDEX(Transcriptome!AT$2:AT$28,MATCH(1,(Transcriptome!$A$2:$A$28=$B6)*(Transcriptome!$C$2:$C$28=$G6),0))</f>
        <v>0.52996440534176203</v>
      </c>
      <c r="CB6">
        <f t="array" ref="CB6">INDEX(Transcriptome!AU$2:AU$28,MATCH(1,(Transcriptome!$A$2:$A$28=$B6)*(Transcriptome!$C$2:$C$28=$G6),0))</f>
        <v>1.2346382979140564</v>
      </c>
      <c r="CC6">
        <f t="array" ref="CC6">INDEX(Transcriptome!AV$2:AV$28,MATCH(1,(Transcriptome!$A$2:$A$28=$B6)*(Transcriptome!$C$2:$C$28=$G6),0))</f>
        <v>0.59394270175385044</v>
      </c>
      <c r="CD6">
        <f t="array" ref="CD6">INDEX(Transcriptome!AW$2:AW$28,MATCH(1,(Transcriptome!$A$2:$A$28=$B6)*(Transcriptome!$C$2:$C$28=$G6),0))</f>
        <v>0.79380009303939492</v>
      </c>
      <c r="CE6">
        <f t="array" ref="CE6">INDEX(Transcriptome!AX$2:AX$28,MATCH(1,(Transcriptome!$A$2:$A$28=$B6)*(Transcriptome!$C$2:$C$28=$G6),0))</f>
        <v>0.66411075288126009</v>
      </c>
      <c r="CF6">
        <f t="array" ref="CF6">INDEX(Transcriptome!AY$2:AY$28,MATCH(1,(Transcriptome!$A$2:$A$28=$B6)*(Transcriptome!$C$2:$C$28=$G6),0))</f>
        <v>0.91230940759148649</v>
      </c>
      <c r="CG6">
        <f t="array" ref="CG6">INDEX(Transcriptome!AZ$2:AZ$28,MATCH(1,(Transcriptome!$A$2:$A$28=$B6)*(Transcriptome!$C$2:$C$28=$G6),0))</f>
        <v>0.52236635594220548</v>
      </c>
      <c r="CH6">
        <f t="array" ref="CH6">INDEX(Transcriptome!BA$2:BA$28,MATCH(1,(Transcriptome!$A$2:$A$28=$B6)*(Transcriptome!$C$2:$C$28=$G6),0))</f>
        <v>1.4722765738374801</v>
      </c>
      <c r="CI6">
        <f t="array" ref="CI6">INDEX(Transcriptome!BB$2:BB$28,MATCH(1,(Transcriptome!$A$2:$A$28=$B6)*(Transcriptome!$C$2:$C$28=$G6),0))</f>
        <v>1.7837978141567536</v>
      </c>
      <c r="CJ6">
        <f t="array" ref="CJ6">INDEX(Transcriptome!BC$2:BC$28,MATCH(1,(Transcriptome!$A$2:$A$28=$B6)*(Transcriptome!$C$2:$C$28=$G6),0))</f>
        <v>0</v>
      </c>
      <c r="CK6">
        <f t="array" ref="CK6">INDEX(Transcriptome!BD$2:BD$28,MATCH(1,(Transcriptome!$A$2:$A$28=$B6)*(Transcriptome!$C$2:$C$28=$G6),0))</f>
        <v>0.89732664094598091</v>
      </c>
      <c r="CL6">
        <f t="array" ref="CL6">INDEX(Transcriptome!BE$2:BE$28,MATCH(1,(Transcriptome!$A$2:$A$28=$B6)*(Transcriptome!$C$2:$C$28=$G6),0))</f>
        <v>1.4278341624379669</v>
      </c>
      <c r="CM6">
        <f t="array" ref="CM6">INDEX(Transcriptome!BF$2:BF$28,MATCH(1,(Transcriptome!$A$2:$A$28=$B6)*(Transcriptome!$C$2:$C$28=$G6),0))</f>
        <v>1.0547210245064886</v>
      </c>
      <c r="CN6">
        <f t="array" ref="CN6">INDEX(Transcriptome!BG$2:BG$28,MATCH(1,(Transcriptome!$A$2:$A$28=$B6)*(Transcriptome!$C$2:$C$28=$G6),0))</f>
        <v>2.2222015287581018</v>
      </c>
      <c r="CO6">
        <f t="array" ref="CO6">INDEX(Transcriptome!BH$2:BH$28,MATCH(1,(Transcriptome!$A$2:$A$28=$B6)*(Transcriptome!$C$2:$C$28=$G6),0))</f>
        <v>0.40924168851755272</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2.7449342282819935</v>
      </c>
      <c r="CS6">
        <f t="array" ref="CS6">INDEX(Transcriptome!BL$2:BL$28,MATCH(1,(Transcriptome!$A$2:$A$28=$B6)*(Transcriptome!$C$2:$C$28=$G6),0))</f>
        <v>1.9495020029319203</v>
      </c>
      <c r="CT6">
        <f t="array" ref="CT6">INDEX(Transcriptome!BM$2:BM$28,MATCH(1,(Transcriptome!$A$2:$A$28=$B6)*(Transcriptome!$C$2:$C$28=$G6),0))</f>
        <v>0.84121164659459347</v>
      </c>
      <c r="CU6">
        <f t="array" ref="CU6">INDEX(Transcriptome!BN$2:BN$28,MATCH(1,(Transcriptome!$A$2:$A$28=$B6)*(Transcriptome!$C$2:$C$28=$G6),0))</f>
        <v>31.952489188561209</v>
      </c>
      <c r="CV6">
        <f t="array" ref="CV6">INDEX(Transcriptome!BO$2:BO$28,MATCH(1,(Transcriptome!$A$2:$A$28=$B6)*(Transcriptome!$C$2:$C$28=$G6),0))</f>
        <v>0.74951232158557368</v>
      </c>
      <c r="CW6">
        <f t="array" ref="CW6">INDEX(Transcriptome!BP$2:BP$28,MATCH(1,(Transcriptome!$A$2:$A$28=$B6)*(Transcriptome!$C$2:$C$28=$G6),0))</f>
        <v>0.40924168851755272</v>
      </c>
      <c r="CX6">
        <f t="array" ref="CX6">INDEX(Transcriptome!BQ$2:BQ$28,MATCH(1,(Transcriptome!$A$2:$A$28=$B6)*(Transcriptome!$C$2:$C$28=$G6),0))</f>
        <v>1</v>
      </c>
      <c r="CY6">
        <f t="array" ref="CY6">INDEX(Transcriptome!BR$2:BR$28,MATCH(1,(Transcriptome!$A$2:$A$28=$B6)*(Transcriptome!$C$2:$C$28=$G6),0))</f>
        <v>1.3819649840367882</v>
      </c>
    </row>
    <row r="7" spans="1:103">
      <c r="A7">
        <f>'Measured Data'!A12</f>
        <v>5</v>
      </c>
      <c r="B7" t="s">
        <v>586</v>
      </c>
      <c r="C7" s="324" t="s">
        <v>588</v>
      </c>
      <c r="D7">
        <v>1</v>
      </c>
      <c r="E7">
        <f>'Measured Data'!H12</f>
        <v>4.0441001487731931</v>
      </c>
      <c r="F7" s="477">
        <f>'Measured Data'!K12</f>
        <v>99.258903503417969</v>
      </c>
      <c r="G7" t="s">
        <v>515</v>
      </c>
      <c r="H7" s="321">
        <f>'Measured Data'!B12</f>
        <v>4.8250000000043656</v>
      </c>
      <c r="I7" s="322">
        <f>'Measured Data'!C12</f>
        <v>115.80000000010477</v>
      </c>
      <c r="J7">
        <f>'In Process Calc.'!B8</f>
        <v>4.8250000000043656</v>
      </c>
      <c r="K7">
        <f>'In Process Calc.'!C8</f>
        <v>115.80000000010477</v>
      </c>
      <c r="L7">
        <f>'Measured Data'!Z12</f>
        <v>34.192588645396214</v>
      </c>
      <c r="M7">
        <f>'Measured Data'!AF12</f>
        <v>7.215808170515098</v>
      </c>
      <c r="N7">
        <f>'Measured Data'!AA12</f>
        <v>1.006</v>
      </c>
      <c r="O7">
        <f>'Measured Data'!W12</f>
        <v>6.4779999999999998</v>
      </c>
      <c r="P7">
        <f>'Measured Data'!X12</f>
        <v>1.7450000000000001</v>
      </c>
      <c r="Q7">
        <f>'Growth Regression'!P7</f>
        <v>2.0268260681068424E-2</v>
      </c>
      <c r="R7">
        <f>Q7/'Growth Regression'!$O$24</f>
        <v>0.75317905189589274</v>
      </c>
      <c r="S7">
        <f>'Post Process Calc.'!K8</f>
        <v>6.5145019234047877E-2</v>
      </c>
      <c r="T7">
        <f>'Post Process Calc.'!Q8</f>
        <v>2.1061226621527995E-2</v>
      </c>
      <c r="U7">
        <f>'Post Process Calc.'!L8</f>
        <v>-7.7113372375799466E-3</v>
      </c>
      <c r="V7">
        <f>'Post Process Calc.'!H8</f>
        <v>4.1171193990807891E-3</v>
      </c>
      <c r="W7">
        <f>'Post Process Calc.'!I8</f>
        <v>-7.9029694298539364E-3</v>
      </c>
      <c r="X7">
        <f>'Post Process Calc.'!AG8</f>
        <v>0.32329757315537638</v>
      </c>
      <c r="Y7">
        <f t="shared" si="2"/>
        <v>40.715637021279925</v>
      </c>
      <c r="Z7">
        <f t="shared" si="2"/>
        <v>13.163266638454996</v>
      </c>
      <c r="AA7">
        <f t="shared" si="0"/>
        <v>-4.8195857734874661</v>
      </c>
      <c r="AB7">
        <f t="shared" si="0"/>
        <v>2.5731996244254929</v>
      </c>
      <c r="AC7">
        <f t="shared" si="0"/>
        <v>-4.9393558936587096</v>
      </c>
      <c r="AD7">
        <v>100</v>
      </c>
      <c r="AE7">
        <v>0.32</v>
      </c>
      <c r="AF7">
        <v>7</v>
      </c>
      <c r="AG7">
        <v>0.7</v>
      </c>
      <c r="AH7">
        <f t="shared" si="1"/>
        <v>5.0118723362727164E-8</v>
      </c>
      <c r="AI7">
        <v>1</v>
      </c>
      <c r="AJ7">
        <v>0.311</v>
      </c>
      <c r="AK7">
        <f t="array" ref="AK7">INDEX(Transcriptome!D$2:D$28,MATCH(1,(Transcriptome!$A$2:$A$28=$B7)*(Transcriptome!$C$2:$C$28=$G7),0))</f>
        <v>0.70792899137635334</v>
      </c>
      <c r="AL7">
        <f t="array" ref="AL7">INDEX(Transcriptome!E$2:E$28,MATCH(1,(Transcriptome!$A$2:$A$28=$B7)*(Transcriptome!$C$2:$C$28=$G7),0))</f>
        <v>1.5892398211913721</v>
      </c>
      <c r="AM7">
        <f t="array" ref="AM7">INDEX(Transcriptome!F$2:F$28,MATCH(1,(Transcriptome!$A$2:$A$28=$B7)*(Transcriptome!$C$2:$C$28=$G7),0))</f>
        <v>1.0699878087137091</v>
      </c>
      <c r="AN7">
        <f t="array" ref="AN7">INDEX(Transcriptome!G$2:G$28,MATCH(1,(Transcriptome!$A$2:$A$28=$B7)*(Transcriptome!$C$2:$C$28=$G7),0))</f>
        <v>0.70940308754432024</v>
      </c>
      <c r="AO7">
        <f t="array" ref="AO7">INDEX(Transcriptome!H$2:H$28,MATCH(1,(Transcriptome!$A$2:$A$28=$B7)*(Transcriptome!$C$2:$C$28=$G7),0))</f>
        <v>0</v>
      </c>
      <c r="AP7">
        <f t="array" ref="AP7">INDEX(Transcriptome!I$2:I$28,MATCH(1,(Transcriptome!$A$2:$A$28=$B7)*(Transcriptome!$C$2:$C$28=$G7),0))</f>
        <v>0.93552032018387032</v>
      </c>
      <c r="AQ7">
        <f t="array" ref="AQ7">INDEX(Transcriptome!J$2:J$28,MATCH(1,(Transcriptome!$A$2:$A$28=$B7)*(Transcriptome!$C$2:$C$28=$G7),0))</f>
        <v>1.0834614534636753</v>
      </c>
      <c r="AR7">
        <f t="array" ref="AR7">INDEX(Transcriptome!K$2:K$28,MATCH(1,(Transcriptome!$A$2:$A$28=$B7)*(Transcriptome!$C$2:$C$28=$G7),0))</f>
        <v>0.80377161141689246</v>
      </c>
      <c r="AS7">
        <f t="array" ref="AS7">INDEX(Transcriptome!L$2:L$28,MATCH(1,(Transcriptome!$A$2:$A$28=$B7)*(Transcriptome!$C$2:$C$28=$G7),0))</f>
        <v>0.85695479911735994</v>
      </c>
      <c r="AT7">
        <f t="array" ref="AT7">INDEX(Transcriptome!M$2:M$28,MATCH(1,(Transcriptome!$A$2:$A$28=$B7)*(Transcriptome!$C$2:$C$28=$G7),0))</f>
        <v>0.93891873980212981</v>
      </c>
      <c r="AU7">
        <f t="array" ref="AU7">INDEX(Transcriptome!N$2:N$28,MATCH(1,(Transcriptome!$A$2:$A$28=$B7)*(Transcriptome!$C$2:$C$28=$G7),0))</f>
        <v>0.70695686220859</v>
      </c>
      <c r="AV7">
        <f t="array" ref="AV7">INDEX(Transcriptome!O$2:O$28,MATCH(1,(Transcriptome!$A$2:$A$28=$B7)*(Transcriptome!$C$2:$C$28=$G7),0))</f>
        <v>0.8593713480497972</v>
      </c>
      <c r="AW7">
        <f t="array" ref="AW7">INDEX(Transcriptome!P$2:P$28,MATCH(1,(Transcriptome!$A$2:$A$28=$B7)*(Transcriptome!$C$2:$C$28=$G7),0))</f>
        <v>0.79904520541729218</v>
      </c>
      <c r="AX7">
        <f t="array" ref="AX7">INDEX(Transcriptome!Q$2:Q$28,MATCH(1,(Transcriptome!$A$2:$A$28=$B7)*(Transcriptome!$C$2:$C$28=$G7),0))</f>
        <v>0.47872282221313689</v>
      </c>
      <c r="AY7">
        <f t="array" ref="AY7">INDEX(Transcriptome!R$2:R$28,MATCH(1,(Transcriptome!$A$2:$A$28=$B7)*(Transcriptome!$C$2:$C$28=$G7),0))</f>
        <v>0.41383633912857071</v>
      </c>
      <c r="AZ7">
        <f t="array" ref="AZ7">INDEX(Transcriptome!S$2:S$28,MATCH(1,(Transcriptome!$A$2:$A$28=$B7)*(Transcriptome!$C$2:$C$28=$G7),0))</f>
        <v>0.44645950550293145</v>
      </c>
      <c r="BA7">
        <f t="array" ref="BA7">INDEX(Transcriptome!T$2:T$28,MATCH(1,(Transcriptome!$A$2:$A$28=$B7)*(Transcriptome!$C$2:$C$28=$G7),0))</f>
        <v>1.008655396739049</v>
      </c>
      <c r="BB7">
        <f t="array" ref="BB7">INDEX(Transcriptome!U$2:U$28,MATCH(1,(Transcriptome!$A$2:$A$28=$B7)*(Transcriptome!$C$2:$C$28=$G7),0))</f>
        <v>2.62155377663843</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0.59644766722058296</v>
      </c>
      <c r="BF7">
        <f t="array" ref="BF7">INDEX(Transcriptome!Y$2:Y$28,MATCH(1,(Transcriptome!$A$2:$A$28=$B7)*(Transcriptome!$C$2:$C$28=$G7),0))</f>
        <v>0</v>
      </c>
      <c r="BG7">
        <f t="array" ref="BG7">INDEX(Transcriptome!Z$2:Z$28,MATCH(1,(Transcriptome!$A$2:$A$28=$B7)*(Transcriptome!$C$2:$C$28=$G7),0))</f>
        <v>0.91328392911817136</v>
      </c>
      <c r="BH7">
        <f t="array" ref="BH7">INDEX(Transcriptome!AA$2:AA$28,MATCH(1,(Transcriptome!$A$2:$A$28=$B7)*(Transcriptome!$C$2:$C$28=$G7),0))</f>
        <v>1.061272583395289</v>
      </c>
      <c r="BI7">
        <f t="array" ref="BI7">INDEX(Transcriptome!AB$2:AB$28,MATCH(1,(Transcriptome!$A$2:$A$28=$B7)*(Transcriptome!$C$2:$C$28=$G7),0))</f>
        <v>0.40610812418406372</v>
      </c>
      <c r="BJ7">
        <f t="array" ref="BJ7">INDEX(Transcriptome!AC$2:AC$28,MATCH(1,(Transcriptome!$A$2:$A$28=$B7)*(Transcriptome!$C$2:$C$28=$G7),0))</f>
        <v>0.96854091898455463</v>
      </c>
      <c r="BK7">
        <f t="array" ref="BK7">INDEX(Transcriptome!AD$2:AD$28,MATCH(1,(Transcriptome!$A$2:$A$28=$B7)*(Transcriptome!$C$2:$C$28=$G7),0))</f>
        <v>0.74430848274637873</v>
      </c>
      <c r="BL7">
        <f t="array" ref="BL7">INDEX(Transcriptome!AE$2:AE$28,MATCH(1,(Transcriptome!$A$2:$A$28=$B7)*(Transcriptome!$C$2:$C$28=$G7),0))</f>
        <v>1.2431887576302834</v>
      </c>
      <c r="BM7">
        <f t="array" ref="BM7">INDEX(Transcriptome!AF$2:AF$28,MATCH(1,(Transcriptome!$A$2:$A$28=$B7)*(Transcriptome!$C$2:$C$28=$G7),0))</f>
        <v>0.49714311780941689</v>
      </c>
      <c r="BN7">
        <f t="array" ref="BN7">INDEX(Transcriptome!AG$2:AG$28,MATCH(1,(Transcriptome!$A$2:$A$28=$B7)*(Transcriptome!$C$2:$C$28=$G7),0))</f>
        <v>0.567414845207453</v>
      </c>
      <c r="BO7">
        <f t="array" ref="BO7">INDEX(Transcriptome!AH$2:AH$28,MATCH(1,(Transcriptome!$A$2:$A$28=$B7)*(Transcriptome!$C$2:$C$28=$G7),0))</f>
        <v>1.7504787263397232</v>
      </c>
      <c r="BP7">
        <f t="array" ref="BP7">INDEX(Transcriptome!AI$2:AI$28,MATCH(1,(Transcriptome!$A$2:$A$28=$B7)*(Transcriptome!$C$2:$C$28=$G7),0))</f>
        <v>0.56812861528565461</v>
      </c>
      <c r="BQ7">
        <f t="array" ref="BQ7">INDEX(Transcriptome!AJ$2:AJ$28,MATCH(1,(Transcriptome!$A$2:$A$28=$B7)*(Transcriptome!$C$2:$C$28=$G7),0))</f>
        <v>0.82144460906259187</v>
      </c>
      <c r="BR7">
        <f t="array" ref="BR7">INDEX(Transcriptome!AK$2:AK$28,MATCH(1,(Transcriptome!$A$2:$A$28=$B7)*(Transcriptome!$C$2:$C$28=$G7),0))</f>
        <v>0.4273004653597422</v>
      </c>
      <c r="BS7">
        <f t="array" ref="BS7">INDEX(Transcriptome!AL$2:AL$28,MATCH(1,(Transcriptome!$A$2:$A$28=$B7)*(Transcriptome!$C$2:$C$28=$G7),0))</f>
        <v>1</v>
      </c>
      <c r="BT7">
        <f t="array" ref="BT7">INDEX(Transcriptome!AM$2:AM$28,MATCH(1,(Transcriptome!$A$2:$A$28=$B7)*(Transcriptome!$C$2:$C$28=$G7),0))</f>
        <v>0.53518948544168743</v>
      </c>
      <c r="BU7">
        <f t="array" ref="BU7">INDEX(Transcriptome!AN$2:AN$28,MATCH(1,(Transcriptome!$A$2:$A$28=$B7)*(Transcriptome!$C$2:$C$28=$G7),0))</f>
        <v>0.73171138313074335</v>
      </c>
      <c r="BV7">
        <f t="array" ref="BV7">INDEX(Transcriptome!AO$2:AO$28,MATCH(1,(Transcriptome!$A$2:$A$28=$B7)*(Transcriptome!$C$2:$C$28=$G7),0))</f>
        <v>0.79282459441774966</v>
      </c>
      <c r="BW7">
        <f t="array" ref="BW7">INDEX(Transcriptome!AP$2:AP$28,MATCH(1,(Transcriptome!$A$2:$A$28=$B7)*(Transcriptome!$C$2:$C$28=$G7),0))</f>
        <v>0.94021059648890959</v>
      </c>
      <c r="BX7">
        <f t="array" ref="BX7">INDEX(Transcriptome!AQ$2:AQ$28,MATCH(1,(Transcriptome!$A$2:$A$28=$B7)*(Transcriptome!$C$2:$C$28=$G7),0))</f>
        <v>1.47708404581313</v>
      </c>
      <c r="BY7">
        <f t="array" ref="BY7">INDEX(Transcriptome!AR$2:AR$28,MATCH(1,(Transcriptome!$A$2:$A$28=$B7)*(Transcriptome!$C$2:$C$28=$G7),0))</f>
        <v>0.58760190296554049</v>
      </c>
      <c r="BZ7">
        <f t="array" ref="BZ7">INDEX(Transcriptome!AS$2:AS$28,MATCH(1,(Transcriptome!$A$2:$A$28=$B7)*(Transcriptome!$C$2:$C$28=$G7),0))</f>
        <v>0.72689778127724192</v>
      </c>
      <c r="CA7">
        <f t="array" ref="CA7">INDEX(Transcriptome!AT$2:AT$28,MATCH(1,(Transcriptome!$A$2:$A$28=$B7)*(Transcriptome!$C$2:$C$28=$G7),0))</f>
        <v>0.52996440534176203</v>
      </c>
      <c r="CB7">
        <f t="array" ref="CB7">INDEX(Transcriptome!AU$2:AU$28,MATCH(1,(Transcriptome!$A$2:$A$28=$B7)*(Transcriptome!$C$2:$C$28=$G7),0))</f>
        <v>1.2346382979140564</v>
      </c>
      <c r="CC7">
        <f t="array" ref="CC7">INDEX(Transcriptome!AV$2:AV$28,MATCH(1,(Transcriptome!$A$2:$A$28=$B7)*(Transcriptome!$C$2:$C$28=$G7),0))</f>
        <v>0.59394270175385044</v>
      </c>
      <c r="CD7">
        <f t="array" ref="CD7">INDEX(Transcriptome!AW$2:AW$28,MATCH(1,(Transcriptome!$A$2:$A$28=$B7)*(Transcriptome!$C$2:$C$28=$G7),0))</f>
        <v>0.79380009303939492</v>
      </c>
      <c r="CE7">
        <f t="array" ref="CE7">INDEX(Transcriptome!AX$2:AX$28,MATCH(1,(Transcriptome!$A$2:$A$28=$B7)*(Transcriptome!$C$2:$C$28=$G7),0))</f>
        <v>0.66411075288126009</v>
      </c>
      <c r="CF7">
        <f t="array" ref="CF7">INDEX(Transcriptome!AY$2:AY$28,MATCH(1,(Transcriptome!$A$2:$A$28=$B7)*(Transcriptome!$C$2:$C$28=$G7),0))</f>
        <v>0.91230940759148649</v>
      </c>
      <c r="CG7">
        <f t="array" ref="CG7">INDEX(Transcriptome!AZ$2:AZ$28,MATCH(1,(Transcriptome!$A$2:$A$28=$B7)*(Transcriptome!$C$2:$C$28=$G7),0))</f>
        <v>0.52236635594220548</v>
      </c>
      <c r="CH7">
        <f t="array" ref="CH7">INDEX(Transcriptome!BA$2:BA$28,MATCH(1,(Transcriptome!$A$2:$A$28=$B7)*(Transcriptome!$C$2:$C$28=$G7),0))</f>
        <v>1.4722765738374801</v>
      </c>
      <c r="CI7">
        <f t="array" ref="CI7">INDEX(Transcriptome!BB$2:BB$28,MATCH(1,(Transcriptome!$A$2:$A$28=$B7)*(Transcriptome!$C$2:$C$28=$G7),0))</f>
        <v>1.7837978141567536</v>
      </c>
      <c r="CJ7">
        <f t="array" ref="CJ7">INDEX(Transcriptome!BC$2:BC$28,MATCH(1,(Transcriptome!$A$2:$A$28=$B7)*(Transcriptome!$C$2:$C$28=$G7),0))</f>
        <v>0</v>
      </c>
      <c r="CK7">
        <f t="array" ref="CK7">INDEX(Transcriptome!BD$2:BD$28,MATCH(1,(Transcriptome!$A$2:$A$28=$B7)*(Transcriptome!$C$2:$C$28=$G7),0))</f>
        <v>0.89732664094598091</v>
      </c>
      <c r="CL7">
        <f t="array" ref="CL7">INDEX(Transcriptome!BE$2:BE$28,MATCH(1,(Transcriptome!$A$2:$A$28=$B7)*(Transcriptome!$C$2:$C$28=$G7),0))</f>
        <v>1.4278341624379669</v>
      </c>
      <c r="CM7">
        <f t="array" ref="CM7">INDEX(Transcriptome!BF$2:BF$28,MATCH(1,(Transcriptome!$A$2:$A$28=$B7)*(Transcriptome!$C$2:$C$28=$G7),0))</f>
        <v>1.0547210245064886</v>
      </c>
      <c r="CN7">
        <f t="array" ref="CN7">INDEX(Transcriptome!BG$2:BG$28,MATCH(1,(Transcriptome!$A$2:$A$28=$B7)*(Transcriptome!$C$2:$C$28=$G7),0))</f>
        <v>2.2222015287581018</v>
      </c>
      <c r="CO7">
        <f t="array" ref="CO7">INDEX(Transcriptome!BH$2:BH$28,MATCH(1,(Transcriptome!$A$2:$A$28=$B7)*(Transcriptome!$C$2:$C$28=$G7),0))</f>
        <v>0.40924168851755272</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2.7449342282819935</v>
      </c>
      <c r="CS7">
        <f t="array" ref="CS7">INDEX(Transcriptome!BL$2:BL$28,MATCH(1,(Transcriptome!$A$2:$A$28=$B7)*(Transcriptome!$C$2:$C$28=$G7),0))</f>
        <v>1.9495020029319203</v>
      </c>
      <c r="CT7">
        <f t="array" ref="CT7">INDEX(Transcriptome!BM$2:BM$28,MATCH(1,(Transcriptome!$A$2:$A$28=$B7)*(Transcriptome!$C$2:$C$28=$G7),0))</f>
        <v>0.84121164659459347</v>
      </c>
      <c r="CU7">
        <f t="array" ref="CU7">INDEX(Transcriptome!BN$2:BN$28,MATCH(1,(Transcriptome!$A$2:$A$28=$B7)*(Transcriptome!$C$2:$C$28=$G7),0))</f>
        <v>31.952489188561209</v>
      </c>
      <c r="CV7">
        <f t="array" ref="CV7">INDEX(Transcriptome!BO$2:BO$28,MATCH(1,(Transcriptome!$A$2:$A$28=$B7)*(Transcriptome!$C$2:$C$28=$G7),0))</f>
        <v>0.74951232158557368</v>
      </c>
      <c r="CW7">
        <f t="array" ref="CW7">INDEX(Transcriptome!BP$2:BP$28,MATCH(1,(Transcriptome!$A$2:$A$28=$B7)*(Transcriptome!$C$2:$C$28=$G7),0))</f>
        <v>0.40924168851755272</v>
      </c>
      <c r="CX7">
        <f t="array" ref="CX7">INDEX(Transcriptome!BQ$2:BQ$28,MATCH(1,(Transcriptome!$A$2:$A$28=$B7)*(Transcriptome!$C$2:$C$28=$G7),0))</f>
        <v>1</v>
      </c>
      <c r="CY7">
        <f t="array" ref="CY7">INDEX(Transcriptome!BR$2:BR$28,MATCH(1,(Transcriptome!$A$2:$A$28=$B7)*(Transcriptome!$C$2:$C$28=$G7),0))</f>
        <v>1.3819649840367882</v>
      </c>
    </row>
    <row r="8" spans="1:103">
      <c r="A8">
        <f>'Measured Data'!A13</f>
        <v>6</v>
      </c>
      <c r="B8" t="s">
        <v>586</v>
      </c>
      <c r="C8" s="324" t="s">
        <v>588</v>
      </c>
      <c r="D8">
        <v>1</v>
      </c>
      <c r="E8">
        <f>'Measured Data'!H13</f>
        <v>6.7267001701354987</v>
      </c>
      <c r="F8" s="477">
        <f>'Measured Data'!K13</f>
        <v>99.289901733398438</v>
      </c>
      <c r="G8" t="s">
        <v>513</v>
      </c>
      <c r="H8" s="321">
        <f>'Measured Data'!B13</f>
        <v>5.875</v>
      </c>
      <c r="I8" s="322">
        <f>'Measured Data'!C13</f>
        <v>141</v>
      </c>
      <c r="J8">
        <f>'In Process Calc.'!B9</f>
        <v>5.875</v>
      </c>
      <c r="K8">
        <f>'In Process Calc.'!C9</f>
        <v>141</v>
      </c>
      <c r="L8">
        <f>'Measured Data'!Z13</f>
        <v>33.91505139989787</v>
      </c>
      <c r="M8">
        <f>'Measured Data'!AF13</f>
        <v>9.4360568383658983</v>
      </c>
      <c r="N8">
        <f>'Measured Data'!AA13</f>
        <v>1.6870000000000001</v>
      </c>
      <c r="O8">
        <f>'Measured Data'!W13</f>
        <v>6.5449999999999999</v>
      </c>
      <c r="P8">
        <f>'Measured Data'!X13</f>
        <v>2.1829999999999998</v>
      </c>
      <c r="Q8">
        <f>'Growth Regression'!P8</f>
        <v>1.6352391818789065E-2</v>
      </c>
      <c r="R8">
        <f>Q8/'Growth Regression'!$O$24</f>
        <v>0.60766333925287075</v>
      </c>
      <c r="S8">
        <f>'Post Process Calc.'!K9</f>
        <v>5.2549552900225019E-2</v>
      </c>
      <c r="T8">
        <f>'Post Process Calc.'!Q9</f>
        <v>9.741820091299553E-3</v>
      </c>
      <c r="U8">
        <f>'Post Process Calc.'!L9</f>
        <v>-5.1343090476070278E-3</v>
      </c>
      <c r="V8">
        <f>'Post Process Calc.'!H9</f>
        <v>4.3902918478960426E-3</v>
      </c>
      <c r="W8">
        <f>'Post Process Calc.'!I9</f>
        <v>-3.754540503836726E-3</v>
      </c>
      <c r="X8">
        <f>'Post Process Calc.'!AG9</f>
        <v>0.18538350097471215</v>
      </c>
      <c r="Y8">
        <f t="shared" si="2"/>
        <v>32.843470562640633</v>
      </c>
      <c r="Z8">
        <f t="shared" si="2"/>
        <v>6.0886375570622207</v>
      </c>
      <c r="AA8">
        <f t="shared" si="0"/>
        <v>-3.2089431547543921</v>
      </c>
      <c r="AB8">
        <f t="shared" si="0"/>
        <v>2.7439324049350264</v>
      </c>
      <c r="AC8">
        <f t="shared" si="0"/>
        <v>-2.3465878148979535</v>
      </c>
      <c r="AD8">
        <v>100</v>
      </c>
      <c r="AE8">
        <v>0.32</v>
      </c>
      <c r="AF8">
        <v>7</v>
      </c>
      <c r="AG8">
        <v>0.7</v>
      </c>
      <c r="AH8">
        <f t="shared" si="1"/>
        <v>5.0118723362727164E-8</v>
      </c>
      <c r="AI8">
        <v>1</v>
      </c>
      <c r="AJ8">
        <v>0.311</v>
      </c>
      <c r="AK8">
        <f t="array" ref="AK8">INDEX(Transcriptome!D$2:D$28,MATCH(1,(Transcriptome!$A$2:$A$28=$B8)*(Transcriptome!$C$2:$C$28=$G8),0))</f>
        <v>0.92920540890907499</v>
      </c>
      <c r="AL8">
        <f t="array" ref="AL8">INDEX(Transcriptome!E$2:E$28,MATCH(1,(Transcriptome!$A$2:$A$28=$B8)*(Transcriptome!$C$2:$C$28=$G8),0))</f>
        <v>1.7329213892359023</v>
      </c>
      <c r="AM8">
        <f t="array" ref="AM8">INDEX(Transcriptome!F$2:F$28,MATCH(1,(Transcriptome!$A$2:$A$28=$B8)*(Transcriptome!$C$2:$C$28=$G8),0))</f>
        <v>1.248709181151141</v>
      </c>
      <c r="AN8">
        <f t="array" ref="AN8">INDEX(Transcriptome!G$2:G$28,MATCH(1,(Transcriptome!$A$2:$A$28=$B8)*(Transcriptome!$C$2:$C$28=$G8),0))</f>
        <v>0.4721791156252973</v>
      </c>
      <c r="AO8">
        <f t="array" ref="AO8">INDEX(Transcriptome!H$2:H$28,MATCH(1,(Transcriptome!$A$2:$A$28=$B8)*(Transcriptome!$C$2:$C$28=$G8),0))</f>
        <v>0</v>
      </c>
      <c r="AP8">
        <f t="array" ref="AP8">INDEX(Transcriptome!I$2:I$28,MATCH(1,(Transcriptome!$A$2:$A$28=$B8)*(Transcriptome!$C$2:$C$28=$G8),0))</f>
        <v>1.1226843694890076</v>
      </c>
      <c r="AQ8">
        <f t="array" ref="AQ8">INDEX(Transcriptome!J$2:J$28,MATCH(1,(Transcriptome!$A$2:$A$28=$B8)*(Transcriptome!$C$2:$C$28=$G8),0))</f>
        <v>1.3251398271295012</v>
      </c>
      <c r="AR8">
        <f t="array" ref="AR8">INDEX(Transcriptome!K$2:K$28,MATCH(1,(Transcriptome!$A$2:$A$28=$B8)*(Transcriptome!$C$2:$C$28=$G8),0))</f>
        <v>0.96530155174686461</v>
      </c>
      <c r="AS8">
        <f t="array" ref="AS8">INDEX(Transcriptome!L$2:L$28,MATCH(1,(Transcriptome!$A$2:$A$28=$B8)*(Transcriptome!$C$2:$C$28=$G8),0))</f>
        <v>1.2210153312207193</v>
      </c>
      <c r="AT8">
        <f t="array" ref="AT8">INDEX(Transcriptome!M$2:M$28,MATCH(1,(Transcriptome!$A$2:$A$28=$B8)*(Transcriptome!$C$2:$C$28=$G8),0))</f>
        <v>1.2244730900490455</v>
      </c>
      <c r="AU8">
        <f t="array" ref="AU8">INDEX(Transcriptome!N$2:N$28,MATCH(1,(Transcriptome!$A$2:$A$28=$B8)*(Transcriptome!$C$2:$C$28=$G8),0))</f>
        <v>0.73155313986543535</v>
      </c>
      <c r="AV8">
        <f t="array" ref="AV8">INDEX(Transcriptome!O$2:O$28,MATCH(1,(Transcriptome!$A$2:$A$28=$B8)*(Transcriptome!$C$2:$C$28=$G8),0))</f>
        <v>1.152318513561184</v>
      </c>
      <c r="AW8">
        <f t="array" ref="AW8">INDEX(Transcriptome!P$2:P$28,MATCH(1,(Transcriptome!$A$2:$A$28=$B8)*(Transcriptome!$C$2:$C$28=$G8),0))</f>
        <v>0.89618838062804274</v>
      </c>
      <c r="AX8">
        <f t="array" ref="AX8">INDEX(Transcriptome!Q$2:Q$28,MATCH(1,(Transcriptome!$A$2:$A$28=$B8)*(Transcriptome!$C$2:$C$28=$G8),0))</f>
        <v>0.65135227913388327</v>
      </c>
      <c r="AY8">
        <f t="array" ref="AY8">INDEX(Transcriptome!R$2:R$28,MATCH(1,(Transcriptome!$A$2:$A$28=$B8)*(Transcriptome!$C$2:$C$28=$G8),0))</f>
        <v>0.44670006467175033</v>
      </c>
      <c r="AZ8">
        <f t="array" ref="AZ8">INDEX(Transcriptome!S$2:S$28,MATCH(1,(Transcriptome!$A$2:$A$28=$B8)*(Transcriptome!$C$2:$C$28=$G8),0))</f>
        <v>0.54170910506007386</v>
      </c>
      <c r="BA8">
        <f t="array" ref="BA8">INDEX(Transcriptome!T$2:T$28,MATCH(1,(Transcriptome!$A$2:$A$28=$B8)*(Transcriptome!$C$2:$C$28=$G8),0))</f>
        <v>1.1524538892853755</v>
      </c>
      <c r="BB8">
        <f t="array" ref="BB8">INDEX(Transcriptome!U$2:U$28,MATCH(1,(Transcriptome!$A$2:$A$28=$B8)*(Transcriptome!$C$2:$C$28=$G8),0))</f>
        <v>3.717777936487666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0.76557540655216338</v>
      </c>
      <c r="BF8">
        <f t="array" ref="BF8">INDEX(Transcriptome!Y$2:Y$28,MATCH(1,(Transcriptome!$A$2:$A$28=$B8)*(Transcriptome!$C$2:$C$28=$G8),0))</f>
        <v>0</v>
      </c>
      <c r="BG8">
        <f t="array" ref="BG8">INDEX(Transcriptome!Z$2:Z$28,MATCH(1,(Transcriptome!$A$2:$A$28=$B8)*(Transcriptome!$C$2:$C$28=$G8),0))</f>
        <v>1.2179664020132115</v>
      </c>
      <c r="BH8">
        <f t="array" ref="BH8">INDEX(Transcriptome!AA$2:AA$28,MATCH(1,(Transcriptome!$A$2:$A$28=$B8)*(Transcriptome!$C$2:$C$28=$G8),0))</f>
        <v>1.4585553096187835</v>
      </c>
      <c r="BI8">
        <f t="array" ref="BI8">INDEX(Transcriptome!AB$2:AB$28,MATCH(1,(Transcriptome!$A$2:$A$28=$B8)*(Transcriptome!$C$2:$C$28=$G8),0))</f>
        <v>0.49899248340048019</v>
      </c>
      <c r="BJ8">
        <f t="array" ref="BJ8">INDEX(Transcriptome!AC$2:AC$28,MATCH(1,(Transcriptome!$A$2:$A$28=$B8)*(Transcriptome!$C$2:$C$28=$G8),0))</f>
        <v>1.0380961603134766</v>
      </c>
      <c r="BK8">
        <f t="array" ref="BK8">INDEX(Transcriptome!AD$2:AD$28,MATCH(1,(Transcriptome!$A$2:$A$28=$B8)*(Transcriptome!$C$2:$C$28=$G8),0))</f>
        <v>0.8468321289341687</v>
      </c>
      <c r="BL8">
        <f t="array" ref="BL8">INDEX(Transcriptome!AE$2:AE$28,MATCH(1,(Transcriptome!$A$2:$A$28=$B8)*(Transcriptome!$C$2:$C$28=$G8),0))</f>
        <v>1.3366947398587019</v>
      </c>
      <c r="BM8">
        <f t="array" ref="BM8">INDEX(Transcriptome!AF$2:AF$28,MATCH(1,(Transcriptome!$A$2:$A$28=$B8)*(Transcriptome!$C$2:$C$28=$G8),0))</f>
        <v>0.50618842957342058</v>
      </c>
      <c r="BN8">
        <f t="array" ref="BN8">INDEX(Transcriptome!AG$2:AG$28,MATCH(1,(Transcriptome!$A$2:$A$28=$B8)*(Transcriptome!$C$2:$C$28=$G8),0))</f>
        <v>0.66736997584655977</v>
      </c>
      <c r="BO8">
        <f t="array" ref="BO8">INDEX(Transcriptome!AH$2:AH$28,MATCH(1,(Transcriptome!$A$2:$A$28=$B8)*(Transcriptome!$C$2:$C$28=$G8),0))</f>
        <v>1.9306174267998168</v>
      </c>
      <c r="BP8">
        <f t="array" ref="BP8">INDEX(Transcriptome!AI$2:AI$28,MATCH(1,(Transcriptome!$A$2:$A$28=$B8)*(Transcriptome!$C$2:$C$28=$G8),0))</f>
        <v>0.77468008259435317</v>
      </c>
      <c r="BQ8">
        <f t="array" ref="BQ8">INDEX(Transcriptome!AJ$2:AJ$28,MATCH(1,(Transcriptome!$A$2:$A$28=$B8)*(Transcriptome!$C$2:$C$28=$G8),0))</f>
        <v>1.0628605890830978</v>
      </c>
      <c r="BR8">
        <f t="array" ref="BR8">INDEX(Transcriptome!AK$2:AK$28,MATCH(1,(Transcriptome!$A$2:$A$28=$B8)*(Transcriptome!$C$2:$C$28=$G8),0))</f>
        <v>0.55212849473227277</v>
      </c>
      <c r="BS8">
        <f t="array" ref="BS8">INDEX(Transcriptome!AL$2:AL$28,MATCH(1,(Transcriptome!$A$2:$A$28=$B8)*(Transcriptome!$C$2:$C$28=$G8),0))</f>
        <v>1</v>
      </c>
      <c r="BT8">
        <f t="array" ref="BT8">INDEX(Transcriptome!AM$2:AM$28,MATCH(1,(Transcriptome!$A$2:$A$28=$B8)*(Transcriptome!$C$2:$C$28=$G8),0))</f>
        <v>0.66472755238098791</v>
      </c>
      <c r="BU8">
        <f t="array" ref="BU8">INDEX(Transcriptome!AN$2:AN$28,MATCH(1,(Transcriptome!$A$2:$A$28=$B8)*(Transcriptome!$C$2:$C$28=$G8),0))</f>
        <v>1.0010669451153449</v>
      </c>
      <c r="BV8">
        <f t="array" ref="BV8">INDEX(Transcriptome!AO$2:AO$28,MATCH(1,(Transcriptome!$A$2:$A$28=$B8)*(Transcriptome!$C$2:$C$28=$G8),0))</f>
        <v>0.99858945685943101</v>
      </c>
      <c r="BW8">
        <f t="array" ref="BW8">INDEX(Transcriptome!AP$2:AP$28,MATCH(1,(Transcriptome!$A$2:$A$28=$B8)*(Transcriptome!$C$2:$C$28=$G8),0))</f>
        <v>1.1339345806169323</v>
      </c>
      <c r="BX8">
        <f t="array" ref="BX8">INDEX(Transcriptome!AQ$2:AQ$28,MATCH(1,(Transcriptome!$A$2:$A$28=$B8)*(Transcriptome!$C$2:$C$28=$G8),0))</f>
        <v>1.6048583301573733</v>
      </c>
      <c r="BY8">
        <f t="array" ref="BY8">INDEX(Transcriptome!AR$2:AR$28,MATCH(1,(Transcriptome!$A$2:$A$28=$B8)*(Transcriptome!$C$2:$C$28=$G8),0))</f>
        <v>0.83750658657958177</v>
      </c>
      <c r="BZ8">
        <f t="array" ref="BZ8">INDEX(Transcriptome!AS$2:AS$28,MATCH(1,(Transcriptome!$A$2:$A$28=$B8)*(Transcriptome!$C$2:$C$28=$G8),0))</f>
        <v>0.95672606842320829</v>
      </c>
      <c r="CA8">
        <f t="array" ref="CA8">INDEX(Transcriptome!AT$2:AT$28,MATCH(1,(Transcriptome!$A$2:$A$28=$B8)*(Transcriptome!$C$2:$C$28=$G8),0))</f>
        <v>0.68800520797646092</v>
      </c>
      <c r="CB8">
        <f t="array" ref="CB8">INDEX(Transcriptome!AU$2:AU$28,MATCH(1,(Transcriptome!$A$2:$A$28=$B8)*(Transcriptome!$C$2:$C$28=$G8),0))</f>
        <v>1.6867561981283563</v>
      </c>
      <c r="CC8">
        <f t="array" ref="CC8">INDEX(Transcriptome!AV$2:AV$28,MATCH(1,(Transcriptome!$A$2:$A$28=$B8)*(Transcriptome!$C$2:$C$28=$G8),0))</f>
        <v>0.72245781173202261</v>
      </c>
      <c r="CD8">
        <f t="array" ref="CD8">INDEX(Transcriptome!AW$2:AW$28,MATCH(1,(Transcriptome!$A$2:$A$28=$B8)*(Transcriptome!$C$2:$C$28=$G8),0))</f>
        <v>0.97913290067472636</v>
      </c>
      <c r="CE8">
        <f t="array" ref="CE8">INDEX(Transcriptome!AX$2:AX$28,MATCH(1,(Transcriptome!$A$2:$A$28=$B8)*(Transcriptome!$C$2:$C$28=$G8),0))</f>
        <v>0.91722492630928665</v>
      </c>
      <c r="CF8">
        <f t="array" ref="CF8">INDEX(Transcriptome!AY$2:AY$28,MATCH(1,(Transcriptome!$A$2:$A$28=$B8)*(Transcriptome!$C$2:$C$28=$G8),0))</f>
        <v>1.1415999188887762</v>
      </c>
      <c r="CG8">
        <f t="array" ref="CG8">INDEX(Transcriptome!AZ$2:AZ$28,MATCH(1,(Transcriptome!$A$2:$A$28=$B8)*(Transcriptome!$C$2:$C$28=$G8),0))</f>
        <v>0.54738994790393225</v>
      </c>
      <c r="CH8">
        <f t="array" ref="CH8">INDEX(Transcriptome!BA$2:BA$28,MATCH(1,(Transcriptome!$A$2:$A$28=$B8)*(Transcriptome!$C$2:$C$28=$G8),0))</f>
        <v>2.2110972178245372</v>
      </c>
      <c r="CI8">
        <f t="array" ref="CI8">INDEX(Transcriptome!BB$2:BB$28,MATCH(1,(Transcriptome!$A$2:$A$28=$B8)*(Transcriptome!$C$2:$C$28=$G8),0))</f>
        <v>2.0052625729406564</v>
      </c>
      <c r="CJ8">
        <f t="array" ref="CJ8">INDEX(Transcriptome!BC$2:BC$28,MATCH(1,(Transcriptome!$A$2:$A$28=$B8)*(Transcriptome!$C$2:$C$28=$G8),0))</f>
        <v>0</v>
      </c>
      <c r="CK8">
        <f t="array" ref="CK8">INDEX(Transcriptome!BD$2:BD$28,MATCH(1,(Transcriptome!$A$2:$A$28=$B8)*(Transcriptome!$C$2:$C$28=$G8),0))</f>
        <v>0.99946907963844456</v>
      </c>
      <c r="CL8">
        <f t="array" ref="CL8">INDEX(Transcriptome!BE$2:BE$28,MATCH(1,(Transcriptome!$A$2:$A$28=$B8)*(Transcriptome!$C$2:$C$28=$G8),0))</f>
        <v>1.4078816127558538</v>
      </c>
      <c r="CM8">
        <f t="array" ref="CM8">INDEX(Transcriptome!BF$2:BF$28,MATCH(1,(Transcriptome!$A$2:$A$28=$B8)*(Transcriptome!$C$2:$C$28=$G8),0))</f>
        <v>1.4576608642231981</v>
      </c>
      <c r="CN8">
        <f t="array" ref="CN8">INDEX(Transcriptome!BG$2:BG$28,MATCH(1,(Transcriptome!$A$2:$A$28=$B8)*(Transcriptome!$C$2:$C$28=$G8),0))</f>
        <v>2.9900144760241787</v>
      </c>
      <c r="CO8">
        <f t="array" ref="CO8">INDEX(Transcriptome!BH$2:BH$28,MATCH(1,(Transcriptome!$A$2:$A$28=$B8)*(Transcriptome!$C$2:$C$28=$G8),0))</f>
        <v>0.56887953529706936</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4.080540530339805</v>
      </c>
      <c r="CS8">
        <f t="array" ref="CS8">INDEX(Transcriptome!BL$2:BL$28,MATCH(1,(Transcriptome!$A$2:$A$28=$B8)*(Transcriptome!$C$2:$C$28=$G8),0))</f>
        <v>2.731716075055703</v>
      </c>
      <c r="CT8">
        <f t="array" ref="CT8">INDEX(Transcriptome!BM$2:BM$28,MATCH(1,(Transcriptome!$A$2:$A$28=$B8)*(Transcriptome!$C$2:$C$28=$G8),0))</f>
        <v>1.1493512451322954</v>
      </c>
      <c r="CU8">
        <f t="array" ref="CU8">INDEX(Transcriptome!BN$2:BN$28,MATCH(1,(Transcriptome!$A$2:$A$28=$B8)*(Transcriptome!$C$2:$C$28=$G8),0))</f>
        <v>44.734751324798466</v>
      </c>
      <c r="CV8">
        <f t="array" ref="CV8">INDEX(Transcriptome!BO$2:BO$28,MATCH(1,(Transcriptome!$A$2:$A$28=$B8)*(Transcriptome!$C$2:$C$28=$G8),0))</f>
        <v>0.88062279532718779</v>
      </c>
      <c r="CW8">
        <f t="array" ref="CW8">INDEX(Transcriptome!BP$2:BP$28,MATCH(1,(Transcriptome!$A$2:$A$28=$B8)*(Transcriptome!$C$2:$C$28=$G8),0))</f>
        <v>0.56887953529706936</v>
      </c>
      <c r="CX8">
        <f t="array" ref="CX8">INDEX(Transcriptome!BQ$2:BQ$28,MATCH(1,(Transcriptome!$A$2:$A$28=$B8)*(Transcriptome!$C$2:$C$28=$G8),0))</f>
        <v>1</v>
      </c>
      <c r="CY8">
        <f t="array" ref="CY8">INDEX(Transcriptome!BR$2:BR$28,MATCH(1,(Transcriptome!$A$2:$A$28=$B8)*(Transcriptome!$C$2:$C$28=$G8),0))</f>
        <v>1.5039495013074526</v>
      </c>
    </row>
    <row r="9" spans="1:103">
      <c r="A9">
        <f>'Measured Data'!A14</f>
        <v>7</v>
      </c>
      <c r="B9" t="s">
        <v>586</v>
      </c>
      <c r="C9" s="324" t="s">
        <v>588</v>
      </c>
      <c r="D9">
        <v>1</v>
      </c>
      <c r="E9">
        <f>'Measured Data'!H14</f>
        <v>9.945699555969238</v>
      </c>
      <c r="F9" s="477">
        <f>'Measured Data'!K14</f>
        <v>99.193603515625</v>
      </c>
      <c r="G9" t="s">
        <v>513</v>
      </c>
      <c r="H9" s="321">
        <f>'Measured Data'!B14</f>
        <v>6.8604166666700621</v>
      </c>
      <c r="I9" s="322">
        <f>'Measured Data'!C14</f>
        <v>164.65000000008149</v>
      </c>
      <c r="J9">
        <f>'In Process Calc.'!B10</f>
        <v>6.8604166666700621</v>
      </c>
      <c r="K9">
        <f>'In Process Calc.'!C10</f>
        <v>164.65000000008149</v>
      </c>
      <c r="L9">
        <f>'Measured Data'!Z14</f>
        <v>31.250693843113741</v>
      </c>
      <c r="M9">
        <f>'Measured Data'!AF14</f>
        <v>10.990230905861457</v>
      </c>
      <c r="N9">
        <f>'Measured Data'!AA14</f>
        <v>2.6819999999999999</v>
      </c>
      <c r="O9">
        <f>'Measured Data'!W14</f>
        <v>5.5880000000000001</v>
      </c>
      <c r="P9">
        <f>'Measured Data'!X14</f>
        <v>2.8410000000000002</v>
      </c>
      <c r="Q9">
        <f>'Growth Regression'!P9</f>
        <v>1.2121238379291103E-2</v>
      </c>
      <c r="R9">
        <f>Q9/'Growth Regression'!$O$24</f>
        <v>0.45043148862033133</v>
      </c>
      <c r="S9">
        <f>'Post Process Calc.'!K10</f>
        <v>4.4157204002955426E-2</v>
      </c>
      <c r="T9">
        <f>'Post Process Calc.'!Q10</f>
        <v>3.290574235022793E-3</v>
      </c>
      <c r="U9">
        <f>'Post Process Calc.'!L10</f>
        <v>-2.930538987917751E-3</v>
      </c>
      <c r="V9">
        <f>'Post Process Calc.'!H10</f>
        <v>4.0691404102983098E-3</v>
      </c>
      <c r="W9">
        <f>'Post Process Calc.'!I10</f>
        <v>-1.4613276959805123E-3</v>
      </c>
      <c r="X9">
        <f>'Post Process Calc.'!AG10</f>
        <v>7.451953332014763E-2</v>
      </c>
      <c r="Y9">
        <f t="shared" si="2"/>
        <v>27.598252501847139</v>
      </c>
      <c r="Z9">
        <f t="shared" si="2"/>
        <v>2.0566088968892453</v>
      </c>
      <c r="AA9">
        <f t="shared" si="0"/>
        <v>-1.8315868674485942</v>
      </c>
      <c r="AB9">
        <f t="shared" si="0"/>
        <v>2.5432127564364437</v>
      </c>
      <c r="AC9">
        <f t="shared" si="0"/>
        <v>-0.9133298099878201</v>
      </c>
      <c r="AD9">
        <v>100</v>
      </c>
      <c r="AE9">
        <v>0.32</v>
      </c>
      <c r="AF9">
        <v>7</v>
      </c>
      <c r="AG9">
        <v>0.7</v>
      </c>
      <c r="AH9">
        <f t="shared" si="1"/>
        <v>5.0118723362727164E-8</v>
      </c>
      <c r="AI9">
        <v>1</v>
      </c>
      <c r="AJ9">
        <v>0.311</v>
      </c>
      <c r="AK9">
        <f t="array" ref="AK9">INDEX(Transcriptome!D$2:D$28,MATCH(1,(Transcriptome!$A$2:$A$28=$B9)*(Transcriptome!$C$2:$C$28=$G9),0))</f>
        <v>0.92920540890907499</v>
      </c>
      <c r="AL9">
        <f t="array" ref="AL9">INDEX(Transcriptome!E$2:E$28,MATCH(1,(Transcriptome!$A$2:$A$28=$B9)*(Transcriptome!$C$2:$C$28=$G9),0))</f>
        <v>1.7329213892359023</v>
      </c>
      <c r="AM9">
        <f t="array" ref="AM9">INDEX(Transcriptome!F$2:F$28,MATCH(1,(Transcriptome!$A$2:$A$28=$B9)*(Transcriptome!$C$2:$C$28=$G9),0))</f>
        <v>1.248709181151141</v>
      </c>
      <c r="AN9">
        <f t="array" ref="AN9">INDEX(Transcriptome!G$2:G$28,MATCH(1,(Transcriptome!$A$2:$A$28=$B9)*(Transcriptome!$C$2:$C$28=$G9),0))</f>
        <v>0.4721791156252973</v>
      </c>
      <c r="AO9">
        <f t="array" ref="AO9">INDEX(Transcriptome!H$2:H$28,MATCH(1,(Transcriptome!$A$2:$A$28=$B9)*(Transcriptome!$C$2:$C$28=$G9),0))</f>
        <v>0</v>
      </c>
      <c r="AP9">
        <f t="array" ref="AP9">INDEX(Transcriptome!I$2:I$28,MATCH(1,(Transcriptome!$A$2:$A$28=$B9)*(Transcriptome!$C$2:$C$28=$G9),0))</f>
        <v>1.1226843694890076</v>
      </c>
      <c r="AQ9">
        <f t="array" ref="AQ9">INDEX(Transcriptome!J$2:J$28,MATCH(1,(Transcriptome!$A$2:$A$28=$B9)*(Transcriptome!$C$2:$C$28=$G9),0))</f>
        <v>1.3251398271295012</v>
      </c>
      <c r="AR9">
        <f t="array" ref="AR9">INDEX(Transcriptome!K$2:K$28,MATCH(1,(Transcriptome!$A$2:$A$28=$B9)*(Transcriptome!$C$2:$C$28=$G9),0))</f>
        <v>0.96530155174686461</v>
      </c>
      <c r="AS9">
        <f t="array" ref="AS9">INDEX(Transcriptome!L$2:L$28,MATCH(1,(Transcriptome!$A$2:$A$28=$B9)*(Transcriptome!$C$2:$C$28=$G9),0))</f>
        <v>1.2210153312207193</v>
      </c>
      <c r="AT9">
        <f t="array" ref="AT9">INDEX(Transcriptome!M$2:M$28,MATCH(1,(Transcriptome!$A$2:$A$28=$B9)*(Transcriptome!$C$2:$C$28=$G9),0))</f>
        <v>1.2244730900490455</v>
      </c>
      <c r="AU9">
        <f t="array" ref="AU9">INDEX(Transcriptome!N$2:N$28,MATCH(1,(Transcriptome!$A$2:$A$28=$B9)*(Transcriptome!$C$2:$C$28=$G9),0))</f>
        <v>0.73155313986543535</v>
      </c>
      <c r="AV9">
        <f t="array" ref="AV9">INDEX(Transcriptome!O$2:O$28,MATCH(1,(Transcriptome!$A$2:$A$28=$B9)*(Transcriptome!$C$2:$C$28=$G9),0))</f>
        <v>1.152318513561184</v>
      </c>
      <c r="AW9">
        <f t="array" ref="AW9">INDEX(Transcriptome!P$2:P$28,MATCH(1,(Transcriptome!$A$2:$A$28=$B9)*(Transcriptome!$C$2:$C$28=$G9),0))</f>
        <v>0.89618838062804274</v>
      </c>
      <c r="AX9">
        <f t="array" ref="AX9">INDEX(Transcriptome!Q$2:Q$28,MATCH(1,(Transcriptome!$A$2:$A$28=$B9)*(Transcriptome!$C$2:$C$28=$G9),0))</f>
        <v>0.65135227913388327</v>
      </c>
      <c r="AY9">
        <f t="array" ref="AY9">INDEX(Transcriptome!R$2:R$28,MATCH(1,(Transcriptome!$A$2:$A$28=$B9)*(Transcriptome!$C$2:$C$28=$G9),0))</f>
        <v>0.44670006467175033</v>
      </c>
      <c r="AZ9">
        <f t="array" ref="AZ9">INDEX(Transcriptome!S$2:S$28,MATCH(1,(Transcriptome!$A$2:$A$28=$B9)*(Transcriptome!$C$2:$C$28=$G9),0))</f>
        <v>0.54170910506007386</v>
      </c>
      <c r="BA9">
        <f t="array" ref="BA9">INDEX(Transcriptome!T$2:T$28,MATCH(1,(Transcriptome!$A$2:$A$28=$B9)*(Transcriptome!$C$2:$C$28=$G9),0))</f>
        <v>1.1524538892853755</v>
      </c>
      <c r="BB9">
        <f t="array" ref="BB9">INDEX(Transcriptome!U$2:U$28,MATCH(1,(Transcriptome!$A$2:$A$28=$B9)*(Transcriptome!$C$2:$C$28=$G9),0))</f>
        <v>3.717777936487666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0.76557540655216338</v>
      </c>
      <c r="BF9">
        <f t="array" ref="BF9">INDEX(Transcriptome!Y$2:Y$28,MATCH(1,(Transcriptome!$A$2:$A$28=$B9)*(Transcriptome!$C$2:$C$28=$G9),0))</f>
        <v>0</v>
      </c>
      <c r="BG9">
        <f t="array" ref="BG9">INDEX(Transcriptome!Z$2:Z$28,MATCH(1,(Transcriptome!$A$2:$A$28=$B9)*(Transcriptome!$C$2:$C$28=$G9),0))</f>
        <v>1.2179664020132115</v>
      </c>
      <c r="BH9">
        <f t="array" ref="BH9">INDEX(Transcriptome!AA$2:AA$28,MATCH(1,(Transcriptome!$A$2:$A$28=$B9)*(Transcriptome!$C$2:$C$28=$G9),0))</f>
        <v>1.4585553096187835</v>
      </c>
      <c r="BI9">
        <f t="array" ref="BI9">INDEX(Transcriptome!AB$2:AB$28,MATCH(1,(Transcriptome!$A$2:$A$28=$B9)*(Transcriptome!$C$2:$C$28=$G9),0))</f>
        <v>0.49899248340048019</v>
      </c>
      <c r="BJ9">
        <f t="array" ref="BJ9">INDEX(Transcriptome!AC$2:AC$28,MATCH(1,(Transcriptome!$A$2:$A$28=$B9)*(Transcriptome!$C$2:$C$28=$G9),0))</f>
        <v>1.0380961603134766</v>
      </c>
      <c r="BK9">
        <f t="array" ref="BK9">INDEX(Transcriptome!AD$2:AD$28,MATCH(1,(Transcriptome!$A$2:$A$28=$B9)*(Transcriptome!$C$2:$C$28=$G9),0))</f>
        <v>0.8468321289341687</v>
      </c>
      <c r="BL9">
        <f t="array" ref="BL9">INDEX(Transcriptome!AE$2:AE$28,MATCH(1,(Transcriptome!$A$2:$A$28=$B9)*(Transcriptome!$C$2:$C$28=$G9),0))</f>
        <v>1.3366947398587019</v>
      </c>
      <c r="BM9">
        <f t="array" ref="BM9">INDEX(Transcriptome!AF$2:AF$28,MATCH(1,(Transcriptome!$A$2:$A$28=$B9)*(Transcriptome!$C$2:$C$28=$G9),0))</f>
        <v>0.50618842957342058</v>
      </c>
      <c r="BN9">
        <f t="array" ref="BN9">INDEX(Transcriptome!AG$2:AG$28,MATCH(1,(Transcriptome!$A$2:$A$28=$B9)*(Transcriptome!$C$2:$C$28=$G9),0))</f>
        <v>0.66736997584655977</v>
      </c>
      <c r="BO9">
        <f t="array" ref="BO9">INDEX(Transcriptome!AH$2:AH$28,MATCH(1,(Transcriptome!$A$2:$A$28=$B9)*(Transcriptome!$C$2:$C$28=$G9),0))</f>
        <v>1.9306174267998168</v>
      </c>
      <c r="BP9">
        <f t="array" ref="BP9">INDEX(Transcriptome!AI$2:AI$28,MATCH(1,(Transcriptome!$A$2:$A$28=$B9)*(Transcriptome!$C$2:$C$28=$G9),0))</f>
        <v>0.77468008259435317</v>
      </c>
      <c r="BQ9">
        <f t="array" ref="BQ9">INDEX(Transcriptome!AJ$2:AJ$28,MATCH(1,(Transcriptome!$A$2:$A$28=$B9)*(Transcriptome!$C$2:$C$28=$G9),0))</f>
        <v>1.0628605890830978</v>
      </c>
      <c r="BR9">
        <f t="array" ref="BR9">INDEX(Transcriptome!AK$2:AK$28,MATCH(1,(Transcriptome!$A$2:$A$28=$B9)*(Transcriptome!$C$2:$C$28=$G9),0))</f>
        <v>0.55212849473227277</v>
      </c>
      <c r="BS9">
        <f t="array" ref="BS9">INDEX(Transcriptome!AL$2:AL$28,MATCH(1,(Transcriptome!$A$2:$A$28=$B9)*(Transcriptome!$C$2:$C$28=$G9),0))</f>
        <v>1</v>
      </c>
      <c r="BT9">
        <f t="array" ref="BT9">INDEX(Transcriptome!AM$2:AM$28,MATCH(1,(Transcriptome!$A$2:$A$28=$B9)*(Transcriptome!$C$2:$C$28=$G9),0))</f>
        <v>0.66472755238098791</v>
      </c>
      <c r="BU9">
        <f t="array" ref="BU9">INDEX(Transcriptome!AN$2:AN$28,MATCH(1,(Transcriptome!$A$2:$A$28=$B9)*(Transcriptome!$C$2:$C$28=$G9),0))</f>
        <v>1.0010669451153449</v>
      </c>
      <c r="BV9">
        <f t="array" ref="BV9">INDEX(Transcriptome!AO$2:AO$28,MATCH(1,(Transcriptome!$A$2:$A$28=$B9)*(Transcriptome!$C$2:$C$28=$G9),0))</f>
        <v>0.99858945685943101</v>
      </c>
      <c r="BW9">
        <f t="array" ref="BW9">INDEX(Transcriptome!AP$2:AP$28,MATCH(1,(Transcriptome!$A$2:$A$28=$B9)*(Transcriptome!$C$2:$C$28=$G9),0))</f>
        <v>1.1339345806169323</v>
      </c>
      <c r="BX9">
        <f t="array" ref="BX9">INDEX(Transcriptome!AQ$2:AQ$28,MATCH(1,(Transcriptome!$A$2:$A$28=$B9)*(Transcriptome!$C$2:$C$28=$G9),0))</f>
        <v>1.6048583301573733</v>
      </c>
      <c r="BY9">
        <f t="array" ref="BY9">INDEX(Transcriptome!AR$2:AR$28,MATCH(1,(Transcriptome!$A$2:$A$28=$B9)*(Transcriptome!$C$2:$C$28=$G9),0))</f>
        <v>0.83750658657958177</v>
      </c>
      <c r="BZ9">
        <f t="array" ref="BZ9">INDEX(Transcriptome!AS$2:AS$28,MATCH(1,(Transcriptome!$A$2:$A$28=$B9)*(Transcriptome!$C$2:$C$28=$G9),0))</f>
        <v>0.95672606842320829</v>
      </c>
      <c r="CA9">
        <f t="array" ref="CA9">INDEX(Transcriptome!AT$2:AT$28,MATCH(1,(Transcriptome!$A$2:$A$28=$B9)*(Transcriptome!$C$2:$C$28=$G9),0))</f>
        <v>0.68800520797646092</v>
      </c>
      <c r="CB9">
        <f t="array" ref="CB9">INDEX(Transcriptome!AU$2:AU$28,MATCH(1,(Transcriptome!$A$2:$A$28=$B9)*(Transcriptome!$C$2:$C$28=$G9),0))</f>
        <v>1.6867561981283563</v>
      </c>
      <c r="CC9">
        <f t="array" ref="CC9">INDEX(Transcriptome!AV$2:AV$28,MATCH(1,(Transcriptome!$A$2:$A$28=$B9)*(Transcriptome!$C$2:$C$28=$G9),0))</f>
        <v>0.72245781173202261</v>
      </c>
      <c r="CD9">
        <f t="array" ref="CD9">INDEX(Transcriptome!AW$2:AW$28,MATCH(1,(Transcriptome!$A$2:$A$28=$B9)*(Transcriptome!$C$2:$C$28=$G9),0))</f>
        <v>0.97913290067472636</v>
      </c>
      <c r="CE9">
        <f t="array" ref="CE9">INDEX(Transcriptome!AX$2:AX$28,MATCH(1,(Transcriptome!$A$2:$A$28=$B9)*(Transcriptome!$C$2:$C$28=$G9),0))</f>
        <v>0.91722492630928665</v>
      </c>
      <c r="CF9">
        <f t="array" ref="CF9">INDEX(Transcriptome!AY$2:AY$28,MATCH(1,(Transcriptome!$A$2:$A$28=$B9)*(Transcriptome!$C$2:$C$28=$G9),0))</f>
        <v>1.1415999188887762</v>
      </c>
      <c r="CG9">
        <f t="array" ref="CG9">INDEX(Transcriptome!AZ$2:AZ$28,MATCH(1,(Transcriptome!$A$2:$A$28=$B9)*(Transcriptome!$C$2:$C$28=$G9),0))</f>
        <v>0.54738994790393225</v>
      </c>
      <c r="CH9">
        <f t="array" ref="CH9">INDEX(Transcriptome!BA$2:BA$28,MATCH(1,(Transcriptome!$A$2:$A$28=$B9)*(Transcriptome!$C$2:$C$28=$G9),0))</f>
        <v>2.2110972178245372</v>
      </c>
      <c r="CI9">
        <f t="array" ref="CI9">INDEX(Transcriptome!BB$2:BB$28,MATCH(1,(Transcriptome!$A$2:$A$28=$B9)*(Transcriptome!$C$2:$C$28=$G9),0))</f>
        <v>2.0052625729406564</v>
      </c>
      <c r="CJ9">
        <f t="array" ref="CJ9">INDEX(Transcriptome!BC$2:BC$28,MATCH(1,(Transcriptome!$A$2:$A$28=$B9)*(Transcriptome!$C$2:$C$28=$G9),0))</f>
        <v>0</v>
      </c>
      <c r="CK9">
        <f t="array" ref="CK9">INDEX(Transcriptome!BD$2:BD$28,MATCH(1,(Transcriptome!$A$2:$A$28=$B9)*(Transcriptome!$C$2:$C$28=$G9),0))</f>
        <v>0.99946907963844456</v>
      </c>
      <c r="CL9">
        <f t="array" ref="CL9">INDEX(Transcriptome!BE$2:BE$28,MATCH(1,(Transcriptome!$A$2:$A$28=$B9)*(Transcriptome!$C$2:$C$28=$G9),0))</f>
        <v>1.4078816127558538</v>
      </c>
      <c r="CM9">
        <f t="array" ref="CM9">INDEX(Transcriptome!BF$2:BF$28,MATCH(1,(Transcriptome!$A$2:$A$28=$B9)*(Transcriptome!$C$2:$C$28=$G9),0))</f>
        <v>1.4576608642231981</v>
      </c>
      <c r="CN9">
        <f t="array" ref="CN9">INDEX(Transcriptome!BG$2:BG$28,MATCH(1,(Transcriptome!$A$2:$A$28=$B9)*(Transcriptome!$C$2:$C$28=$G9),0))</f>
        <v>2.9900144760241787</v>
      </c>
      <c r="CO9">
        <f t="array" ref="CO9">INDEX(Transcriptome!BH$2:BH$28,MATCH(1,(Transcriptome!$A$2:$A$28=$B9)*(Transcriptome!$C$2:$C$28=$G9),0))</f>
        <v>0.56887953529706936</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4.080540530339805</v>
      </c>
      <c r="CS9">
        <f t="array" ref="CS9">INDEX(Transcriptome!BL$2:BL$28,MATCH(1,(Transcriptome!$A$2:$A$28=$B9)*(Transcriptome!$C$2:$C$28=$G9),0))</f>
        <v>2.731716075055703</v>
      </c>
      <c r="CT9">
        <f t="array" ref="CT9">INDEX(Transcriptome!BM$2:BM$28,MATCH(1,(Transcriptome!$A$2:$A$28=$B9)*(Transcriptome!$C$2:$C$28=$G9),0))</f>
        <v>1.1493512451322954</v>
      </c>
      <c r="CU9">
        <f t="array" ref="CU9">INDEX(Transcriptome!BN$2:BN$28,MATCH(1,(Transcriptome!$A$2:$A$28=$B9)*(Transcriptome!$C$2:$C$28=$G9),0))</f>
        <v>44.734751324798466</v>
      </c>
      <c r="CV9">
        <f t="array" ref="CV9">INDEX(Transcriptome!BO$2:BO$28,MATCH(1,(Transcriptome!$A$2:$A$28=$B9)*(Transcriptome!$C$2:$C$28=$G9),0))</f>
        <v>0.88062279532718779</v>
      </c>
      <c r="CW9">
        <f t="array" ref="CW9">INDEX(Transcriptome!BP$2:BP$28,MATCH(1,(Transcriptome!$A$2:$A$28=$B9)*(Transcriptome!$C$2:$C$28=$G9),0))</f>
        <v>0.56887953529706936</v>
      </c>
      <c r="CX9">
        <f t="array" ref="CX9">INDEX(Transcriptome!BQ$2:BQ$28,MATCH(1,(Transcriptome!$A$2:$A$28=$B9)*(Transcriptome!$C$2:$C$28=$G9),0))</f>
        <v>1</v>
      </c>
      <c r="CY9">
        <f t="array" ref="CY9">INDEX(Transcriptome!BR$2:BR$28,MATCH(1,(Transcriptome!$A$2:$A$28=$B9)*(Transcriptome!$C$2:$C$28=$G9),0))</f>
        <v>1.5039495013074526</v>
      </c>
    </row>
    <row r="10" spans="1:103">
      <c r="A10">
        <f>'Measured Data'!A15</f>
        <v>8</v>
      </c>
      <c r="B10" t="s">
        <v>586</v>
      </c>
      <c r="C10" s="324" t="s">
        <v>588</v>
      </c>
      <c r="D10">
        <v>1</v>
      </c>
      <c r="E10">
        <f>'Measured Data'!H15</f>
        <v>12.503599984741211</v>
      </c>
      <c r="F10" s="477">
        <f>'Measured Data'!K15</f>
        <v>99.228302001953125</v>
      </c>
      <c r="G10" t="s">
        <v>513</v>
      </c>
      <c r="H10" s="321">
        <f>'Measured Data'!B15</f>
        <v>7.8763888888861402</v>
      </c>
      <c r="I10" s="322">
        <f>'Measured Data'!C15</f>
        <v>189.03333333326736</v>
      </c>
      <c r="J10">
        <f>'In Process Calc.'!B11</f>
        <v>7.8763888888861402</v>
      </c>
      <c r="K10">
        <f>'In Process Calc.'!C11</f>
        <v>189.03333333326736</v>
      </c>
      <c r="L10">
        <f>'Measured Data'!Z15</f>
        <v>20.260218921379249</v>
      </c>
      <c r="M10">
        <f>'Measured Data'!AF15</f>
        <v>12.655417406749555</v>
      </c>
      <c r="N10">
        <f>'Measured Data'!AA15</f>
        <v>3.4809999999999999</v>
      </c>
      <c r="O10">
        <f>'Measured Data'!W15</f>
        <v>1.1599999999999999</v>
      </c>
      <c r="P10">
        <f>'Measured Data'!X15</f>
        <v>3.5670000000000002</v>
      </c>
      <c r="Q10">
        <f>'Growth Regression'!P10</f>
        <v>8.029119649252462E-3</v>
      </c>
      <c r="R10">
        <f>Q10/'Growth Regression'!$O$24</f>
        <v>0.29836623971543824</v>
      </c>
      <c r="S10">
        <f>'Post Process Calc.'!K11</f>
        <v>4.1801149985527301E-2</v>
      </c>
      <c r="T10">
        <f>'Post Process Calc.'!Q11</f>
        <v>-8.4527404757693807E-4</v>
      </c>
      <c r="U10">
        <f>'Post Process Calc.'!L11</f>
        <v>-1.3336973026113314E-3</v>
      </c>
      <c r="V10">
        <f>'Post Process Calc.'!H11</f>
        <v>3.8451364505081302E-3</v>
      </c>
      <c r="W10">
        <f>'Post Process Calc.'!I11</f>
        <v>-1.2007641469649164E-4</v>
      </c>
      <c r="X10">
        <f>'Post Process Calc.'!AG11</f>
        <v>-2.0221310845983782E-2</v>
      </c>
      <c r="Y10">
        <f t="shared" si="2"/>
        <v>26.125718740954561</v>
      </c>
      <c r="Z10">
        <f t="shared" si="2"/>
        <v>-0.52829627973558624</v>
      </c>
      <c r="AA10">
        <f t="shared" si="0"/>
        <v>-0.83356081413208205</v>
      </c>
      <c r="AB10">
        <f t="shared" si="0"/>
        <v>2.4032102815675813</v>
      </c>
      <c r="AC10">
        <f t="shared" si="0"/>
        <v>-7.5047759185307275E-2</v>
      </c>
      <c r="AD10">
        <v>100</v>
      </c>
      <c r="AE10">
        <v>0.32</v>
      </c>
      <c r="AF10">
        <v>7</v>
      </c>
      <c r="AG10">
        <v>0.7</v>
      </c>
      <c r="AH10">
        <f t="shared" si="1"/>
        <v>5.0118723362727164E-8</v>
      </c>
      <c r="AI10">
        <v>1</v>
      </c>
      <c r="AJ10">
        <v>0.311</v>
      </c>
      <c r="AK10">
        <f t="array" ref="AK10">INDEX(Transcriptome!D$2:D$28,MATCH(1,(Transcriptome!$A$2:$A$28=$B10)*(Transcriptome!$C$2:$C$28=$G10),0))</f>
        <v>0.92920540890907499</v>
      </c>
      <c r="AL10">
        <f t="array" ref="AL10">INDEX(Transcriptome!E$2:E$28,MATCH(1,(Transcriptome!$A$2:$A$28=$B10)*(Transcriptome!$C$2:$C$28=$G10),0))</f>
        <v>1.7329213892359023</v>
      </c>
      <c r="AM10">
        <f t="array" ref="AM10">INDEX(Transcriptome!F$2:F$28,MATCH(1,(Transcriptome!$A$2:$A$28=$B10)*(Transcriptome!$C$2:$C$28=$G10),0))</f>
        <v>1.248709181151141</v>
      </c>
      <c r="AN10">
        <f t="array" ref="AN10">INDEX(Transcriptome!G$2:G$28,MATCH(1,(Transcriptome!$A$2:$A$28=$B10)*(Transcriptome!$C$2:$C$28=$G10),0))</f>
        <v>0.4721791156252973</v>
      </c>
      <c r="AO10">
        <f t="array" ref="AO10">INDEX(Transcriptome!H$2:H$28,MATCH(1,(Transcriptome!$A$2:$A$28=$B10)*(Transcriptome!$C$2:$C$28=$G10),0))</f>
        <v>0</v>
      </c>
      <c r="AP10">
        <f t="array" ref="AP10">INDEX(Transcriptome!I$2:I$28,MATCH(1,(Transcriptome!$A$2:$A$28=$B10)*(Transcriptome!$C$2:$C$28=$G10),0))</f>
        <v>1.1226843694890076</v>
      </c>
      <c r="AQ10">
        <f t="array" ref="AQ10">INDEX(Transcriptome!J$2:J$28,MATCH(1,(Transcriptome!$A$2:$A$28=$B10)*(Transcriptome!$C$2:$C$28=$G10),0))</f>
        <v>1.3251398271295012</v>
      </c>
      <c r="AR10">
        <f t="array" ref="AR10">INDEX(Transcriptome!K$2:K$28,MATCH(1,(Transcriptome!$A$2:$A$28=$B10)*(Transcriptome!$C$2:$C$28=$G10),0))</f>
        <v>0.96530155174686461</v>
      </c>
      <c r="AS10">
        <f t="array" ref="AS10">INDEX(Transcriptome!L$2:L$28,MATCH(1,(Transcriptome!$A$2:$A$28=$B10)*(Transcriptome!$C$2:$C$28=$G10),0))</f>
        <v>1.2210153312207193</v>
      </c>
      <c r="AT10">
        <f t="array" ref="AT10">INDEX(Transcriptome!M$2:M$28,MATCH(1,(Transcriptome!$A$2:$A$28=$B10)*(Transcriptome!$C$2:$C$28=$G10),0))</f>
        <v>1.2244730900490455</v>
      </c>
      <c r="AU10">
        <f t="array" ref="AU10">INDEX(Transcriptome!N$2:N$28,MATCH(1,(Transcriptome!$A$2:$A$28=$B10)*(Transcriptome!$C$2:$C$28=$G10),0))</f>
        <v>0.73155313986543535</v>
      </c>
      <c r="AV10">
        <f t="array" ref="AV10">INDEX(Transcriptome!O$2:O$28,MATCH(1,(Transcriptome!$A$2:$A$28=$B10)*(Transcriptome!$C$2:$C$28=$G10),0))</f>
        <v>1.152318513561184</v>
      </c>
      <c r="AW10">
        <f t="array" ref="AW10">INDEX(Transcriptome!P$2:P$28,MATCH(1,(Transcriptome!$A$2:$A$28=$B10)*(Transcriptome!$C$2:$C$28=$G10),0))</f>
        <v>0.89618838062804274</v>
      </c>
      <c r="AX10">
        <f t="array" ref="AX10">INDEX(Transcriptome!Q$2:Q$28,MATCH(1,(Transcriptome!$A$2:$A$28=$B10)*(Transcriptome!$C$2:$C$28=$G10),0))</f>
        <v>0.65135227913388327</v>
      </c>
      <c r="AY10">
        <f t="array" ref="AY10">INDEX(Transcriptome!R$2:R$28,MATCH(1,(Transcriptome!$A$2:$A$28=$B10)*(Transcriptome!$C$2:$C$28=$G10),0))</f>
        <v>0.44670006467175033</v>
      </c>
      <c r="AZ10">
        <f t="array" ref="AZ10">INDEX(Transcriptome!S$2:S$28,MATCH(1,(Transcriptome!$A$2:$A$28=$B10)*(Transcriptome!$C$2:$C$28=$G10),0))</f>
        <v>0.54170910506007386</v>
      </c>
      <c r="BA10">
        <f t="array" ref="BA10">INDEX(Transcriptome!T$2:T$28,MATCH(1,(Transcriptome!$A$2:$A$28=$B10)*(Transcriptome!$C$2:$C$28=$G10),0))</f>
        <v>1.1524538892853755</v>
      </c>
      <c r="BB10">
        <f t="array" ref="BB10">INDEX(Transcriptome!U$2:U$28,MATCH(1,(Transcriptome!$A$2:$A$28=$B10)*(Transcriptome!$C$2:$C$28=$G10),0))</f>
        <v>3.717777936487666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0.76557540655216338</v>
      </c>
      <c r="BF10">
        <f t="array" ref="BF10">INDEX(Transcriptome!Y$2:Y$28,MATCH(1,(Transcriptome!$A$2:$A$28=$B10)*(Transcriptome!$C$2:$C$28=$G10),0))</f>
        <v>0</v>
      </c>
      <c r="BG10">
        <f t="array" ref="BG10">INDEX(Transcriptome!Z$2:Z$28,MATCH(1,(Transcriptome!$A$2:$A$28=$B10)*(Transcriptome!$C$2:$C$28=$G10),0))</f>
        <v>1.2179664020132115</v>
      </c>
      <c r="BH10">
        <f t="array" ref="BH10">INDEX(Transcriptome!AA$2:AA$28,MATCH(1,(Transcriptome!$A$2:$A$28=$B10)*(Transcriptome!$C$2:$C$28=$G10),0))</f>
        <v>1.4585553096187835</v>
      </c>
      <c r="BI10">
        <f t="array" ref="BI10">INDEX(Transcriptome!AB$2:AB$28,MATCH(1,(Transcriptome!$A$2:$A$28=$B10)*(Transcriptome!$C$2:$C$28=$G10),0))</f>
        <v>0.49899248340048019</v>
      </c>
      <c r="BJ10">
        <f t="array" ref="BJ10">INDEX(Transcriptome!AC$2:AC$28,MATCH(1,(Transcriptome!$A$2:$A$28=$B10)*(Transcriptome!$C$2:$C$28=$G10),0))</f>
        <v>1.0380961603134766</v>
      </c>
      <c r="BK10">
        <f t="array" ref="BK10">INDEX(Transcriptome!AD$2:AD$28,MATCH(1,(Transcriptome!$A$2:$A$28=$B10)*(Transcriptome!$C$2:$C$28=$G10),0))</f>
        <v>0.8468321289341687</v>
      </c>
      <c r="BL10">
        <f t="array" ref="BL10">INDEX(Transcriptome!AE$2:AE$28,MATCH(1,(Transcriptome!$A$2:$A$28=$B10)*(Transcriptome!$C$2:$C$28=$G10),0))</f>
        <v>1.3366947398587019</v>
      </c>
      <c r="BM10">
        <f t="array" ref="BM10">INDEX(Transcriptome!AF$2:AF$28,MATCH(1,(Transcriptome!$A$2:$A$28=$B10)*(Transcriptome!$C$2:$C$28=$G10),0))</f>
        <v>0.50618842957342058</v>
      </c>
      <c r="BN10">
        <f t="array" ref="BN10">INDEX(Transcriptome!AG$2:AG$28,MATCH(1,(Transcriptome!$A$2:$A$28=$B10)*(Transcriptome!$C$2:$C$28=$G10),0))</f>
        <v>0.66736997584655977</v>
      </c>
      <c r="BO10">
        <f t="array" ref="BO10">INDEX(Transcriptome!AH$2:AH$28,MATCH(1,(Transcriptome!$A$2:$A$28=$B10)*(Transcriptome!$C$2:$C$28=$G10),0))</f>
        <v>1.9306174267998168</v>
      </c>
      <c r="BP10">
        <f t="array" ref="BP10">INDEX(Transcriptome!AI$2:AI$28,MATCH(1,(Transcriptome!$A$2:$A$28=$B10)*(Transcriptome!$C$2:$C$28=$G10),0))</f>
        <v>0.77468008259435317</v>
      </c>
      <c r="BQ10">
        <f t="array" ref="BQ10">INDEX(Transcriptome!AJ$2:AJ$28,MATCH(1,(Transcriptome!$A$2:$A$28=$B10)*(Transcriptome!$C$2:$C$28=$G10),0))</f>
        <v>1.0628605890830978</v>
      </c>
      <c r="BR10">
        <f t="array" ref="BR10">INDEX(Transcriptome!AK$2:AK$28,MATCH(1,(Transcriptome!$A$2:$A$28=$B10)*(Transcriptome!$C$2:$C$28=$G10),0))</f>
        <v>0.55212849473227277</v>
      </c>
      <c r="BS10">
        <f t="array" ref="BS10">INDEX(Transcriptome!AL$2:AL$28,MATCH(1,(Transcriptome!$A$2:$A$28=$B10)*(Transcriptome!$C$2:$C$28=$G10),0))</f>
        <v>1</v>
      </c>
      <c r="BT10">
        <f t="array" ref="BT10">INDEX(Transcriptome!AM$2:AM$28,MATCH(1,(Transcriptome!$A$2:$A$28=$B10)*(Transcriptome!$C$2:$C$28=$G10),0))</f>
        <v>0.66472755238098791</v>
      </c>
      <c r="BU10">
        <f t="array" ref="BU10">INDEX(Transcriptome!AN$2:AN$28,MATCH(1,(Transcriptome!$A$2:$A$28=$B10)*(Transcriptome!$C$2:$C$28=$G10),0))</f>
        <v>1.0010669451153449</v>
      </c>
      <c r="BV10">
        <f t="array" ref="BV10">INDEX(Transcriptome!AO$2:AO$28,MATCH(1,(Transcriptome!$A$2:$A$28=$B10)*(Transcriptome!$C$2:$C$28=$G10),0))</f>
        <v>0.99858945685943101</v>
      </c>
      <c r="BW10">
        <f t="array" ref="BW10">INDEX(Transcriptome!AP$2:AP$28,MATCH(1,(Transcriptome!$A$2:$A$28=$B10)*(Transcriptome!$C$2:$C$28=$G10),0))</f>
        <v>1.1339345806169323</v>
      </c>
      <c r="BX10">
        <f t="array" ref="BX10">INDEX(Transcriptome!AQ$2:AQ$28,MATCH(1,(Transcriptome!$A$2:$A$28=$B10)*(Transcriptome!$C$2:$C$28=$G10),0))</f>
        <v>1.6048583301573733</v>
      </c>
      <c r="BY10">
        <f t="array" ref="BY10">INDEX(Transcriptome!AR$2:AR$28,MATCH(1,(Transcriptome!$A$2:$A$28=$B10)*(Transcriptome!$C$2:$C$28=$G10),0))</f>
        <v>0.83750658657958177</v>
      </c>
      <c r="BZ10">
        <f t="array" ref="BZ10">INDEX(Transcriptome!AS$2:AS$28,MATCH(1,(Transcriptome!$A$2:$A$28=$B10)*(Transcriptome!$C$2:$C$28=$G10),0))</f>
        <v>0.95672606842320829</v>
      </c>
      <c r="CA10">
        <f t="array" ref="CA10">INDEX(Transcriptome!AT$2:AT$28,MATCH(1,(Transcriptome!$A$2:$A$28=$B10)*(Transcriptome!$C$2:$C$28=$G10),0))</f>
        <v>0.68800520797646092</v>
      </c>
      <c r="CB10">
        <f t="array" ref="CB10">INDEX(Transcriptome!AU$2:AU$28,MATCH(1,(Transcriptome!$A$2:$A$28=$B10)*(Transcriptome!$C$2:$C$28=$G10),0))</f>
        <v>1.6867561981283563</v>
      </c>
      <c r="CC10">
        <f t="array" ref="CC10">INDEX(Transcriptome!AV$2:AV$28,MATCH(1,(Transcriptome!$A$2:$A$28=$B10)*(Transcriptome!$C$2:$C$28=$G10),0))</f>
        <v>0.72245781173202261</v>
      </c>
      <c r="CD10">
        <f t="array" ref="CD10">INDEX(Transcriptome!AW$2:AW$28,MATCH(1,(Transcriptome!$A$2:$A$28=$B10)*(Transcriptome!$C$2:$C$28=$G10),0))</f>
        <v>0.97913290067472636</v>
      </c>
      <c r="CE10">
        <f t="array" ref="CE10">INDEX(Transcriptome!AX$2:AX$28,MATCH(1,(Transcriptome!$A$2:$A$28=$B10)*(Transcriptome!$C$2:$C$28=$G10),0))</f>
        <v>0.91722492630928665</v>
      </c>
      <c r="CF10">
        <f t="array" ref="CF10">INDEX(Transcriptome!AY$2:AY$28,MATCH(1,(Transcriptome!$A$2:$A$28=$B10)*(Transcriptome!$C$2:$C$28=$G10),0))</f>
        <v>1.1415999188887762</v>
      </c>
      <c r="CG10">
        <f t="array" ref="CG10">INDEX(Transcriptome!AZ$2:AZ$28,MATCH(1,(Transcriptome!$A$2:$A$28=$B10)*(Transcriptome!$C$2:$C$28=$G10),0))</f>
        <v>0.54738994790393225</v>
      </c>
      <c r="CH10">
        <f t="array" ref="CH10">INDEX(Transcriptome!BA$2:BA$28,MATCH(1,(Transcriptome!$A$2:$A$28=$B10)*(Transcriptome!$C$2:$C$28=$G10),0))</f>
        <v>2.2110972178245372</v>
      </c>
      <c r="CI10">
        <f t="array" ref="CI10">INDEX(Transcriptome!BB$2:BB$28,MATCH(1,(Transcriptome!$A$2:$A$28=$B10)*(Transcriptome!$C$2:$C$28=$G10),0))</f>
        <v>2.0052625729406564</v>
      </c>
      <c r="CJ10">
        <f t="array" ref="CJ10">INDEX(Transcriptome!BC$2:BC$28,MATCH(1,(Transcriptome!$A$2:$A$28=$B10)*(Transcriptome!$C$2:$C$28=$G10),0))</f>
        <v>0</v>
      </c>
      <c r="CK10">
        <f t="array" ref="CK10">INDEX(Transcriptome!BD$2:BD$28,MATCH(1,(Transcriptome!$A$2:$A$28=$B10)*(Transcriptome!$C$2:$C$28=$G10),0))</f>
        <v>0.99946907963844456</v>
      </c>
      <c r="CL10">
        <f t="array" ref="CL10">INDEX(Transcriptome!BE$2:BE$28,MATCH(1,(Transcriptome!$A$2:$A$28=$B10)*(Transcriptome!$C$2:$C$28=$G10),0))</f>
        <v>1.4078816127558538</v>
      </c>
      <c r="CM10">
        <f t="array" ref="CM10">INDEX(Transcriptome!BF$2:BF$28,MATCH(1,(Transcriptome!$A$2:$A$28=$B10)*(Transcriptome!$C$2:$C$28=$G10),0))</f>
        <v>1.4576608642231981</v>
      </c>
      <c r="CN10">
        <f t="array" ref="CN10">INDEX(Transcriptome!BG$2:BG$28,MATCH(1,(Transcriptome!$A$2:$A$28=$B10)*(Transcriptome!$C$2:$C$28=$G10),0))</f>
        <v>2.9900144760241787</v>
      </c>
      <c r="CO10">
        <f t="array" ref="CO10">INDEX(Transcriptome!BH$2:BH$28,MATCH(1,(Transcriptome!$A$2:$A$28=$B10)*(Transcriptome!$C$2:$C$28=$G10),0))</f>
        <v>0.56887953529706936</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4.080540530339805</v>
      </c>
      <c r="CS10">
        <f t="array" ref="CS10">INDEX(Transcriptome!BL$2:BL$28,MATCH(1,(Transcriptome!$A$2:$A$28=$B10)*(Transcriptome!$C$2:$C$28=$G10),0))</f>
        <v>2.731716075055703</v>
      </c>
      <c r="CT10">
        <f t="array" ref="CT10">INDEX(Transcriptome!BM$2:BM$28,MATCH(1,(Transcriptome!$A$2:$A$28=$B10)*(Transcriptome!$C$2:$C$28=$G10),0))</f>
        <v>1.1493512451322954</v>
      </c>
      <c r="CU10">
        <f t="array" ref="CU10">INDEX(Transcriptome!BN$2:BN$28,MATCH(1,(Transcriptome!$A$2:$A$28=$B10)*(Transcriptome!$C$2:$C$28=$G10),0))</f>
        <v>44.734751324798466</v>
      </c>
      <c r="CV10">
        <f t="array" ref="CV10">INDEX(Transcriptome!BO$2:BO$28,MATCH(1,(Transcriptome!$A$2:$A$28=$B10)*(Transcriptome!$C$2:$C$28=$G10),0))</f>
        <v>0.88062279532718779</v>
      </c>
      <c r="CW10">
        <f t="array" ref="CW10">INDEX(Transcriptome!BP$2:BP$28,MATCH(1,(Transcriptome!$A$2:$A$28=$B10)*(Transcriptome!$C$2:$C$28=$G10),0))</f>
        <v>0.56887953529706936</v>
      </c>
      <c r="CX10">
        <f t="array" ref="CX10">INDEX(Transcriptome!BQ$2:BQ$28,MATCH(1,(Transcriptome!$A$2:$A$28=$B10)*(Transcriptome!$C$2:$C$28=$G10),0))</f>
        <v>1</v>
      </c>
      <c r="CY10">
        <f t="array" ref="CY10">INDEX(Transcriptome!BR$2:BR$28,MATCH(1,(Transcriptome!$A$2:$A$28=$B10)*(Transcriptome!$C$2:$C$28=$G10),0))</f>
        <v>1.5039495013074526</v>
      </c>
    </row>
    <row r="11" spans="1:103">
      <c r="A11">
        <f>'Measured Data'!A16</f>
        <v>9</v>
      </c>
      <c r="B11" t="s">
        <v>586</v>
      </c>
      <c r="C11" s="324" t="s">
        <v>588</v>
      </c>
      <c r="D11">
        <v>1</v>
      </c>
      <c r="E11">
        <f>'Measured Data'!H16</f>
        <v>15.666299684143066</v>
      </c>
      <c r="F11" s="477">
        <f>'Measured Data'!K16</f>
        <v>99.119300842285156</v>
      </c>
      <c r="G11" t="s">
        <v>513</v>
      </c>
      <c r="H11" s="321">
        <f>'Measured Data'!B16</f>
        <v>8.8743055555532919</v>
      </c>
      <c r="I11" s="322">
        <f>'Measured Data'!C16</f>
        <v>212.98333333327901</v>
      </c>
      <c r="J11">
        <f>'In Process Calc.'!B12</f>
        <v>8.8743055555532919</v>
      </c>
      <c r="K11">
        <f>'In Process Calc.'!C12</f>
        <v>212.98333333327901</v>
      </c>
      <c r="L11">
        <f>'Measured Data'!Z16</f>
        <v>9.8803259397411143</v>
      </c>
      <c r="M11">
        <f>'Measured Data'!AF16</f>
        <v>8.9920071047957375</v>
      </c>
      <c r="N11">
        <f>'Measured Data'!AA16</f>
        <v>3.5910000000000002</v>
      </c>
      <c r="O11">
        <f>'Measured Data'!W16</f>
        <v>0</v>
      </c>
      <c r="P11">
        <f>'Measured Data'!X16</f>
        <v>3.1579999999999999</v>
      </c>
      <c r="Q11">
        <f>'Growth Regression'!P11</f>
        <v>4.910763698539748E-3</v>
      </c>
      <c r="R11">
        <f>Q11/'Growth Regression'!$O$24</f>
        <v>0.18248651942816646</v>
      </c>
      <c r="S11">
        <f>'Post Process Calc.'!K12</f>
        <v>3.791441420650872E-2</v>
      </c>
      <c r="T11">
        <f>'Post Process Calc.'!Q12</f>
        <v>-3.5232107501196523E-3</v>
      </c>
      <c r="U11">
        <f>'Post Process Calc.'!L12</f>
        <v>-8.7606768564061542E-5</v>
      </c>
      <c r="V11">
        <f>'Post Process Calc.'!H12</f>
        <v>3.24532621318559E-3</v>
      </c>
      <c r="W11">
        <f>'Post Process Calc.'!I12</f>
        <v>6.9029737870183029E-4</v>
      </c>
      <c r="X11">
        <f>'Post Process Calc.'!AG12</f>
        <v>-9.2925364240886182E-2</v>
      </c>
      <c r="Y11">
        <f t="shared" si="2"/>
        <v>23.696508879067949</v>
      </c>
      <c r="Z11">
        <f t="shared" si="2"/>
        <v>-2.2020067188247827</v>
      </c>
      <c r="AA11">
        <f t="shared" si="0"/>
        <v>-5.4754230352538465E-2</v>
      </c>
      <c r="AB11">
        <f t="shared" si="0"/>
        <v>2.0283288832409938</v>
      </c>
      <c r="AC11">
        <f t="shared" si="0"/>
        <v>0.4314358616886439</v>
      </c>
      <c r="AD11">
        <v>100</v>
      </c>
      <c r="AE11">
        <v>0.32</v>
      </c>
      <c r="AF11">
        <v>7</v>
      </c>
      <c r="AG11">
        <v>0.7</v>
      </c>
      <c r="AH11">
        <f t="shared" si="1"/>
        <v>5.0118723362727164E-8</v>
      </c>
      <c r="AI11">
        <v>1</v>
      </c>
      <c r="AJ11">
        <v>0.311</v>
      </c>
      <c r="AK11">
        <f t="array" ref="AK11">INDEX(Transcriptome!D$2:D$28,MATCH(1,(Transcriptome!$A$2:$A$28=$B11)*(Transcriptome!$C$2:$C$28=$G11),0))</f>
        <v>0.92920540890907499</v>
      </c>
      <c r="AL11">
        <f t="array" ref="AL11">INDEX(Transcriptome!E$2:E$28,MATCH(1,(Transcriptome!$A$2:$A$28=$B11)*(Transcriptome!$C$2:$C$28=$G11),0))</f>
        <v>1.7329213892359023</v>
      </c>
      <c r="AM11">
        <f t="array" ref="AM11">INDEX(Transcriptome!F$2:F$28,MATCH(1,(Transcriptome!$A$2:$A$28=$B11)*(Transcriptome!$C$2:$C$28=$G11),0))</f>
        <v>1.248709181151141</v>
      </c>
      <c r="AN11">
        <f t="array" ref="AN11">INDEX(Transcriptome!G$2:G$28,MATCH(1,(Transcriptome!$A$2:$A$28=$B11)*(Transcriptome!$C$2:$C$28=$G11),0))</f>
        <v>0.4721791156252973</v>
      </c>
      <c r="AO11">
        <f t="array" ref="AO11">INDEX(Transcriptome!H$2:H$28,MATCH(1,(Transcriptome!$A$2:$A$28=$B11)*(Transcriptome!$C$2:$C$28=$G11),0))</f>
        <v>0</v>
      </c>
      <c r="AP11">
        <f t="array" ref="AP11">INDEX(Transcriptome!I$2:I$28,MATCH(1,(Transcriptome!$A$2:$A$28=$B11)*(Transcriptome!$C$2:$C$28=$G11),0))</f>
        <v>1.1226843694890076</v>
      </c>
      <c r="AQ11">
        <f t="array" ref="AQ11">INDEX(Transcriptome!J$2:J$28,MATCH(1,(Transcriptome!$A$2:$A$28=$B11)*(Transcriptome!$C$2:$C$28=$G11),0))</f>
        <v>1.3251398271295012</v>
      </c>
      <c r="AR11">
        <f t="array" ref="AR11">INDEX(Transcriptome!K$2:K$28,MATCH(1,(Transcriptome!$A$2:$A$28=$B11)*(Transcriptome!$C$2:$C$28=$G11),0))</f>
        <v>0.96530155174686461</v>
      </c>
      <c r="AS11">
        <f t="array" ref="AS11">INDEX(Transcriptome!L$2:L$28,MATCH(1,(Transcriptome!$A$2:$A$28=$B11)*(Transcriptome!$C$2:$C$28=$G11),0))</f>
        <v>1.2210153312207193</v>
      </c>
      <c r="AT11">
        <f t="array" ref="AT11">INDEX(Transcriptome!M$2:M$28,MATCH(1,(Transcriptome!$A$2:$A$28=$B11)*(Transcriptome!$C$2:$C$28=$G11),0))</f>
        <v>1.2244730900490455</v>
      </c>
      <c r="AU11">
        <f t="array" ref="AU11">INDEX(Transcriptome!N$2:N$28,MATCH(1,(Transcriptome!$A$2:$A$28=$B11)*(Transcriptome!$C$2:$C$28=$G11),0))</f>
        <v>0.73155313986543535</v>
      </c>
      <c r="AV11">
        <f t="array" ref="AV11">INDEX(Transcriptome!O$2:O$28,MATCH(1,(Transcriptome!$A$2:$A$28=$B11)*(Transcriptome!$C$2:$C$28=$G11),0))</f>
        <v>1.152318513561184</v>
      </c>
      <c r="AW11">
        <f t="array" ref="AW11">INDEX(Transcriptome!P$2:P$28,MATCH(1,(Transcriptome!$A$2:$A$28=$B11)*(Transcriptome!$C$2:$C$28=$G11),0))</f>
        <v>0.89618838062804274</v>
      </c>
      <c r="AX11">
        <f t="array" ref="AX11">INDEX(Transcriptome!Q$2:Q$28,MATCH(1,(Transcriptome!$A$2:$A$28=$B11)*(Transcriptome!$C$2:$C$28=$G11),0))</f>
        <v>0.65135227913388327</v>
      </c>
      <c r="AY11">
        <f t="array" ref="AY11">INDEX(Transcriptome!R$2:R$28,MATCH(1,(Transcriptome!$A$2:$A$28=$B11)*(Transcriptome!$C$2:$C$28=$G11),0))</f>
        <v>0.44670006467175033</v>
      </c>
      <c r="AZ11">
        <f t="array" ref="AZ11">INDEX(Transcriptome!S$2:S$28,MATCH(1,(Transcriptome!$A$2:$A$28=$B11)*(Transcriptome!$C$2:$C$28=$G11),0))</f>
        <v>0.54170910506007386</v>
      </c>
      <c r="BA11">
        <f t="array" ref="BA11">INDEX(Transcriptome!T$2:T$28,MATCH(1,(Transcriptome!$A$2:$A$28=$B11)*(Transcriptome!$C$2:$C$28=$G11),0))</f>
        <v>1.1524538892853755</v>
      </c>
      <c r="BB11">
        <f t="array" ref="BB11">INDEX(Transcriptome!U$2:U$28,MATCH(1,(Transcriptome!$A$2:$A$28=$B11)*(Transcriptome!$C$2:$C$28=$G11),0))</f>
        <v>3.717777936487666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0.76557540655216338</v>
      </c>
      <c r="BF11">
        <f t="array" ref="BF11">INDEX(Transcriptome!Y$2:Y$28,MATCH(1,(Transcriptome!$A$2:$A$28=$B11)*(Transcriptome!$C$2:$C$28=$G11),0))</f>
        <v>0</v>
      </c>
      <c r="BG11">
        <f t="array" ref="BG11">INDEX(Transcriptome!Z$2:Z$28,MATCH(1,(Transcriptome!$A$2:$A$28=$B11)*(Transcriptome!$C$2:$C$28=$G11),0))</f>
        <v>1.2179664020132115</v>
      </c>
      <c r="BH11">
        <f t="array" ref="BH11">INDEX(Transcriptome!AA$2:AA$28,MATCH(1,(Transcriptome!$A$2:$A$28=$B11)*(Transcriptome!$C$2:$C$28=$G11),0))</f>
        <v>1.4585553096187835</v>
      </c>
      <c r="BI11">
        <f t="array" ref="BI11">INDEX(Transcriptome!AB$2:AB$28,MATCH(1,(Transcriptome!$A$2:$A$28=$B11)*(Transcriptome!$C$2:$C$28=$G11),0))</f>
        <v>0.49899248340048019</v>
      </c>
      <c r="BJ11">
        <f t="array" ref="BJ11">INDEX(Transcriptome!AC$2:AC$28,MATCH(1,(Transcriptome!$A$2:$A$28=$B11)*(Transcriptome!$C$2:$C$28=$G11),0))</f>
        <v>1.0380961603134766</v>
      </c>
      <c r="BK11">
        <f t="array" ref="BK11">INDEX(Transcriptome!AD$2:AD$28,MATCH(1,(Transcriptome!$A$2:$A$28=$B11)*(Transcriptome!$C$2:$C$28=$G11),0))</f>
        <v>0.8468321289341687</v>
      </c>
      <c r="BL11">
        <f t="array" ref="BL11">INDEX(Transcriptome!AE$2:AE$28,MATCH(1,(Transcriptome!$A$2:$A$28=$B11)*(Transcriptome!$C$2:$C$28=$G11),0))</f>
        <v>1.3366947398587019</v>
      </c>
      <c r="BM11">
        <f t="array" ref="BM11">INDEX(Transcriptome!AF$2:AF$28,MATCH(1,(Transcriptome!$A$2:$A$28=$B11)*(Transcriptome!$C$2:$C$28=$G11),0))</f>
        <v>0.50618842957342058</v>
      </c>
      <c r="BN11">
        <f t="array" ref="BN11">INDEX(Transcriptome!AG$2:AG$28,MATCH(1,(Transcriptome!$A$2:$A$28=$B11)*(Transcriptome!$C$2:$C$28=$G11),0))</f>
        <v>0.66736997584655977</v>
      </c>
      <c r="BO11">
        <f t="array" ref="BO11">INDEX(Transcriptome!AH$2:AH$28,MATCH(1,(Transcriptome!$A$2:$A$28=$B11)*(Transcriptome!$C$2:$C$28=$G11),0))</f>
        <v>1.9306174267998168</v>
      </c>
      <c r="BP11">
        <f t="array" ref="BP11">INDEX(Transcriptome!AI$2:AI$28,MATCH(1,(Transcriptome!$A$2:$A$28=$B11)*(Transcriptome!$C$2:$C$28=$G11),0))</f>
        <v>0.77468008259435317</v>
      </c>
      <c r="BQ11">
        <f t="array" ref="BQ11">INDEX(Transcriptome!AJ$2:AJ$28,MATCH(1,(Transcriptome!$A$2:$A$28=$B11)*(Transcriptome!$C$2:$C$28=$G11),0))</f>
        <v>1.0628605890830978</v>
      </c>
      <c r="BR11">
        <f t="array" ref="BR11">INDEX(Transcriptome!AK$2:AK$28,MATCH(1,(Transcriptome!$A$2:$A$28=$B11)*(Transcriptome!$C$2:$C$28=$G11),0))</f>
        <v>0.55212849473227277</v>
      </c>
      <c r="BS11">
        <f t="array" ref="BS11">INDEX(Transcriptome!AL$2:AL$28,MATCH(1,(Transcriptome!$A$2:$A$28=$B11)*(Transcriptome!$C$2:$C$28=$G11),0))</f>
        <v>1</v>
      </c>
      <c r="BT11">
        <f t="array" ref="BT11">INDEX(Transcriptome!AM$2:AM$28,MATCH(1,(Transcriptome!$A$2:$A$28=$B11)*(Transcriptome!$C$2:$C$28=$G11),0))</f>
        <v>0.66472755238098791</v>
      </c>
      <c r="BU11">
        <f t="array" ref="BU11">INDEX(Transcriptome!AN$2:AN$28,MATCH(1,(Transcriptome!$A$2:$A$28=$B11)*(Transcriptome!$C$2:$C$28=$G11),0))</f>
        <v>1.0010669451153449</v>
      </c>
      <c r="BV11">
        <f t="array" ref="BV11">INDEX(Transcriptome!AO$2:AO$28,MATCH(1,(Transcriptome!$A$2:$A$28=$B11)*(Transcriptome!$C$2:$C$28=$G11),0))</f>
        <v>0.99858945685943101</v>
      </c>
      <c r="BW11">
        <f t="array" ref="BW11">INDEX(Transcriptome!AP$2:AP$28,MATCH(1,(Transcriptome!$A$2:$A$28=$B11)*(Transcriptome!$C$2:$C$28=$G11),0))</f>
        <v>1.1339345806169323</v>
      </c>
      <c r="BX11">
        <f t="array" ref="BX11">INDEX(Transcriptome!AQ$2:AQ$28,MATCH(1,(Transcriptome!$A$2:$A$28=$B11)*(Transcriptome!$C$2:$C$28=$G11),0))</f>
        <v>1.6048583301573733</v>
      </c>
      <c r="BY11">
        <f t="array" ref="BY11">INDEX(Transcriptome!AR$2:AR$28,MATCH(1,(Transcriptome!$A$2:$A$28=$B11)*(Transcriptome!$C$2:$C$28=$G11),0))</f>
        <v>0.83750658657958177</v>
      </c>
      <c r="BZ11">
        <f t="array" ref="BZ11">INDEX(Transcriptome!AS$2:AS$28,MATCH(1,(Transcriptome!$A$2:$A$28=$B11)*(Transcriptome!$C$2:$C$28=$G11),0))</f>
        <v>0.95672606842320829</v>
      </c>
      <c r="CA11">
        <f t="array" ref="CA11">INDEX(Transcriptome!AT$2:AT$28,MATCH(1,(Transcriptome!$A$2:$A$28=$B11)*(Transcriptome!$C$2:$C$28=$G11),0))</f>
        <v>0.68800520797646092</v>
      </c>
      <c r="CB11">
        <f t="array" ref="CB11">INDEX(Transcriptome!AU$2:AU$28,MATCH(1,(Transcriptome!$A$2:$A$28=$B11)*(Transcriptome!$C$2:$C$28=$G11),0))</f>
        <v>1.6867561981283563</v>
      </c>
      <c r="CC11">
        <f t="array" ref="CC11">INDEX(Transcriptome!AV$2:AV$28,MATCH(1,(Transcriptome!$A$2:$A$28=$B11)*(Transcriptome!$C$2:$C$28=$G11),0))</f>
        <v>0.72245781173202261</v>
      </c>
      <c r="CD11">
        <f t="array" ref="CD11">INDEX(Transcriptome!AW$2:AW$28,MATCH(1,(Transcriptome!$A$2:$A$28=$B11)*(Transcriptome!$C$2:$C$28=$G11),0))</f>
        <v>0.97913290067472636</v>
      </c>
      <c r="CE11">
        <f t="array" ref="CE11">INDEX(Transcriptome!AX$2:AX$28,MATCH(1,(Transcriptome!$A$2:$A$28=$B11)*(Transcriptome!$C$2:$C$28=$G11),0))</f>
        <v>0.91722492630928665</v>
      </c>
      <c r="CF11">
        <f t="array" ref="CF11">INDEX(Transcriptome!AY$2:AY$28,MATCH(1,(Transcriptome!$A$2:$A$28=$B11)*(Transcriptome!$C$2:$C$28=$G11),0))</f>
        <v>1.1415999188887762</v>
      </c>
      <c r="CG11">
        <f t="array" ref="CG11">INDEX(Transcriptome!AZ$2:AZ$28,MATCH(1,(Transcriptome!$A$2:$A$28=$B11)*(Transcriptome!$C$2:$C$28=$G11),0))</f>
        <v>0.54738994790393225</v>
      </c>
      <c r="CH11">
        <f t="array" ref="CH11">INDEX(Transcriptome!BA$2:BA$28,MATCH(1,(Transcriptome!$A$2:$A$28=$B11)*(Transcriptome!$C$2:$C$28=$G11),0))</f>
        <v>2.2110972178245372</v>
      </c>
      <c r="CI11">
        <f t="array" ref="CI11">INDEX(Transcriptome!BB$2:BB$28,MATCH(1,(Transcriptome!$A$2:$A$28=$B11)*(Transcriptome!$C$2:$C$28=$G11),0))</f>
        <v>2.0052625729406564</v>
      </c>
      <c r="CJ11">
        <f t="array" ref="CJ11">INDEX(Transcriptome!BC$2:BC$28,MATCH(1,(Transcriptome!$A$2:$A$28=$B11)*(Transcriptome!$C$2:$C$28=$G11),0))</f>
        <v>0</v>
      </c>
      <c r="CK11">
        <f t="array" ref="CK11">INDEX(Transcriptome!BD$2:BD$28,MATCH(1,(Transcriptome!$A$2:$A$28=$B11)*(Transcriptome!$C$2:$C$28=$G11),0))</f>
        <v>0.99946907963844456</v>
      </c>
      <c r="CL11">
        <f t="array" ref="CL11">INDEX(Transcriptome!BE$2:BE$28,MATCH(1,(Transcriptome!$A$2:$A$28=$B11)*(Transcriptome!$C$2:$C$28=$G11),0))</f>
        <v>1.4078816127558538</v>
      </c>
      <c r="CM11">
        <f t="array" ref="CM11">INDEX(Transcriptome!BF$2:BF$28,MATCH(1,(Transcriptome!$A$2:$A$28=$B11)*(Transcriptome!$C$2:$C$28=$G11),0))</f>
        <v>1.4576608642231981</v>
      </c>
      <c r="CN11">
        <f t="array" ref="CN11">INDEX(Transcriptome!BG$2:BG$28,MATCH(1,(Transcriptome!$A$2:$A$28=$B11)*(Transcriptome!$C$2:$C$28=$G11),0))</f>
        <v>2.9900144760241787</v>
      </c>
      <c r="CO11">
        <f t="array" ref="CO11">INDEX(Transcriptome!BH$2:BH$28,MATCH(1,(Transcriptome!$A$2:$A$28=$B11)*(Transcriptome!$C$2:$C$28=$G11),0))</f>
        <v>0.56887953529706936</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4.080540530339805</v>
      </c>
      <c r="CS11">
        <f t="array" ref="CS11">INDEX(Transcriptome!BL$2:BL$28,MATCH(1,(Transcriptome!$A$2:$A$28=$B11)*(Transcriptome!$C$2:$C$28=$G11),0))</f>
        <v>2.731716075055703</v>
      </c>
      <c r="CT11">
        <f t="array" ref="CT11">INDEX(Transcriptome!BM$2:BM$28,MATCH(1,(Transcriptome!$A$2:$A$28=$B11)*(Transcriptome!$C$2:$C$28=$G11),0))</f>
        <v>1.1493512451322954</v>
      </c>
      <c r="CU11">
        <f t="array" ref="CU11">INDEX(Transcriptome!BN$2:BN$28,MATCH(1,(Transcriptome!$A$2:$A$28=$B11)*(Transcriptome!$C$2:$C$28=$G11),0))</f>
        <v>44.734751324798466</v>
      </c>
      <c r="CV11">
        <f t="array" ref="CV11">INDEX(Transcriptome!BO$2:BO$28,MATCH(1,(Transcriptome!$A$2:$A$28=$B11)*(Transcriptome!$C$2:$C$28=$G11),0))</f>
        <v>0.88062279532718779</v>
      </c>
      <c r="CW11">
        <f t="array" ref="CW11">INDEX(Transcriptome!BP$2:BP$28,MATCH(1,(Transcriptome!$A$2:$A$28=$B11)*(Transcriptome!$C$2:$C$28=$G11),0))</f>
        <v>0.56887953529706936</v>
      </c>
      <c r="CX11">
        <f t="array" ref="CX11">INDEX(Transcriptome!BQ$2:BQ$28,MATCH(1,(Transcriptome!$A$2:$A$28=$B11)*(Transcriptome!$C$2:$C$28=$G11),0))</f>
        <v>1</v>
      </c>
      <c r="CY11">
        <f t="array" ref="CY11">INDEX(Transcriptome!BR$2:BR$28,MATCH(1,(Transcriptome!$A$2:$A$28=$B11)*(Transcriptome!$C$2:$C$28=$G11),0))</f>
        <v>1.5039495013074526</v>
      </c>
    </row>
    <row r="12" spans="1:103">
      <c r="A12">
        <f>'Measured Data'!A17</f>
        <v>10</v>
      </c>
      <c r="B12" t="s">
        <v>586</v>
      </c>
      <c r="C12" s="324" t="s">
        <v>588</v>
      </c>
      <c r="D12">
        <v>1</v>
      </c>
      <c r="E12">
        <f>'Measured Data'!H17</f>
        <v>16.470799310302734</v>
      </c>
      <c r="F12" s="477">
        <f>'Measured Data'!K17</f>
        <v>98.199798583984375</v>
      </c>
      <c r="G12" t="s">
        <v>514</v>
      </c>
      <c r="H12" s="321">
        <f>'Measured Data'!B17</f>
        <v>9.9208333333372138</v>
      </c>
      <c r="I12" s="322">
        <f>'Measured Data'!C17</f>
        <v>238.10000000009313</v>
      </c>
      <c r="J12">
        <f>'In Process Calc.'!B13</f>
        <v>9.9208333333372138</v>
      </c>
      <c r="K12">
        <f>'In Process Calc.'!C13</f>
        <v>238.10000000009313</v>
      </c>
      <c r="L12">
        <f>'Measured Data'!Z17</f>
        <v>5.4952374608672478</v>
      </c>
      <c r="M12">
        <f>'Measured Data'!AF17</f>
        <v>7.3268206039076382</v>
      </c>
      <c r="N12">
        <f>'Measured Data'!AA17</f>
        <v>3.4980000000000002</v>
      </c>
      <c r="O12">
        <f>'Measured Data'!W17</f>
        <v>0</v>
      </c>
      <c r="P12">
        <f>'Measured Data'!X17</f>
        <v>2.6589999999999998</v>
      </c>
      <c r="Q12">
        <f>'Growth Regression'!P12</f>
        <v>2.7441330068173207E-3</v>
      </c>
      <c r="R12">
        <f>Q12/'Growth Regression'!$O$24</f>
        <v>0.10197340210259938</v>
      </c>
      <c r="S12">
        <f>'Post Process Calc.'!K13</f>
        <v>3.9523240928229945E-2</v>
      </c>
      <c r="T12">
        <f>'Post Process Calc.'!Q13</f>
        <v>-5.8502441791246553E-3</v>
      </c>
      <c r="U12">
        <f>'Post Process Calc.'!L13</f>
        <v>8.5858801908902797E-4</v>
      </c>
      <c r="V12">
        <f>'Post Process Calc.'!H13</f>
        <v>2.8595167128545669E-3</v>
      </c>
      <c r="W12">
        <f>'Post Process Calc.'!I13</f>
        <v>1.2484241344287452E-3</v>
      </c>
      <c r="X12">
        <f>'Post Process Calc.'!AG13</f>
        <v>-0.14802035566233257</v>
      </c>
      <c r="Y12">
        <f t="shared" si="2"/>
        <v>24.702025580143715</v>
      </c>
      <c r="Z12">
        <f t="shared" si="2"/>
        <v>-3.6564026119529096</v>
      </c>
      <c r="AA12">
        <f t="shared" si="0"/>
        <v>0.53661751193064244</v>
      </c>
      <c r="AB12">
        <f t="shared" si="0"/>
        <v>1.7871979455341043</v>
      </c>
      <c r="AC12">
        <f t="shared" si="0"/>
        <v>0.78026508401796568</v>
      </c>
      <c r="AD12">
        <v>100</v>
      </c>
      <c r="AE12">
        <v>0.32</v>
      </c>
      <c r="AF12">
        <v>7</v>
      </c>
      <c r="AG12">
        <v>0.7</v>
      </c>
      <c r="AH12">
        <f t="shared" si="1"/>
        <v>5.0118723362727164E-8</v>
      </c>
      <c r="AI12">
        <v>1</v>
      </c>
      <c r="AJ12">
        <v>0.311</v>
      </c>
      <c r="AK12">
        <f t="array" ref="AK12">INDEX(Transcriptome!D$2:D$28,MATCH(1,(Transcriptome!$A$2:$A$28=$B12)*(Transcriptome!$C$2:$C$28=$G12),0))</f>
        <v>0.80405817319109352</v>
      </c>
      <c r="AL12">
        <f t="array" ref="AL12">INDEX(Transcriptome!E$2:E$28,MATCH(1,(Transcriptome!$A$2:$A$28=$B12)*(Transcriptome!$C$2:$C$28=$G12),0))</f>
        <v>1.4298002071539264</v>
      </c>
      <c r="AM12">
        <f t="array" ref="AM12">INDEX(Transcriptome!F$2:F$28,MATCH(1,(Transcriptome!$A$2:$A$28=$B12)*(Transcriptome!$C$2:$C$28=$G12),0))</f>
        <v>1.0670774563510854</v>
      </c>
      <c r="AN12">
        <f t="array" ref="AN12">INDEX(Transcriptome!G$2:G$28,MATCH(1,(Transcriptome!$A$2:$A$28=$B12)*(Transcriptome!$C$2:$C$28=$G12),0))</f>
        <v>1.0781450807881872</v>
      </c>
      <c r="AO12">
        <f t="array" ref="AO12">INDEX(Transcriptome!H$2:H$28,MATCH(1,(Transcriptome!$A$2:$A$28=$B12)*(Transcriptome!$C$2:$C$28=$G12),0))</f>
        <v>0</v>
      </c>
      <c r="AP12">
        <f t="array" ref="AP12">INDEX(Transcriptome!I$2:I$28,MATCH(1,(Transcriptome!$A$2:$A$28=$B12)*(Transcriptome!$C$2:$C$28=$G12),0))</f>
        <v>0.96817721241980881</v>
      </c>
      <c r="AQ12">
        <f t="array" ref="AQ12">INDEX(Transcriptome!J$2:J$28,MATCH(1,(Transcriptome!$A$2:$A$28=$B12)*(Transcriptome!$C$2:$C$28=$G12),0))</f>
        <v>1.1419941878058468</v>
      </c>
      <c r="AR12">
        <f t="array" ref="AR12">INDEX(Transcriptome!K$2:K$28,MATCH(1,(Transcriptome!$A$2:$A$28=$B12)*(Transcriptome!$C$2:$C$28=$G12),0))</f>
        <v>0.80519947219679278</v>
      </c>
      <c r="AS12">
        <f t="array" ref="AS12">INDEX(Transcriptome!L$2:L$28,MATCH(1,(Transcriptome!$A$2:$A$28=$B12)*(Transcriptome!$C$2:$C$28=$G12),0))</f>
        <v>0.94825319986319523</v>
      </c>
      <c r="AT12">
        <f t="array" ref="AT12">INDEX(Transcriptome!M$2:M$28,MATCH(1,(Transcriptome!$A$2:$A$28=$B12)*(Transcriptome!$C$2:$C$28=$G12),0))</f>
        <v>0.89840163701205955</v>
      </c>
      <c r="AU12">
        <f t="array" ref="AU12">INDEX(Transcriptome!N$2:N$28,MATCH(1,(Transcriptome!$A$2:$A$28=$B12)*(Transcriptome!$C$2:$C$28=$G12),0))</f>
        <v>0.66021886320115053</v>
      </c>
      <c r="AV12">
        <f t="array" ref="AV12">INDEX(Transcriptome!O$2:O$28,MATCH(1,(Transcriptome!$A$2:$A$28=$B12)*(Transcriptome!$C$2:$C$28=$G12),0))</f>
        <v>0.93150284359136615</v>
      </c>
      <c r="AW12">
        <f t="array" ref="AW12">INDEX(Transcriptome!P$2:P$28,MATCH(1,(Transcriptome!$A$2:$A$28=$B12)*(Transcriptome!$C$2:$C$28=$G12),0))</f>
        <v>0.77308616179216261</v>
      </c>
      <c r="AX12">
        <f t="array" ref="AX12">INDEX(Transcriptome!Q$2:Q$28,MATCH(1,(Transcriptome!$A$2:$A$28=$B12)*(Transcriptome!$C$2:$C$28=$G12),0))</f>
        <v>0.50425498290943815</v>
      </c>
      <c r="AY12">
        <f t="array" ref="AY12">INDEX(Transcriptome!R$2:R$28,MATCH(1,(Transcriptome!$A$2:$A$28=$B12)*(Transcriptome!$C$2:$C$28=$G12),0))</f>
        <v>0.37906477416228462</v>
      </c>
      <c r="AZ12">
        <f t="array" ref="AZ12">INDEX(Transcriptome!S$2:S$28,MATCH(1,(Transcriptome!$A$2:$A$28=$B12)*(Transcriptome!$C$2:$C$28=$G12),0))</f>
        <v>0.47600993683093695</v>
      </c>
      <c r="BA12">
        <f t="array" ref="BA12">INDEX(Transcriptome!T$2:T$28,MATCH(1,(Transcriptome!$A$2:$A$28=$B12)*(Transcriptome!$C$2:$C$28=$G12),0))</f>
        <v>0.97812301555614323</v>
      </c>
      <c r="BB12">
        <f t="array" ref="BB12">INDEX(Transcriptome!U$2:U$28,MATCH(1,(Transcriptome!$A$2:$A$28=$B12)*(Transcriptome!$C$2:$C$28=$G12),0))</f>
        <v>3.5655604776642109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0.60505302891513024</v>
      </c>
      <c r="BF12">
        <f t="array" ref="BF12">INDEX(Transcriptome!Y$2:Y$28,MATCH(1,(Transcriptome!$A$2:$A$28=$B12)*(Transcriptome!$C$2:$C$28=$G12),0))</f>
        <v>0</v>
      </c>
      <c r="BG12">
        <f t="array" ref="BG12">INDEX(Transcriptome!Z$2:Z$28,MATCH(1,(Transcriptome!$A$2:$A$28=$B12)*(Transcriptome!$C$2:$C$28=$G12),0))</f>
        <v>0.91458665240641712</v>
      </c>
      <c r="BH12">
        <f t="array" ref="BH12">INDEX(Transcriptome!AA$2:AA$28,MATCH(1,(Transcriptome!$A$2:$A$28=$B12)*(Transcriptome!$C$2:$C$28=$G12),0))</f>
        <v>1.1828097150558938</v>
      </c>
      <c r="BI12">
        <f t="array" ref="BI12">INDEX(Transcriptome!AB$2:AB$28,MATCH(1,(Transcriptome!$A$2:$A$28=$B12)*(Transcriptome!$C$2:$C$28=$G12),0))</f>
        <v>0.39742902714099099</v>
      </c>
      <c r="BJ12">
        <f t="array" ref="BJ12">INDEX(Transcriptome!AC$2:AC$28,MATCH(1,(Transcriptome!$A$2:$A$28=$B12)*(Transcriptome!$C$2:$C$28=$G12),0))</f>
        <v>0.88287815493621413</v>
      </c>
      <c r="BK12">
        <f t="array" ref="BK12">INDEX(Transcriptome!AD$2:AD$28,MATCH(1,(Transcriptome!$A$2:$A$28=$B12)*(Transcriptome!$C$2:$C$28=$G12),0))</f>
        <v>0.68110348686631206</v>
      </c>
      <c r="BL12">
        <f t="array" ref="BL12">INDEX(Transcriptome!AE$2:AE$28,MATCH(1,(Transcriptome!$A$2:$A$28=$B12)*(Transcriptome!$C$2:$C$28=$G12),0))</f>
        <v>1.1804974792973464</v>
      </c>
      <c r="BM12">
        <f t="array" ref="BM12">INDEX(Transcriptome!AF$2:AF$28,MATCH(1,(Transcriptome!$A$2:$A$28=$B12)*(Transcriptome!$C$2:$C$28=$G12),0))</f>
        <v>0.41354036163430702</v>
      </c>
      <c r="BN12">
        <f t="array" ref="BN12">INDEX(Transcriptome!AG$2:AG$28,MATCH(1,(Transcriptome!$A$2:$A$28=$B12)*(Transcriptome!$C$2:$C$28=$G12),0))</f>
        <v>0.47954980313717949</v>
      </c>
      <c r="BO12">
        <f t="array" ref="BO12">INDEX(Transcriptome!AH$2:AH$28,MATCH(1,(Transcriptome!$A$2:$A$28=$B12)*(Transcriptome!$C$2:$C$28=$G12),0))</f>
        <v>1.4712509003322132</v>
      </c>
      <c r="BP12">
        <f t="array" ref="BP12">INDEX(Transcriptome!AI$2:AI$28,MATCH(1,(Transcriptome!$A$2:$A$28=$B12)*(Transcriptome!$C$2:$C$28=$G12),0))</f>
        <v>0.61348296884797748</v>
      </c>
      <c r="BQ12">
        <f t="array" ref="BQ12">INDEX(Transcriptome!AJ$2:AJ$28,MATCH(1,(Transcriptome!$A$2:$A$28=$B12)*(Transcriptome!$C$2:$C$28=$G12),0))</f>
        <v>0.87690372243192172</v>
      </c>
      <c r="BR12">
        <f t="array" ref="BR12">INDEX(Transcriptome!AK$2:AK$28,MATCH(1,(Transcriptome!$A$2:$A$28=$B12)*(Transcriptome!$C$2:$C$28=$G12),0))</f>
        <v>0.46290432007199001</v>
      </c>
      <c r="BS12">
        <f t="array" ref="BS12">INDEX(Transcriptome!AL$2:AL$28,MATCH(1,(Transcriptome!$A$2:$A$28=$B12)*(Transcriptome!$C$2:$C$28=$G12),0))</f>
        <v>1</v>
      </c>
      <c r="BT12">
        <f t="array" ref="BT12">INDEX(Transcriptome!AM$2:AM$28,MATCH(1,(Transcriptome!$A$2:$A$28=$B12)*(Transcriptome!$C$2:$C$28=$G12),0))</f>
        <v>0.47060026111851089</v>
      </c>
      <c r="BU12">
        <f t="array" ref="BU12">INDEX(Transcriptome!AN$2:AN$28,MATCH(1,(Transcriptome!$A$2:$A$28=$B12)*(Transcriptome!$C$2:$C$28=$G12),0))</f>
        <v>0.81490174493105216</v>
      </c>
      <c r="BV12">
        <f t="array" ref="BV12">INDEX(Transcriptome!AO$2:AO$28,MATCH(1,(Transcriptome!$A$2:$A$28=$B12)*(Transcriptome!$C$2:$C$28=$G12),0))</f>
        <v>0.84347055456963871</v>
      </c>
      <c r="BW12">
        <f t="array" ref="BW12">INDEX(Transcriptome!AP$2:AP$28,MATCH(1,(Transcriptome!$A$2:$A$28=$B12)*(Transcriptome!$C$2:$C$28=$G12),0))</f>
        <v>0.94157586893589507</v>
      </c>
      <c r="BX12">
        <f t="array" ref="BX12">INDEX(Transcriptome!AQ$2:AQ$28,MATCH(1,(Transcriptome!$A$2:$A$28=$B12)*(Transcriptome!$C$2:$C$28=$G12),0))</f>
        <v>1.3941488677060316</v>
      </c>
      <c r="BY12">
        <f t="array" ref="BY12">INDEX(Transcriptome!AR$2:AR$28,MATCH(1,(Transcriptome!$A$2:$A$28=$B12)*(Transcriptome!$C$2:$C$28=$G12),0))</f>
        <v>0.65105549195123524</v>
      </c>
      <c r="BZ12">
        <f t="array" ref="BZ12">INDEX(Transcriptome!AS$2:AS$28,MATCH(1,(Transcriptome!$A$2:$A$28=$B12)*(Transcriptome!$C$2:$C$28=$G12),0))</f>
        <v>0.74865097843497297</v>
      </c>
      <c r="CA12">
        <f t="array" ref="CA12">INDEX(Transcriptome!AT$2:AT$28,MATCH(1,(Transcriptome!$A$2:$A$28=$B12)*(Transcriptome!$C$2:$C$28=$G12),0))</f>
        <v>0.57519358588280989</v>
      </c>
      <c r="CB12">
        <f t="array" ref="CB12">INDEX(Transcriptome!AU$2:AU$28,MATCH(1,(Transcriptome!$A$2:$A$28=$B12)*(Transcriptome!$C$2:$C$28=$G12),0))</f>
        <v>1.3600560267668953</v>
      </c>
      <c r="CC12">
        <f t="array" ref="CC12">INDEX(Transcriptome!AV$2:AV$28,MATCH(1,(Transcriptome!$A$2:$A$28=$B12)*(Transcriptome!$C$2:$C$28=$G12),0))</f>
        <v>0.63065751621815513</v>
      </c>
      <c r="CD12">
        <f t="array" ref="CD12">INDEX(Transcriptome!AW$2:AW$28,MATCH(1,(Transcriptome!$A$2:$A$28=$B12)*(Transcriptome!$C$2:$C$28=$G12),0))</f>
        <v>0.78705678834872239</v>
      </c>
      <c r="CE12">
        <f t="array" ref="CE12">INDEX(Transcriptome!AX$2:AX$28,MATCH(1,(Transcriptome!$A$2:$A$28=$B12)*(Transcriptome!$C$2:$C$28=$G12),0))</f>
        <v>0.69164128672141545</v>
      </c>
      <c r="CF12">
        <f t="array" ref="CF12">INDEX(Transcriptome!AY$2:AY$28,MATCH(1,(Transcriptome!$A$2:$A$28=$B12)*(Transcriptome!$C$2:$C$28=$G12),0))</f>
        <v>0.99089806815963755</v>
      </c>
      <c r="CG12">
        <f t="array" ref="CG12">INDEX(Transcriptome!AZ$2:AZ$28,MATCH(1,(Transcriptome!$A$2:$A$28=$B12)*(Transcriptome!$C$2:$C$28=$G12),0))</f>
        <v>0.45310281880283021</v>
      </c>
      <c r="CH12">
        <f t="array" ref="CH12">INDEX(Transcriptome!BA$2:BA$28,MATCH(1,(Transcriptome!$A$2:$A$28=$B12)*(Transcriptome!$C$2:$C$28=$G12),0))</f>
        <v>1.5134916222954586</v>
      </c>
      <c r="CI12">
        <f t="array" ref="CI12">INDEX(Transcriptome!BB$2:BB$28,MATCH(1,(Transcriptome!$A$2:$A$28=$B12)*(Transcriptome!$C$2:$C$28=$G12),0))</f>
        <v>1.6719635554907832</v>
      </c>
      <c r="CJ12">
        <f t="array" ref="CJ12">INDEX(Transcriptome!BC$2:BC$28,MATCH(1,(Transcriptome!$A$2:$A$28=$B12)*(Transcriptome!$C$2:$C$28=$G12),0))</f>
        <v>0</v>
      </c>
      <c r="CK12">
        <f t="array" ref="CK12">INDEX(Transcriptome!BD$2:BD$28,MATCH(1,(Transcriptome!$A$2:$A$28=$B12)*(Transcriptome!$C$2:$C$28=$G12),0))</f>
        <v>0.84632079917465686</v>
      </c>
      <c r="CL12">
        <f t="array" ref="CL12">INDEX(Transcriptome!BE$2:BE$28,MATCH(1,(Transcriptome!$A$2:$A$28=$B12)*(Transcriptome!$C$2:$C$28=$G12),0))</f>
        <v>1.1369151512835534</v>
      </c>
      <c r="CM12">
        <f t="array" ref="CM12">INDEX(Transcriptome!BF$2:BF$28,MATCH(1,(Transcriptome!$A$2:$A$28=$B12)*(Transcriptome!$C$2:$C$28=$G12),0))</f>
        <v>1.3015890144199895</v>
      </c>
      <c r="CN12">
        <f t="array" ref="CN12">INDEX(Transcriptome!BG$2:BG$28,MATCH(1,(Transcriptome!$A$2:$A$28=$B12)*(Transcriptome!$C$2:$C$28=$G12),0))</f>
        <v>2.4160142270418321</v>
      </c>
      <c r="CO12">
        <f t="array" ref="CO12">INDEX(Transcriptome!BH$2:BH$28,MATCH(1,(Transcriptome!$A$2:$A$28=$B12)*(Transcriptome!$C$2:$C$28=$G12),0))</f>
        <v>0.46651821183567305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3.9186431888175837</v>
      </c>
      <c r="CS12">
        <f t="array" ref="CS12">INDEX(Transcriptome!BL$2:BL$28,MATCH(1,(Transcriptome!$A$2:$A$28=$B12)*(Transcriptome!$C$2:$C$28=$G12),0))</f>
        <v>2.1859284806526076</v>
      </c>
      <c r="CT12">
        <f t="array" ref="CT12">INDEX(Transcriptome!BM$2:BM$28,MATCH(1,(Transcriptome!$A$2:$A$28=$B12)*(Transcriptome!$C$2:$C$28=$G12),0))</f>
        <v>0.82694614561725766</v>
      </c>
      <c r="CU12">
        <f t="array" ref="CU12">INDEX(Transcriptome!BN$2:BN$28,MATCH(1,(Transcriptome!$A$2:$A$28=$B12)*(Transcriptome!$C$2:$C$28=$G12),0))</f>
        <v>34.197717837116315</v>
      </c>
      <c r="CV12">
        <f t="array" ref="CV12">INDEX(Transcriptome!BO$2:BO$28,MATCH(1,(Transcriptome!$A$2:$A$28=$B12)*(Transcriptome!$C$2:$C$28=$G12),0))</f>
        <v>0.93477609147985707</v>
      </c>
      <c r="CW12">
        <f t="array" ref="CW12">INDEX(Transcriptome!BP$2:BP$28,MATCH(1,(Transcriptome!$A$2:$A$28=$B12)*(Transcriptome!$C$2:$C$28=$G12),0))</f>
        <v>0.46651821183567305</v>
      </c>
      <c r="CX12">
        <f t="array" ref="CX12">INDEX(Transcriptome!BQ$2:BQ$28,MATCH(1,(Transcriptome!$A$2:$A$28=$B12)*(Transcriptome!$C$2:$C$28=$G12),0))</f>
        <v>1</v>
      </c>
      <c r="CY12">
        <f t="array" ref="CY12">INDEX(Transcriptome!BR$2:BR$28,MATCH(1,(Transcriptome!$A$2:$A$28=$B12)*(Transcriptome!$C$2:$C$28=$G12),0))</f>
        <v>1.6237859342813912</v>
      </c>
    </row>
    <row r="13" spans="1:103">
      <c r="A13">
        <f>'Measured Data'!A18</f>
        <v>11</v>
      </c>
      <c r="B13" t="s">
        <v>586</v>
      </c>
      <c r="C13" s="324" t="s">
        <v>588</v>
      </c>
      <c r="D13">
        <v>1</v>
      </c>
      <c r="E13">
        <f>'Measured Data'!H18</f>
        <v>15.796199662780761</v>
      </c>
      <c r="F13" s="477">
        <f>'Measured Data'!K18</f>
        <v>97.856796264648438</v>
      </c>
      <c r="G13" t="s">
        <v>514</v>
      </c>
      <c r="H13" s="321">
        <f>'Measured Data'!B18</f>
        <v>10.90625</v>
      </c>
      <c r="I13" s="322">
        <f>'Measured Data'!C18</f>
        <v>261.75</v>
      </c>
      <c r="J13">
        <f>'In Process Calc.'!B14</f>
        <v>10.90625</v>
      </c>
      <c r="K13">
        <f>'In Process Calc.'!C14</f>
        <v>261.75</v>
      </c>
      <c r="L13">
        <f>'Measured Data'!Z18</f>
        <v>7.0494460356579856</v>
      </c>
      <c r="M13">
        <f>'Measured Data'!AF18</f>
        <v>5.8836589698046184</v>
      </c>
      <c r="N13">
        <f>'Measured Data'!AA18</f>
        <v>2.5630000000000002</v>
      </c>
      <c r="O13">
        <f>'Measured Data'!W18</f>
        <v>6.8000000000000005E-2</v>
      </c>
      <c r="P13">
        <f>'Measured Data'!X18</f>
        <v>2.4900000000000002</v>
      </c>
      <c r="Q13">
        <f>'Growth Regression'!P13</f>
        <v>1.5253730757170826E-3</v>
      </c>
      <c r="R13">
        <f>Q13/'Growth Regression'!$O$24</f>
        <v>5.6683652585405371E-2</v>
      </c>
      <c r="S13">
        <f>'Post Process Calc.'!K14</f>
        <v>4.3179612487732548E-2</v>
      </c>
      <c r="T13">
        <f>'Post Process Calc.'!Q14</f>
        <v>-7.1231738177513285E-3</v>
      </c>
      <c r="U13">
        <f>'Post Process Calc.'!L14</f>
        <v>1.4807072490990378E-3</v>
      </c>
      <c r="V13">
        <f>'Post Process Calc.'!H14</f>
        <v>2.0517262868168973E-3</v>
      </c>
      <c r="W13">
        <f>'Post Process Calc.'!I14</f>
        <v>1.5396615856187272E-3</v>
      </c>
      <c r="X13">
        <f>'Post Process Calc.'!AG14</f>
        <v>-0.16496613580714839</v>
      </c>
      <c r="Y13">
        <f t="shared" si="2"/>
        <v>26.98725780483284</v>
      </c>
      <c r="Z13">
        <f t="shared" si="2"/>
        <v>-4.4519836360945799</v>
      </c>
      <c r="AA13">
        <f t="shared" si="0"/>
        <v>0.92544203068689856</v>
      </c>
      <c r="AB13">
        <f t="shared" si="0"/>
        <v>1.2823289292605609</v>
      </c>
      <c r="AC13">
        <f t="shared" si="0"/>
        <v>0.96228849101170444</v>
      </c>
      <c r="AD13">
        <v>100</v>
      </c>
      <c r="AE13">
        <v>0.32</v>
      </c>
      <c r="AF13">
        <v>7</v>
      </c>
      <c r="AG13">
        <v>0.7</v>
      </c>
      <c r="AH13">
        <f t="shared" si="1"/>
        <v>5.0118723362727164E-8</v>
      </c>
      <c r="AI13">
        <v>1</v>
      </c>
      <c r="AJ13">
        <v>0.311</v>
      </c>
      <c r="AK13">
        <f t="array" ref="AK13">INDEX(Transcriptome!D$2:D$28,MATCH(1,(Transcriptome!$A$2:$A$28=$B13)*(Transcriptome!$C$2:$C$28=$G13),0))</f>
        <v>0.80405817319109352</v>
      </c>
      <c r="AL13">
        <f t="array" ref="AL13">INDEX(Transcriptome!E$2:E$28,MATCH(1,(Transcriptome!$A$2:$A$28=$B13)*(Transcriptome!$C$2:$C$28=$G13),0))</f>
        <v>1.4298002071539264</v>
      </c>
      <c r="AM13">
        <f t="array" ref="AM13">INDEX(Transcriptome!F$2:F$28,MATCH(1,(Transcriptome!$A$2:$A$28=$B13)*(Transcriptome!$C$2:$C$28=$G13),0))</f>
        <v>1.0670774563510854</v>
      </c>
      <c r="AN13">
        <f t="array" ref="AN13">INDEX(Transcriptome!G$2:G$28,MATCH(1,(Transcriptome!$A$2:$A$28=$B13)*(Transcriptome!$C$2:$C$28=$G13),0))</f>
        <v>1.0781450807881872</v>
      </c>
      <c r="AO13">
        <f t="array" ref="AO13">INDEX(Transcriptome!H$2:H$28,MATCH(1,(Transcriptome!$A$2:$A$28=$B13)*(Transcriptome!$C$2:$C$28=$G13),0))</f>
        <v>0</v>
      </c>
      <c r="AP13">
        <f t="array" ref="AP13">INDEX(Transcriptome!I$2:I$28,MATCH(1,(Transcriptome!$A$2:$A$28=$B13)*(Transcriptome!$C$2:$C$28=$G13),0))</f>
        <v>0.96817721241980881</v>
      </c>
      <c r="AQ13">
        <f t="array" ref="AQ13">INDEX(Transcriptome!J$2:J$28,MATCH(1,(Transcriptome!$A$2:$A$28=$B13)*(Transcriptome!$C$2:$C$28=$G13),0))</f>
        <v>1.1419941878058468</v>
      </c>
      <c r="AR13">
        <f t="array" ref="AR13">INDEX(Transcriptome!K$2:K$28,MATCH(1,(Transcriptome!$A$2:$A$28=$B13)*(Transcriptome!$C$2:$C$28=$G13),0))</f>
        <v>0.80519947219679278</v>
      </c>
      <c r="AS13">
        <f t="array" ref="AS13">INDEX(Transcriptome!L$2:L$28,MATCH(1,(Transcriptome!$A$2:$A$28=$B13)*(Transcriptome!$C$2:$C$28=$G13),0))</f>
        <v>0.94825319986319523</v>
      </c>
      <c r="AT13">
        <f t="array" ref="AT13">INDEX(Transcriptome!M$2:M$28,MATCH(1,(Transcriptome!$A$2:$A$28=$B13)*(Transcriptome!$C$2:$C$28=$G13),0))</f>
        <v>0.89840163701205955</v>
      </c>
      <c r="AU13">
        <f t="array" ref="AU13">INDEX(Transcriptome!N$2:N$28,MATCH(1,(Transcriptome!$A$2:$A$28=$B13)*(Transcriptome!$C$2:$C$28=$G13),0))</f>
        <v>0.66021886320115053</v>
      </c>
      <c r="AV13">
        <f t="array" ref="AV13">INDEX(Transcriptome!O$2:O$28,MATCH(1,(Transcriptome!$A$2:$A$28=$B13)*(Transcriptome!$C$2:$C$28=$G13),0))</f>
        <v>0.93150284359136615</v>
      </c>
      <c r="AW13">
        <f t="array" ref="AW13">INDEX(Transcriptome!P$2:P$28,MATCH(1,(Transcriptome!$A$2:$A$28=$B13)*(Transcriptome!$C$2:$C$28=$G13),0))</f>
        <v>0.77308616179216261</v>
      </c>
      <c r="AX13">
        <f t="array" ref="AX13">INDEX(Transcriptome!Q$2:Q$28,MATCH(1,(Transcriptome!$A$2:$A$28=$B13)*(Transcriptome!$C$2:$C$28=$G13),0))</f>
        <v>0.50425498290943815</v>
      </c>
      <c r="AY13">
        <f t="array" ref="AY13">INDEX(Transcriptome!R$2:R$28,MATCH(1,(Transcriptome!$A$2:$A$28=$B13)*(Transcriptome!$C$2:$C$28=$G13),0))</f>
        <v>0.37906477416228462</v>
      </c>
      <c r="AZ13">
        <f t="array" ref="AZ13">INDEX(Transcriptome!S$2:S$28,MATCH(1,(Transcriptome!$A$2:$A$28=$B13)*(Transcriptome!$C$2:$C$28=$G13),0))</f>
        <v>0.47600993683093695</v>
      </c>
      <c r="BA13">
        <f t="array" ref="BA13">INDEX(Transcriptome!T$2:T$28,MATCH(1,(Transcriptome!$A$2:$A$28=$B13)*(Transcriptome!$C$2:$C$28=$G13),0))</f>
        <v>0.97812301555614323</v>
      </c>
      <c r="BB13">
        <f t="array" ref="BB13">INDEX(Transcriptome!U$2:U$28,MATCH(1,(Transcriptome!$A$2:$A$28=$B13)*(Transcriptome!$C$2:$C$28=$G13),0))</f>
        <v>3.5655604776642109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0.60505302891513024</v>
      </c>
      <c r="BF13">
        <f t="array" ref="BF13">INDEX(Transcriptome!Y$2:Y$28,MATCH(1,(Transcriptome!$A$2:$A$28=$B13)*(Transcriptome!$C$2:$C$28=$G13),0))</f>
        <v>0</v>
      </c>
      <c r="BG13">
        <f t="array" ref="BG13">INDEX(Transcriptome!Z$2:Z$28,MATCH(1,(Transcriptome!$A$2:$A$28=$B13)*(Transcriptome!$C$2:$C$28=$G13),0))</f>
        <v>0.91458665240641712</v>
      </c>
      <c r="BH13">
        <f t="array" ref="BH13">INDEX(Transcriptome!AA$2:AA$28,MATCH(1,(Transcriptome!$A$2:$A$28=$B13)*(Transcriptome!$C$2:$C$28=$G13),0))</f>
        <v>1.1828097150558938</v>
      </c>
      <c r="BI13">
        <f t="array" ref="BI13">INDEX(Transcriptome!AB$2:AB$28,MATCH(1,(Transcriptome!$A$2:$A$28=$B13)*(Transcriptome!$C$2:$C$28=$G13),0))</f>
        <v>0.39742902714099099</v>
      </c>
      <c r="BJ13">
        <f t="array" ref="BJ13">INDEX(Transcriptome!AC$2:AC$28,MATCH(1,(Transcriptome!$A$2:$A$28=$B13)*(Transcriptome!$C$2:$C$28=$G13),0))</f>
        <v>0.88287815493621413</v>
      </c>
      <c r="BK13">
        <f t="array" ref="BK13">INDEX(Transcriptome!AD$2:AD$28,MATCH(1,(Transcriptome!$A$2:$A$28=$B13)*(Transcriptome!$C$2:$C$28=$G13),0))</f>
        <v>0.68110348686631206</v>
      </c>
      <c r="BL13">
        <f t="array" ref="BL13">INDEX(Transcriptome!AE$2:AE$28,MATCH(1,(Transcriptome!$A$2:$A$28=$B13)*(Transcriptome!$C$2:$C$28=$G13),0))</f>
        <v>1.1804974792973464</v>
      </c>
      <c r="BM13">
        <f t="array" ref="BM13">INDEX(Transcriptome!AF$2:AF$28,MATCH(1,(Transcriptome!$A$2:$A$28=$B13)*(Transcriptome!$C$2:$C$28=$G13),0))</f>
        <v>0.41354036163430702</v>
      </c>
      <c r="BN13">
        <f t="array" ref="BN13">INDEX(Transcriptome!AG$2:AG$28,MATCH(1,(Transcriptome!$A$2:$A$28=$B13)*(Transcriptome!$C$2:$C$28=$G13),0))</f>
        <v>0.47954980313717949</v>
      </c>
      <c r="BO13">
        <f t="array" ref="BO13">INDEX(Transcriptome!AH$2:AH$28,MATCH(1,(Transcriptome!$A$2:$A$28=$B13)*(Transcriptome!$C$2:$C$28=$G13),0))</f>
        <v>1.4712509003322132</v>
      </c>
      <c r="BP13">
        <f t="array" ref="BP13">INDEX(Transcriptome!AI$2:AI$28,MATCH(1,(Transcriptome!$A$2:$A$28=$B13)*(Transcriptome!$C$2:$C$28=$G13),0))</f>
        <v>0.61348296884797748</v>
      </c>
      <c r="BQ13">
        <f t="array" ref="BQ13">INDEX(Transcriptome!AJ$2:AJ$28,MATCH(1,(Transcriptome!$A$2:$A$28=$B13)*(Transcriptome!$C$2:$C$28=$G13),0))</f>
        <v>0.87690372243192172</v>
      </c>
      <c r="BR13">
        <f t="array" ref="BR13">INDEX(Transcriptome!AK$2:AK$28,MATCH(1,(Transcriptome!$A$2:$A$28=$B13)*(Transcriptome!$C$2:$C$28=$G13),0))</f>
        <v>0.46290432007199001</v>
      </c>
      <c r="BS13">
        <f t="array" ref="BS13">INDEX(Transcriptome!AL$2:AL$28,MATCH(1,(Transcriptome!$A$2:$A$28=$B13)*(Transcriptome!$C$2:$C$28=$G13),0))</f>
        <v>1</v>
      </c>
      <c r="BT13">
        <f t="array" ref="BT13">INDEX(Transcriptome!AM$2:AM$28,MATCH(1,(Transcriptome!$A$2:$A$28=$B13)*(Transcriptome!$C$2:$C$28=$G13),0))</f>
        <v>0.47060026111851089</v>
      </c>
      <c r="BU13">
        <f t="array" ref="BU13">INDEX(Transcriptome!AN$2:AN$28,MATCH(1,(Transcriptome!$A$2:$A$28=$B13)*(Transcriptome!$C$2:$C$28=$G13),0))</f>
        <v>0.81490174493105216</v>
      </c>
      <c r="BV13">
        <f t="array" ref="BV13">INDEX(Transcriptome!AO$2:AO$28,MATCH(1,(Transcriptome!$A$2:$A$28=$B13)*(Transcriptome!$C$2:$C$28=$G13),0))</f>
        <v>0.84347055456963871</v>
      </c>
      <c r="BW13">
        <f t="array" ref="BW13">INDEX(Transcriptome!AP$2:AP$28,MATCH(1,(Transcriptome!$A$2:$A$28=$B13)*(Transcriptome!$C$2:$C$28=$G13),0))</f>
        <v>0.94157586893589507</v>
      </c>
      <c r="BX13">
        <f t="array" ref="BX13">INDEX(Transcriptome!AQ$2:AQ$28,MATCH(1,(Transcriptome!$A$2:$A$28=$B13)*(Transcriptome!$C$2:$C$28=$G13),0))</f>
        <v>1.3941488677060316</v>
      </c>
      <c r="BY13">
        <f t="array" ref="BY13">INDEX(Transcriptome!AR$2:AR$28,MATCH(1,(Transcriptome!$A$2:$A$28=$B13)*(Transcriptome!$C$2:$C$28=$G13),0))</f>
        <v>0.65105549195123524</v>
      </c>
      <c r="BZ13">
        <f t="array" ref="BZ13">INDEX(Transcriptome!AS$2:AS$28,MATCH(1,(Transcriptome!$A$2:$A$28=$B13)*(Transcriptome!$C$2:$C$28=$G13),0))</f>
        <v>0.74865097843497297</v>
      </c>
      <c r="CA13">
        <f t="array" ref="CA13">INDEX(Transcriptome!AT$2:AT$28,MATCH(1,(Transcriptome!$A$2:$A$28=$B13)*(Transcriptome!$C$2:$C$28=$G13),0))</f>
        <v>0.57519358588280989</v>
      </c>
      <c r="CB13">
        <f t="array" ref="CB13">INDEX(Transcriptome!AU$2:AU$28,MATCH(1,(Transcriptome!$A$2:$A$28=$B13)*(Transcriptome!$C$2:$C$28=$G13),0))</f>
        <v>1.3600560267668953</v>
      </c>
      <c r="CC13">
        <f t="array" ref="CC13">INDEX(Transcriptome!AV$2:AV$28,MATCH(1,(Transcriptome!$A$2:$A$28=$B13)*(Transcriptome!$C$2:$C$28=$G13),0))</f>
        <v>0.63065751621815513</v>
      </c>
      <c r="CD13">
        <f t="array" ref="CD13">INDEX(Transcriptome!AW$2:AW$28,MATCH(1,(Transcriptome!$A$2:$A$28=$B13)*(Transcriptome!$C$2:$C$28=$G13),0))</f>
        <v>0.78705678834872239</v>
      </c>
      <c r="CE13">
        <f t="array" ref="CE13">INDEX(Transcriptome!AX$2:AX$28,MATCH(1,(Transcriptome!$A$2:$A$28=$B13)*(Transcriptome!$C$2:$C$28=$G13),0))</f>
        <v>0.69164128672141545</v>
      </c>
      <c r="CF13">
        <f t="array" ref="CF13">INDEX(Transcriptome!AY$2:AY$28,MATCH(1,(Transcriptome!$A$2:$A$28=$B13)*(Transcriptome!$C$2:$C$28=$G13),0))</f>
        <v>0.99089806815963755</v>
      </c>
      <c r="CG13">
        <f t="array" ref="CG13">INDEX(Transcriptome!AZ$2:AZ$28,MATCH(1,(Transcriptome!$A$2:$A$28=$B13)*(Transcriptome!$C$2:$C$28=$G13),0))</f>
        <v>0.45310281880283021</v>
      </c>
      <c r="CH13">
        <f t="array" ref="CH13">INDEX(Transcriptome!BA$2:BA$28,MATCH(1,(Transcriptome!$A$2:$A$28=$B13)*(Transcriptome!$C$2:$C$28=$G13),0))</f>
        <v>1.5134916222954586</v>
      </c>
      <c r="CI13">
        <f t="array" ref="CI13">INDEX(Transcriptome!BB$2:BB$28,MATCH(1,(Transcriptome!$A$2:$A$28=$B13)*(Transcriptome!$C$2:$C$28=$G13),0))</f>
        <v>1.6719635554907832</v>
      </c>
      <c r="CJ13">
        <f t="array" ref="CJ13">INDEX(Transcriptome!BC$2:BC$28,MATCH(1,(Transcriptome!$A$2:$A$28=$B13)*(Transcriptome!$C$2:$C$28=$G13),0))</f>
        <v>0</v>
      </c>
      <c r="CK13">
        <f t="array" ref="CK13">INDEX(Transcriptome!BD$2:BD$28,MATCH(1,(Transcriptome!$A$2:$A$28=$B13)*(Transcriptome!$C$2:$C$28=$G13),0))</f>
        <v>0.84632079917465686</v>
      </c>
      <c r="CL13">
        <f t="array" ref="CL13">INDEX(Transcriptome!BE$2:BE$28,MATCH(1,(Transcriptome!$A$2:$A$28=$B13)*(Transcriptome!$C$2:$C$28=$G13),0))</f>
        <v>1.1369151512835534</v>
      </c>
      <c r="CM13">
        <f t="array" ref="CM13">INDEX(Transcriptome!BF$2:BF$28,MATCH(1,(Transcriptome!$A$2:$A$28=$B13)*(Transcriptome!$C$2:$C$28=$G13),0))</f>
        <v>1.3015890144199895</v>
      </c>
      <c r="CN13">
        <f t="array" ref="CN13">INDEX(Transcriptome!BG$2:BG$28,MATCH(1,(Transcriptome!$A$2:$A$28=$B13)*(Transcriptome!$C$2:$C$28=$G13),0))</f>
        <v>2.4160142270418321</v>
      </c>
      <c r="CO13">
        <f t="array" ref="CO13">INDEX(Transcriptome!BH$2:BH$28,MATCH(1,(Transcriptome!$A$2:$A$28=$B13)*(Transcriptome!$C$2:$C$28=$G13),0))</f>
        <v>0.46651821183567305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3.9186431888175837</v>
      </c>
      <c r="CS13">
        <f t="array" ref="CS13">INDEX(Transcriptome!BL$2:BL$28,MATCH(1,(Transcriptome!$A$2:$A$28=$B13)*(Transcriptome!$C$2:$C$28=$G13),0))</f>
        <v>2.1859284806526076</v>
      </c>
      <c r="CT13">
        <f t="array" ref="CT13">INDEX(Transcriptome!BM$2:BM$28,MATCH(1,(Transcriptome!$A$2:$A$28=$B13)*(Transcriptome!$C$2:$C$28=$G13),0))</f>
        <v>0.82694614561725766</v>
      </c>
      <c r="CU13">
        <f t="array" ref="CU13">INDEX(Transcriptome!BN$2:BN$28,MATCH(1,(Transcriptome!$A$2:$A$28=$B13)*(Transcriptome!$C$2:$C$28=$G13),0))</f>
        <v>34.197717837116315</v>
      </c>
      <c r="CV13">
        <f t="array" ref="CV13">INDEX(Transcriptome!BO$2:BO$28,MATCH(1,(Transcriptome!$A$2:$A$28=$B13)*(Transcriptome!$C$2:$C$28=$G13),0))</f>
        <v>0.93477609147985707</v>
      </c>
      <c r="CW13">
        <f t="array" ref="CW13">INDEX(Transcriptome!BP$2:BP$28,MATCH(1,(Transcriptome!$A$2:$A$28=$B13)*(Transcriptome!$C$2:$C$28=$G13),0))</f>
        <v>0.46651821183567305</v>
      </c>
      <c r="CX13">
        <f t="array" ref="CX13">INDEX(Transcriptome!BQ$2:BQ$28,MATCH(1,(Transcriptome!$A$2:$A$28=$B13)*(Transcriptome!$C$2:$C$28=$G13),0))</f>
        <v>1</v>
      </c>
      <c r="CY13">
        <f t="array" ref="CY13">INDEX(Transcriptome!BR$2:BR$28,MATCH(1,(Transcriptome!$A$2:$A$28=$B13)*(Transcriptome!$C$2:$C$28=$G13),0))</f>
        <v>1.6237859342813912</v>
      </c>
    </row>
    <row r="14" spans="1:103">
      <c r="A14">
        <f>'Measured Data'!A19</f>
        <v>12</v>
      </c>
      <c r="B14" t="s">
        <v>586</v>
      </c>
      <c r="C14" s="324" t="s">
        <v>588</v>
      </c>
      <c r="D14">
        <v>1</v>
      </c>
      <c r="E14">
        <f>'Measured Data'!H19</f>
        <v>16.004000527954101</v>
      </c>
      <c r="F14" s="477">
        <f>'Measured Data'!K19</f>
        <v>96.566200256347656</v>
      </c>
      <c r="G14" t="s">
        <v>514</v>
      </c>
      <c r="H14" s="321">
        <f>'Measured Data'!B19</f>
        <v>11.864583333335759</v>
      </c>
      <c r="I14" s="322">
        <f>'Measured Data'!C19</f>
        <v>284.75000000005821</v>
      </c>
      <c r="J14">
        <f>'In Process Calc.'!B15</f>
        <v>11.864583333335759</v>
      </c>
      <c r="K14">
        <f>'In Process Calc.'!C15</f>
        <v>284.75000000005821</v>
      </c>
      <c r="L14">
        <f>'Measured Data'!Z19</f>
        <v>8.6591620595483914</v>
      </c>
      <c r="M14">
        <f>'Measured Data'!AF19</f>
        <v>4.4404973357015995</v>
      </c>
      <c r="N14">
        <f>'Measured Data'!AA19</f>
        <v>2.4649999999999999</v>
      </c>
      <c r="O14">
        <f>'Measured Data'!W19</f>
        <v>6.3E-2</v>
      </c>
      <c r="P14">
        <f>'Measured Data'!X19</f>
        <v>2.056</v>
      </c>
      <c r="Q14">
        <f>'Growth Regression'!P14</f>
        <v>8.4350394953332426E-4</v>
      </c>
      <c r="R14">
        <f>Q14/'Growth Regression'!$O$24</f>
        <v>3.1345043118246513E-2</v>
      </c>
      <c r="S14">
        <f>'Post Process Calc.'!K15</f>
        <v>4.2855703956809273E-2</v>
      </c>
      <c r="T14">
        <f>'Post Process Calc.'!Q15</f>
        <v>-5.9164468412406714E-3</v>
      </c>
      <c r="U14">
        <f>'Post Process Calc.'!L15</f>
        <v>1.5029904364080862E-3</v>
      </c>
      <c r="V14">
        <f>'Post Process Calc.'!H15</f>
        <v>4.2136038626518224E-4</v>
      </c>
      <c r="W14">
        <f>'Post Process Calc.'!I15</f>
        <v>1.2920330690850638E-3</v>
      </c>
      <c r="X14">
        <f>'Post Process Calc.'!AG15</f>
        <v>-0.13805506140334015</v>
      </c>
      <c r="Y14">
        <f t="shared" si="2"/>
        <v>26.784814973005794</v>
      </c>
      <c r="Z14">
        <f t="shared" si="2"/>
        <v>-3.6977792757754195</v>
      </c>
      <c r="AA14">
        <f t="shared" si="0"/>
        <v>0.93936902275505385</v>
      </c>
      <c r="AB14">
        <f t="shared" si="0"/>
        <v>0.26335024141573887</v>
      </c>
      <c r="AC14">
        <f t="shared" si="0"/>
        <v>0.80752066817816481</v>
      </c>
      <c r="AD14">
        <v>100</v>
      </c>
      <c r="AE14">
        <v>0.32</v>
      </c>
      <c r="AF14">
        <v>7</v>
      </c>
      <c r="AG14">
        <v>0.7</v>
      </c>
      <c r="AH14">
        <f t="shared" si="1"/>
        <v>5.0118723362727164E-8</v>
      </c>
      <c r="AI14">
        <v>1</v>
      </c>
      <c r="AJ14">
        <v>0.311</v>
      </c>
      <c r="AK14">
        <f t="array" ref="AK14">INDEX(Transcriptome!D$2:D$28,MATCH(1,(Transcriptome!$A$2:$A$28=$B14)*(Transcriptome!$C$2:$C$28=$G14),0))</f>
        <v>0.80405817319109352</v>
      </c>
      <c r="AL14">
        <f t="array" ref="AL14">INDEX(Transcriptome!E$2:E$28,MATCH(1,(Transcriptome!$A$2:$A$28=$B14)*(Transcriptome!$C$2:$C$28=$G14),0))</f>
        <v>1.4298002071539264</v>
      </c>
      <c r="AM14">
        <f t="array" ref="AM14">INDEX(Transcriptome!F$2:F$28,MATCH(1,(Transcriptome!$A$2:$A$28=$B14)*(Transcriptome!$C$2:$C$28=$G14),0))</f>
        <v>1.0670774563510854</v>
      </c>
      <c r="AN14">
        <f t="array" ref="AN14">INDEX(Transcriptome!G$2:G$28,MATCH(1,(Transcriptome!$A$2:$A$28=$B14)*(Transcriptome!$C$2:$C$28=$G14),0))</f>
        <v>1.0781450807881872</v>
      </c>
      <c r="AO14">
        <f t="array" ref="AO14">INDEX(Transcriptome!H$2:H$28,MATCH(1,(Transcriptome!$A$2:$A$28=$B14)*(Transcriptome!$C$2:$C$28=$G14),0))</f>
        <v>0</v>
      </c>
      <c r="AP14">
        <f t="array" ref="AP14">INDEX(Transcriptome!I$2:I$28,MATCH(1,(Transcriptome!$A$2:$A$28=$B14)*(Transcriptome!$C$2:$C$28=$G14),0))</f>
        <v>0.96817721241980881</v>
      </c>
      <c r="AQ14">
        <f t="array" ref="AQ14">INDEX(Transcriptome!J$2:J$28,MATCH(1,(Transcriptome!$A$2:$A$28=$B14)*(Transcriptome!$C$2:$C$28=$G14),0))</f>
        <v>1.1419941878058468</v>
      </c>
      <c r="AR14">
        <f t="array" ref="AR14">INDEX(Transcriptome!K$2:K$28,MATCH(1,(Transcriptome!$A$2:$A$28=$B14)*(Transcriptome!$C$2:$C$28=$G14),0))</f>
        <v>0.80519947219679278</v>
      </c>
      <c r="AS14">
        <f t="array" ref="AS14">INDEX(Transcriptome!L$2:L$28,MATCH(1,(Transcriptome!$A$2:$A$28=$B14)*(Transcriptome!$C$2:$C$28=$G14),0))</f>
        <v>0.94825319986319523</v>
      </c>
      <c r="AT14">
        <f t="array" ref="AT14">INDEX(Transcriptome!M$2:M$28,MATCH(1,(Transcriptome!$A$2:$A$28=$B14)*(Transcriptome!$C$2:$C$28=$G14),0))</f>
        <v>0.89840163701205955</v>
      </c>
      <c r="AU14">
        <f t="array" ref="AU14">INDEX(Transcriptome!N$2:N$28,MATCH(1,(Transcriptome!$A$2:$A$28=$B14)*(Transcriptome!$C$2:$C$28=$G14),0))</f>
        <v>0.66021886320115053</v>
      </c>
      <c r="AV14">
        <f t="array" ref="AV14">INDEX(Transcriptome!O$2:O$28,MATCH(1,(Transcriptome!$A$2:$A$28=$B14)*(Transcriptome!$C$2:$C$28=$G14),0))</f>
        <v>0.93150284359136615</v>
      </c>
      <c r="AW14">
        <f t="array" ref="AW14">INDEX(Transcriptome!P$2:P$28,MATCH(1,(Transcriptome!$A$2:$A$28=$B14)*(Transcriptome!$C$2:$C$28=$G14),0))</f>
        <v>0.77308616179216261</v>
      </c>
      <c r="AX14">
        <f t="array" ref="AX14">INDEX(Transcriptome!Q$2:Q$28,MATCH(1,(Transcriptome!$A$2:$A$28=$B14)*(Transcriptome!$C$2:$C$28=$G14),0))</f>
        <v>0.50425498290943815</v>
      </c>
      <c r="AY14">
        <f t="array" ref="AY14">INDEX(Transcriptome!R$2:R$28,MATCH(1,(Transcriptome!$A$2:$A$28=$B14)*(Transcriptome!$C$2:$C$28=$G14),0))</f>
        <v>0.37906477416228462</v>
      </c>
      <c r="AZ14">
        <f t="array" ref="AZ14">INDEX(Transcriptome!S$2:S$28,MATCH(1,(Transcriptome!$A$2:$A$28=$B14)*(Transcriptome!$C$2:$C$28=$G14),0))</f>
        <v>0.47600993683093695</v>
      </c>
      <c r="BA14">
        <f t="array" ref="BA14">INDEX(Transcriptome!T$2:T$28,MATCH(1,(Transcriptome!$A$2:$A$28=$B14)*(Transcriptome!$C$2:$C$28=$G14),0))</f>
        <v>0.97812301555614323</v>
      </c>
      <c r="BB14">
        <f t="array" ref="BB14">INDEX(Transcriptome!U$2:U$28,MATCH(1,(Transcriptome!$A$2:$A$28=$B14)*(Transcriptome!$C$2:$C$28=$G14),0))</f>
        <v>3.5655604776642109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0.60505302891513024</v>
      </c>
      <c r="BF14">
        <f t="array" ref="BF14">INDEX(Transcriptome!Y$2:Y$28,MATCH(1,(Transcriptome!$A$2:$A$28=$B14)*(Transcriptome!$C$2:$C$28=$G14),0))</f>
        <v>0</v>
      </c>
      <c r="BG14">
        <f t="array" ref="BG14">INDEX(Transcriptome!Z$2:Z$28,MATCH(1,(Transcriptome!$A$2:$A$28=$B14)*(Transcriptome!$C$2:$C$28=$G14),0))</f>
        <v>0.91458665240641712</v>
      </c>
      <c r="BH14">
        <f t="array" ref="BH14">INDEX(Transcriptome!AA$2:AA$28,MATCH(1,(Transcriptome!$A$2:$A$28=$B14)*(Transcriptome!$C$2:$C$28=$G14),0))</f>
        <v>1.1828097150558938</v>
      </c>
      <c r="BI14">
        <f t="array" ref="BI14">INDEX(Transcriptome!AB$2:AB$28,MATCH(1,(Transcriptome!$A$2:$A$28=$B14)*(Transcriptome!$C$2:$C$28=$G14),0))</f>
        <v>0.39742902714099099</v>
      </c>
      <c r="BJ14">
        <f t="array" ref="BJ14">INDEX(Transcriptome!AC$2:AC$28,MATCH(1,(Transcriptome!$A$2:$A$28=$B14)*(Transcriptome!$C$2:$C$28=$G14),0))</f>
        <v>0.88287815493621413</v>
      </c>
      <c r="BK14">
        <f t="array" ref="BK14">INDEX(Transcriptome!AD$2:AD$28,MATCH(1,(Transcriptome!$A$2:$A$28=$B14)*(Transcriptome!$C$2:$C$28=$G14),0))</f>
        <v>0.68110348686631206</v>
      </c>
      <c r="BL14">
        <f t="array" ref="BL14">INDEX(Transcriptome!AE$2:AE$28,MATCH(1,(Transcriptome!$A$2:$A$28=$B14)*(Transcriptome!$C$2:$C$28=$G14),0))</f>
        <v>1.1804974792973464</v>
      </c>
      <c r="BM14">
        <f t="array" ref="BM14">INDEX(Transcriptome!AF$2:AF$28,MATCH(1,(Transcriptome!$A$2:$A$28=$B14)*(Transcriptome!$C$2:$C$28=$G14),0))</f>
        <v>0.41354036163430702</v>
      </c>
      <c r="BN14">
        <f t="array" ref="BN14">INDEX(Transcriptome!AG$2:AG$28,MATCH(1,(Transcriptome!$A$2:$A$28=$B14)*(Transcriptome!$C$2:$C$28=$G14),0))</f>
        <v>0.47954980313717949</v>
      </c>
      <c r="BO14">
        <f t="array" ref="BO14">INDEX(Transcriptome!AH$2:AH$28,MATCH(1,(Transcriptome!$A$2:$A$28=$B14)*(Transcriptome!$C$2:$C$28=$G14),0))</f>
        <v>1.4712509003322132</v>
      </c>
      <c r="BP14">
        <f t="array" ref="BP14">INDEX(Transcriptome!AI$2:AI$28,MATCH(1,(Transcriptome!$A$2:$A$28=$B14)*(Transcriptome!$C$2:$C$28=$G14),0))</f>
        <v>0.61348296884797748</v>
      </c>
      <c r="BQ14">
        <f t="array" ref="BQ14">INDEX(Transcriptome!AJ$2:AJ$28,MATCH(1,(Transcriptome!$A$2:$A$28=$B14)*(Transcriptome!$C$2:$C$28=$G14),0))</f>
        <v>0.87690372243192172</v>
      </c>
      <c r="BR14">
        <f t="array" ref="BR14">INDEX(Transcriptome!AK$2:AK$28,MATCH(1,(Transcriptome!$A$2:$A$28=$B14)*(Transcriptome!$C$2:$C$28=$G14),0))</f>
        <v>0.46290432007199001</v>
      </c>
      <c r="BS14">
        <f t="array" ref="BS14">INDEX(Transcriptome!AL$2:AL$28,MATCH(1,(Transcriptome!$A$2:$A$28=$B14)*(Transcriptome!$C$2:$C$28=$G14),0))</f>
        <v>1</v>
      </c>
      <c r="BT14">
        <f t="array" ref="BT14">INDEX(Transcriptome!AM$2:AM$28,MATCH(1,(Transcriptome!$A$2:$A$28=$B14)*(Transcriptome!$C$2:$C$28=$G14),0))</f>
        <v>0.47060026111851089</v>
      </c>
      <c r="BU14">
        <f t="array" ref="BU14">INDEX(Transcriptome!AN$2:AN$28,MATCH(1,(Transcriptome!$A$2:$A$28=$B14)*(Transcriptome!$C$2:$C$28=$G14),0))</f>
        <v>0.81490174493105216</v>
      </c>
      <c r="BV14">
        <f t="array" ref="BV14">INDEX(Transcriptome!AO$2:AO$28,MATCH(1,(Transcriptome!$A$2:$A$28=$B14)*(Transcriptome!$C$2:$C$28=$G14),0))</f>
        <v>0.84347055456963871</v>
      </c>
      <c r="BW14">
        <f t="array" ref="BW14">INDEX(Transcriptome!AP$2:AP$28,MATCH(1,(Transcriptome!$A$2:$A$28=$B14)*(Transcriptome!$C$2:$C$28=$G14),0))</f>
        <v>0.94157586893589507</v>
      </c>
      <c r="BX14">
        <f t="array" ref="BX14">INDEX(Transcriptome!AQ$2:AQ$28,MATCH(1,(Transcriptome!$A$2:$A$28=$B14)*(Transcriptome!$C$2:$C$28=$G14),0))</f>
        <v>1.3941488677060316</v>
      </c>
      <c r="BY14">
        <f t="array" ref="BY14">INDEX(Transcriptome!AR$2:AR$28,MATCH(1,(Transcriptome!$A$2:$A$28=$B14)*(Transcriptome!$C$2:$C$28=$G14),0))</f>
        <v>0.65105549195123524</v>
      </c>
      <c r="BZ14">
        <f t="array" ref="BZ14">INDEX(Transcriptome!AS$2:AS$28,MATCH(1,(Transcriptome!$A$2:$A$28=$B14)*(Transcriptome!$C$2:$C$28=$G14),0))</f>
        <v>0.74865097843497297</v>
      </c>
      <c r="CA14">
        <f t="array" ref="CA14">INDEX(Transcriptome!AT$2:AT$28,MATCH(1,(Transcriptome!$A$2:$A$28=$B14)*(Transcriptome!$C$2:$C$28=$G14),0))</f>
        <v>0.57519358588280989</v>
      </c>
      <c r="CB14">
        <f t="array" ref="CB14">INDEX(Transcriptome!AU$2:AU$28,MATCH(1,(Transcriptome!$A$2:$A$28=$B14)*(Transcriptome!$C$2:$C$28=$G14),0))</f>
        <v>1.3600560267668953</v>
      </c>
      <c r="CC14">
        <f t="array" ref="CC14">INDEX(Transcriptome!AV$2:AV$28,MATCH(1,(Transcriptome!$A$2:$A$28=$B14)*(Transcriptome!$C$2:$C$28=$G14),0))</f>
        <v>0.63065751621815513</v>
      </c>
      <c r="CD14">
        <f t="array" ref="CD14">INDEX(Transcriptome!AW$2:AW$28,MATCH(1,(Transcriptome!$A$2:$A$28=$B14)*(Transcriptome!$C$2:$C$28=$G14),0))</f>
        <v>0.78705678834872239</v>
      </c>
      <c r="CE14">
        <f t="array" ref="CE14">INDEX(Transcriptome!AX$2:AX$28,MATCH(1,(Transcriptome!$A$2:$A$28=$B14)*(Transcriptome!$C$2:$C$28=$G14),0))</f>
        <v>0.69164128672141545</v>
      </c>
      <c r="CF14">
        <f t="array" ref="CF14">INDEX(Transcriptome!AY$2:AY$28,MATCH(1,(Transcriptome!$A$2:$A$28=$B14)*(Transcriptome!$C$2:$C$28=$G14),0))</f>
        <v>0.99089806815963755</v>
      </c>
      <c r="CG14">
        <f t="array" ref="CG14">INDEX(Transcriptome!AZ$2:AZ$28,MATCH(1,(Transcriptome!$A$2:$A$28=$B14)*(Transcriptome!$C$2:$C$28=$G14),0))</f>
        <v>0.45310281880283021</v>
      </c>
      <c r="CH14">
        <f t="array" ref="CH14">INDEX(Transcriptome!BA$2:BA$28,MATCH(1,(Transcriptome!$A$2:$A$28=$B14)*(Transcriptome!$C$2:$C$28=$G14),0))</f>
        <v>1.5134916222954586</v>
      </c>
      <c r="CI14">
        <f t="array" ref="CI14">INDEX(Transcriptome!BB$2:BB$28,MATCH(1,(Transcriptome!$A$2:$A$28=$B14)*(Transcriptome!$C$2:$C$28=$G14),0))</f>
        <v>1.6719635554907832</v>
      </c>
      <c r="CJ14">
        <f t="array" ref="CJ14">INDEX(Transcriptome!BC$2:BC$28,MATCH(1,(Transcriptome!$A$2:$A$28=$B14)*(Transcriptome!$C$2:$C$28=$G14),0))</f>
        <v>0</v>
      </c>
      <c r="CK14">
        <f t="array" ref="CK14">INDEX(Transcriptome!BD$2:BD$28,MATCH(1,(Transcriptome!$A$2:$A$28=$B14)*(Transcriptome!$C$2:$C$28=$G14),0))</f>
        <v>0.84632079917465686</v>
      </c>
      <c r="CL14">
        <f t="array" ref="CL14">INDEX(Transcriptome!BE$2:BE$28,MATCH(1,(Transcriptome!$A$2:$A$28=$B14)*(Transcriptome!$C$2:$C$28=$G14),0))</f>
        <v>1.1369151512835534</v>
      </c>
      <c r="CM14">
        <f t="array" ref="CM14">INDEX(Transcriptome!BF$2:BF$28,MATCH(1,(Transcriptome!$A$2:$A$28=$B14)*(Transcriptome!$C$2:$C$28=$G14),0))</f>
        <v>1.3015890144199895</v>
      </c>
      <c r="CN14">
        <f t="array" ref="CN14">INDEX(Transcriptome!BG$2:BG$28,MATCH(1,(Transcriptome!$A$2:$A$28=$B14)*(Transcriptome!$C$2:$C$28=$G14),0))</f>
        <v>2.4160142270418321</v>
      </c>
      <c r="CO14">
        <f t="array" ref="CO14">INDEX(Transcriptome!BH$2:BH$28,MATCH(1,(Transcriptome!$A$2:$A$28=$B14)*(Transcriptome!$C$2:$C$28=$G14),0))</f>
        <v>0.46651821183567305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3.9186431888175837</v>
      </c>
      <c r="CS14">
        <f t="array" ref="CS14">INDEX(Transcriptome!BL$2:BL$28,MATCH(1,(Transcriptome!$A$2:$A$28=$B14)*(Transcriptome!$C$2:$C$28=$G14),0))</f>
        <v>2.1859284806526076</v>
      </c>
      <c r="CT14">
        <f t="array" ref="CT14">INDEX(Transcriptome!BM$2:BM$28,MATCH(1,(Transcriptome!$A$2:$A$28=$B14)*(Transcriptome!$C$2:$C$28=$G14),0))</f>
        <v>0.82694614561725766</v>
      </c>
      <c r="CU14">
        <f t="array" ref="CU14">INDEX(Transcriptome!BN$2:BN$28,MATCH(1,(Transcriptome!$A$2:$A$28=$B14)*(Transcriptome!$C$2:$C$28=$G14),0))</f>
        <v>34.197717837116315</v>
      </c>
      <c r="CV14">
        <f t="array" ref="CV14">INDEX(Transcriptome!BO$2:BO$28,MATCH(1,(Transcriptome!$A$2:$A$28=$B14)*(Transcriptome!$C$2:$C$28=$G14),0))</f>
        <v>0.93477609147985707</v>
      </c>
      <c r="CW14">
        <f t="array" ref="CW14">INDEX(Transcriptome!BP$2:BP$28,MATCH(1,(Transcriptome!$A$2:$A$28=$B14)*(Transcriptome!$C$2:$C$28=$G14),0))</f>
        <v>0.46651821183567305</v>
      </c>
      <c r="CX14">
        <f t="array" ref="CX14">INDEX(Transcriptome!BQ$2:BQ$28,MATCH(1,(Transcriptome!$A$2:$A$28=$B14)*(Transcriptome!$C$2:$C$28=$G14),0))</f>
        <v>1</v>
      </c>
      <c r="CY14">
        <f t="array" ref="CY14">INDEX(Transcriptome!BR$2:BR$28,MATCH(1,(Transcriptome!$A$2:$A$28=$B14)*(Transcriptome!$C$2:$C$28=$G14),0))</f>
        <v>1.6237859342813912</v>
      </c>
    </row>
    <row r="15" spans="1:103">
      <c r="A15">
        <f>'Measured Data'!A20</f>
        <v>13</v>
      </c>
      <c r="B15" t="s">
        <v>586</v>
      </c>
      <c r="C15" s="324" t="s">
        <v>588</v>
      </c>
      <c r="D15">
        <v>1</v>
      </c>
      <c r="E15">
        <f>'Measured Data'!H20</f>
        <v>15.927300317382812</v>
      </c>
      <c r="F15" s="477">
        <f>'Measured Data'!K20</f>
        <v>93.397796630859375</v>
      </c>
      <c r="G15" t="s">
        <v>715</v>
      </c>
      <c r="H15" s="321">
        <f>'Measured Data'!B20</f>
        <v>12.857638888890506</v>
      </c>
      <c r="I15" s="322">
        <f>'Measured Data'!C20</f>
        <v>308.58333333337214</v>
      </c>
      <c r="J15">
        <f>'In Process Calc.'!B16</f>
        <v>12.857638888890506</v>
      </c>
      <c r="K15">
        <f>'In Process Calc.'!C16</f>
        <v>308.58333333337214</v>
      </c>
      <c r="L15">
        <f>'Measured Data'!Z20</f>
        <v>12.988743089322586</v>
      </c>
      <c r="M15">
        <f>'Measured Data'!AF20</f>
        <v>1.9982238010657194</v>
      </c>
      <c r="N15">
        <f>'Measured Data'!AA20</f>
        <v>2.2559999999999998</v>
      </c>
      <c r="O15">
        <f>'Measured Data'!W20</f>
        <v>7.0999999999999994E-2</v>
      </c>
      <c r="P15">
        <f>'Measured Data'!X20</f>
        <v>1.48</v>
      </c>
      <c r="Q15">
        <f>'Growth Regression'!P15</f>
        <v>4.5085852626342119E-4</v>
      </c>
      <c r="R15">
        <f>Q15/'Growth Regression'!$O$24</f>
        <v>1.6754136069872302E-2</v>
      </c>
      <c r="S15">
        <f>'Post Process Calc.'!K16</f>
        <v>4.1231543662370175E-2</v>
      </c>
      <c r="T15">
        <f>'Post Process Calc.'!Q16</f>
        <v>-1.0711425420801498E-3</v>
      </c>
      <c r="U15">
        <f>'Post Process Calc.'!L16</f>
        <v>7.6880888906818827E-4</v>
      </c>
      <c r="V15">
        <f>'Post Process Calc.'!H16</f>
        <v>-2.1971099744361533E-3</v>
      </c>
      <c r="W15">
        <f>'Post Process Calc.'!I16</f>
        <v>4.3988780188284834E-4</v>
      </c>
      <c r="X15">
        <f>'Post Process Calc.'!AG16</f>
        <v>-2.5978715491501821E-2</v>
      </c>
      <c r="Y15">
        <f t="shared" ref="Y15:Y16" si="3">S15/0.0016</f>
        <v>25.769714788981357</v>
      </c>
      <c r="Z15">
        <f t="shared" ref="Z15:Z16" si="4">T15/0.0016</f>
        <v>-0.66946408880009367</v>
      </c>
      <c r="AA15">
        <f t="shared" ref="AA15:AA16" si="5">U15/0.0016</f>
        <v>0.48050555566761766</v>
      </c>
      <c r="AB15">
        <f t="shared" ref="AB15:AB16" si="6">V15/0.0016</f>
        <v>-1.3731937340225957</v>
      </c>
      <c r="AC15">
        <f t="shared" ref="AC15:AC16" si="7">W15/0.0016</f>
        <v>0.27492987617678022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586</v>
      </c>
      <c r="C16" s="324" t="s">
        <v>588</v>
      </c>
      <c r="D16">
        <v>1</v>
      </c>
      <c r="E16">
        <f>'Measured Data'!H21</f>
        <v>13.334700448608398</v>
      </c>
      <c r="F16" s="477">
        <f>'Measured Data'!K21</f>
        <v>82.252700805664063</v>
      </c>
      <c r="G16" t="s">
        <v>715</v>
      </c>
      <c r="H16" s="321">
        <f>'Measured Data'!B21</f>
        <v>13.872222222220444</v>
      </c>
      <c r="I16" s="322">
        <f>'Measured Data'!C21</f>
        <v>332.93333333329065</v>
      </c>
      <c r="J16">
        <f>'In Process Calc.'!B17</f>
        <v>13.872222222220444</v>
      </c>
      <c r="K16">
        <f>'In Process Calc.'!C17</f>
        <v>332.93333333329065</v>
      </c>
      <c r="L16">
        <f>'Measured Data'!Z21</f>
        <v>14.709474011412331</v>
      </c>
      <c r="M16">
        <f>'Measured Data'!AF21</f>
        <v>3.3303730017761985</v>
      </c>
      <c r="N16">
        <f>'Measured Data'!AA21</f>
        <v>1.909</v>
      </c>
      <c r="O16">
        <f>'Measured Data'!W21</f>
        <v>8.5999999999999993E-2</v>
      </c>
      <c r="P16">
        <f>'Measured Data'!X21</f>
        <v>2.4860000000000002</v>
      </c>
      <c r="Q16">
        <f>'Growth Regression'!P16</f>
        <v>2.3603367431453538E-4</v>
      </c>
      <c r="R16">
        <f>Q16/'Growth Regression'!$O$24</f>
        <v>8.77113344026491E-3</v>
      </c>
      <c r="S16">
        <f>'Post Process Calc.'!K17</f>
        <v>4.396342073006148E-2</v>
      </c>
      <c r="T16">
        <f>'Post Process Calc.'!Q17</f>
        <v>1.0867214874817652E-2</v>
      </c>
      <c r="U16">
        <f>'Post Process Calc.'!L17</f>
        <v>-9.727627145118239E-4</v>
      </c>
      <c r="V16">
        <f>'Post Process Calc.'!H17</f>
        <v>-7.1264018794326969E-3</v>
      </c>
      <c r="W16">
        <f>'Post Process Calc.'!I17</f>
        <v>-1.4855981652993732E-3</v>
      </c>
      <c r="X16">
        <f>'Post Process Calc.'!AG17</f>
        <v>0.24718765497214429</v>
      </c>
      <c r="Y16">
        <f t="shared" si="3"/>
        <v>27.477137956288423</v>
      </c>
      <c r="Z16">
        <f t="shared" si="4"/>
        <v>6.7920092967610328</v>
      </c>
      <c r="AA16">
        <f t="shared" si="5"/>
        <v>-0.60797669656988995</v>
      </c>
      <c r="AB16">
        <f t="shared" si="6"/>
        <v>-4.4540011746454358</v>
      </c>
      <c r="AC16">
        <f t="shared" si="7"/>
        <v>-0.92849885331210824</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defaultRowHeight="12.75"/>
  <cols>
    <col min="14" max="14" width="20.4257812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714</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712</v>
      </c>
    </row>
    <row r="2" spans="1:99">
      <c r="A2">
        <f>'Measured Data'!A7</f>
        <v>0</v>
      </c>
      <c r="B2" t="s">
        <v>586</v>
      </c>
      <c r="C2" s="324" t="s">
        <v>588</v>
      </c>
      <c r="D2">
        <v>1</v>
      </c>
      <c r="E2" t="s">
        <v>515</v>
      </c>
      <c r="F2" s="477">
        <f>'Growth Regression'!R2</f>
        <v>0.4493055555576575</v>
      </c>
      <c r="G2" s="477">
        <f>'Growth Regression'!S2</f>
        <v>10.78333333338378</v>
      </c>
      <c r="H2">
        <f>AVERAGE('TL input - regression'!L2:L3)</f>
        <v>33.69302160349919</v>
      </c>
      <c r="I2">
        <f>AVERAGE('TL input - regression'!M2:M3)</f>
        <v>1.2766429840142097</v>
      </c>
      <c r="J2">
        <f>AVERAGE('TL input - regression'!N2:N3)</f>
        <v>0</v>
      </c>
      <c r="K2">
        <f>AVERAGE('TL input - regression'!O2:O3)</f>
        <v>5.8294999999999995</v>
      </c>
      <c r="L2">
        <f>AVERAGE('TL input - regression'!P2:P3)</f>
        <v>1.762</v>
      </c>
      <c r="M2">
        <f>'Growth Regression'!P2</f>
        <v>2.6520367508222929E-2</v>
      </c>
      <c r="N2">
        <f>M2/'Growth Regression'!$O$24</f>
        <v>0.98551057587448809</v>
      </c>
      <c r="O2">
        <f>'Post Process Calc.'!C20</f>
        <v>0.14168145947515648</v>
      </c>
      <c r="P2">
        <f>'Post Process Calc.'!D20</f>
        <v>2.3868760813708263E-2</v>
      </c>
      <c r="Q2">
        <f>'Post Process Calc.'!E20</f>
        <v>-4.2635321586077531E-2</v>
      </c>
      <c r="R2">
        <f>'Post Process Calc.'!F20</f>
        <v>1.5869383937746361E-2</v>
      </c>
      <c r="S2">
        <f>'Post Process Calc.'!G20</f>
        <v>7.778113486920453E-2</v>
      </c>
      <c r="T2">
        <f>P2/O2</f>
        <v>0.16846777907375804</v>
      </c>
      <c r="U2">
        <f>O2/0.0016</f>
        <v>88.550912171972797</v>
      </c>
      <c r="V2">
        <f>P2/0.0016</f>
        <v>14.917975508567665</v>
      </c>
      <c r="W2">
        <f t="shared" ref="W2:Y13" si="0">Q2/0.0016</f>
        <v>-26.647075991298454</v>
      </c>
      <c r="X2">
        <f t="shared" si="0"/>
        <v>9.9183649610914753</v>
      </c>
      <c r="Y2">
        <f t="shared" si="0"/>
        <v>48.613209293252829</v>
      </c>
      <c r="Z2">
        <v>100</v>
      </c>
      <c r="AA2">
        <v>0.32</v>
      </c>
      <c r="AB2">
        <v>7</v>
      </c>
      <c r="AC2">
        <v>0.7</v>
      </c>
      <c r="AD2">
        <f t="shared" ref="AD2:AD15" si="1">10^(-7.3)</f>
        <v>5.0118723362727164E-8</v>
      </c>
      <c r="AE2">
        <v>1</v>
      </c>
      <c r="AF2">
        <v>0.311</v>
      </c>
      <c r="AG2">
        <f t="array" ref="AG2">INDEX(Transcriptome!D$2:D$28,MATCH(1,(Transcriptome!$A$2:$A$28=$B2)*(Transcriptome!$C$2:$C$28=$E2),0))</f>
        <v>0.70792899137635334</v>
      </c>
      <c r="AH2">
        <f t="array" ref="AH2">INDEX(Transcriptome!E$2:E$28,MATCH(1,(Transcriptome!$A$2:$A$28=$B2)*(Transcriptome!$C$2:$C$28=$E2),0))</f>
        <v>1.5892398211913721</v>
      </c>
      <c r="AI2">
        <f t="array" ref="AI2">INDEX(Transcriptome!F$2:F$28,MATCH(1,(Transcriptome!$A$2:$A$28=$B2)*(Transcriptome!$C$2:$C$28=$E2),0))</f>
        <v>1.0699878087137091</v>
      </c>
      <c r="AJ2">
        <f t="array" ref="AJ2">INDEX(Transcriptome!G$2:G$28,MATCH(1,(Transcriptome!$A$2:$A$28=$B2)*(Transcriptome!$C$2:$C$28=$E2),0))</f>
        <v>0.70940308754432024</v>
      </c>
      <c r="AK2">
        <f t="array" ref="AK2">INDEX(Transcriptome!H$2:H$28,MATCH(1,(Transcriptome!$A$2:$A$28=$B2)*(Transcriptome!$C$2:$C$28=$E2),0))</f>
        <v>0</v>
      </c>
      <c r="AL2">
        <f t="array" ref="AL2">INDEX(Transcriptome!I$2:I$28,MATCH(1,(Transcriptome!$A$2:$A$28=$B2)*(Transcriptome!$C$2:$C$28=$E2),0))</f>
        <v>0.93552032018387032</v>
      </c>
      <c r="AM2">
        <f t="array" ref="AM2">INDEX(Transcriptome!J$2:J$28,MATCH(1,(Transcriptome!$A$2:$A$28=$B2)*(Transcriptome!$C$2:$C$28=$E2),0))</f>
        <v>1.0834614534636753</v>
      </c>
      <c r="AN2">
        <f t="array" ref="AN2">INDEX(Transcriptome!K$2:K$28,MATCH(1,(Transcriptome!$A$2:$A$28=$B2)*(Transcriptome!$C$2:$C$28=$E2),0))</f>
        <v>0.80377161141689246</v>
      </c>
      <c r="AO2">
        <f t="array" ref="AO2">INDEX(Transcriptome!L$2:L$28,MATCH(1,(Transcriptome!$A$2:$A$28=$B2)*(Transcriptome!$C$2:$C$28=$E2),0))</f>
        <v>0.85695479911735994</v>
      </c>
      <c r="AP2">
        <f t="array" ref="AP2">INDEX(Transcriptome!M$2:M$28,MATCH(1,(Transcriptome!$A$2:$A$28=$B2)*(Transcriptome!$C$2:$C$28=$E2),0))</f>
        <v>0.93891873980212981</v>
      </c>
      <c r="AQ2">
        <f t="array" ref="AQ2">INDEX(Transcriptome!N$2:N$28,MATCH(1,(Transcriptome!$A$2:$A$28=$B2)*(Transcriptome!$C$2:$C$28=$E2),0))</f>
        <v>0.70695686220859</v>
      </c>
      <c r="AR2">
        <f t="array" ref="AR2">INDEX(Transcriptome!O$2:O$28,MATCH(1,(Transcriptome!$A$2:$A$28=$B2)*(Transcriptome!$C$2:$C$28=$E2),0))</f>
        <v>0.8593713480497972</v>
      </c>
      <c r="AS2">
        <f t="array" ref="AS2">INDEX(Transcriptome!P$2:P$28,MATCH(1,(Transcriptome!$A$2:$A$28=$B2)*(Transcriptome!$C$2:$C$28=$E2),0))</f>
        <v>0.79904520541729218</v>
      </c>
      <c r="AT2">
        <f t="array" ref="AT2">INDEX(Transcriptome!Q$2:Q$28,MATCH(1,(Transcriptome!$A$2:$A$28=$B2)*(Transcriptome!$C$2:$C$28=$E2),0))</f>
        <v>0.47872282221313689</v>
      </c>
      <c r="AU2">
        <f t="array" ref="AU2">INDEX(Transcriptome!R$2:R$28,MATCH(1,(Transcriptome!$A$2:$A$28=$B2)*(Transcriptome!$C$2:$C$28=$E2),0))</f>
        <v>0.41383633912857071</v>
      </c>
      <c r="AV2">
        <f t="array" ref="AV2">INDEX(Transcriptome!S$2:S$28,MATCH(1,(Transcriptome!$A$2:$A$28=$B2)*(Transcriptome!$C$2:$C$28=$E2),0))</f>
        <v>0.44645950550293145</v>
      </c>
      <c r="AW2">
        <f t="array" ref="AW2">INDEX(Transcriptome!T$2:T$28,MATCH(1,(Transcriptome!$A$2:$A$28=$B2)*(Transcriptome!$C$2:$C$28=$E2),0))</f>
        <v>1.008655396739049</v>
      </c>
      <c r="AX2">
        <f t="array" ref="AX2">INDEX(Transcriptome!U$2:U$28,MATCH(1,(Transcriptome!$A$2:$A$28=$B2)*(Transcriptome!$C$2:$C$28=$E2),0))</f>
        <v>2.62155377663843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0.59644766722058296</v>
      </c>
      <c r="BB2">
        <f t="array" ref="BB2">INDEX(Transcriptome!Y$2:Y$28,MATCH(1,(Transcriptome!$A$2:$A$28=$B2)*(Transcriptome!$C$2:$C$28=$E2),0))</f>
        <v>0</v>
      </c>
      <c r="BC2">
        <f t="array" ref="BC2">INDEX(Transcriptome!Z$2:Z$28,MATCH(1,(Transcriptome!$A$2:$A$28=$B2)*(Transcriptome!$C$2:$C$28=$E2),0))</f>
        <v>0.91328392911817136</v>
      </c>
      <c r="BD2">
        <f t="array" ref="BD2">INDEX(Transcriptome!AA$2:AA$28,MATCH(1,(Transcriptome!$A$2:$A$28=$B2)*(Transcriptome!$C$2:$C$28=$E2),0))</f>
        <v>1.061272583395289</v>
      </c>
      <c r="BE2">
        <f t="array" ref="BE2">INDEX(Transcriptome!AB$2:AB$28,MATCH(1,(Transcriptome!$A$2:$A$28=$B2)*(Transcriptome!$C$2:$C$28=$E2),0))</f>
        <v>0.40610812418406372</v>
      </c>
      <c r="BF2">
        <f t="array" ref="BF2">INDEX(Transcriptome!AC$2:AC$28,MATCH(1,(Transcriptome!$A$2:$A$28=$B2)*(Transcriptome!$C$2:$C$28=$E2),0))</f>
        <v>0.96854091898455463</v>
      </c>
      <c r="BG2">
        <f t="array" ref="BG2">INDEX(Transcriptome!AD$2:AD$28,MATCH(1,(Transcriptome!$A$2:$A$28=$B2)*(Transcriptome!$C$2:$C$28=$E2),0))</f>
        <v>0.74430848274637873</v>
      </c>
      <c r="BH2">
        <f t="array" ref="BH2">INDEX(Transcriptome!AE$2:AE$28,MATCH(1,(Transcriptome!$A$2:$A$28=$B2)*(Transcriptome!$C$2:$C$28=$E2),0))</f>
        <v>1.2431887576302834</v>
      </c>
      <c r="BI2">
        <f t="array" ref="BI2">INDEX(Transcriptome!AF$2:AF$28,MATCH(1,(Transcriptome!$A$2:$A$28=$B2)*(Transcriptome!$C$2:$C$28=$E2),0))</f>
        <v>0.49714311780941689</v>
      </c>
      <c r="BJ2">
        <f t="array" ref="BJ2">INDEX(Transcriptome!AG$2:AG$28,MATCH(1,(Transcriptome!$A$2:$A$28=$B2)*(Transcriptome!$C$2:$C$28=$E2),0))</f>
        <v>0.567414845207453</v>
      </c>
      <c r="BK2">
        <f t="array" ref="BK2">INDEX(Transcriptome!AH$2:AH$28,MATCH(1,(Transcriptome!$A$2:$A$28=$B2)*(Transcriptome!$C$2:$C$28=$E2),0))</f>
        <v>1.7504787263397232</v>
      </c>
      <c r="BL2">
        <f t="array" ref="BL2">INDEX(Transcriptome!AI$2:AI$28,MATCH(1,(Transcriptome!$A$2:$A$28=$B2)*(Transcriptome!$C$2:$C$28=$E2),0))</f>
        <v>0.56812861528565461</v>
      </c>
      <c r="BM2">
        <f t="array" ref="BM2">INDEX(Transcriptome!AJ$2:AJ$28,MATCH(1,(Transcriptome!$A$2:$A$28=$B2)*(Transcriptome!$C$2:$C$28=$E2),0))</f>
        <v>0.82144460906259187</v>
      </c>
      <c r="BN2">
        <f t="array" ref="BN2">INDEX(Transcriptome!AK$2:AK$28,MATCH(1,(Transcriptome!$A$2:$A$28=$B2)*(Transcriptome!$C$2:$C$28=$E2),0))</f>
        <v>0.4273004653597422</v>
      </c>
      <c r="BO2">
        <f t="array" ref="BO2">INDEX(Transcriptome!AL$2:AL$28,MATCH(1,(Transcriptome!$A$2:$A$28=$B2)*(Transcriptome!$C$2:$C$28=$E2),0))</f>
        <v>1</v>
      </c>
      <c r="BP2">
        <f t="array" ref="BP2">INDEX(Transcriptome!AM$2:AM$28,MATCH(1,(Transcriptome!$A$2:$A$28=$B2)*(Transcriptome!$C$2:$C$28=$E2),0))</f>
        <v>0.53518948544168743</v>
      </c>
      <c r="BQ2">
        <f t="array" ref="BQ2">INDEX(Transcriptome!AN$2:AN$28,MATCH(1,(Transcriptome!$A$2:$A$28=$B2)*(Transcriptome!$C$2:$C$28=$E2),0))</f>
        <v>0.73171138313074335</v>
      </c>
      <c r="BR2">
        <f t="array" ref="BR2">INDEX(Transcriptome!AO$2:AO$28,MATCH(1,(Transcriptome!$A$2:$A$28=$B2)*(Transcriptome!$C$2:$C$28=$E2),0))</f>
        <v>0.79282459441774966</v>
      </c>
      <c r="BS2">
        <f t="array" ref="BS2">INDEX(Transcriptome!AP$2:AP$28,MATCH(1,(Transcriptome!$A$2:$A$28=$B2)*(Transcriptome!$C$2:$C$28=$E2),0))</f>
        <v>0.94021059648890959</v>
      </c>
      <c r="BT2">
        <f t="array" ref="BT2">INDEX(Transcriptome!AQ$2:AQ$28,MATCH(1,(Transcriptome!$A$2:$A$28=$B2)*(Transcriptome!$C$2:$C$28=$E2),0))</f>
        <v>1.47708404581313</v>
      </c>
      <c r="BU2">
        <f t="array" ref="BU2">INDEX(Transcriptome!AR$2:AR$28,MATCH(1,(Transcriptome!$A$2:$A$28=$B2)*(Transcriptome!$C$2:$C$28=$E2),0))</f>
        <v>0.58760190296554049</v>
      </c>
      <c r="BV2">
        <f t="array" ref="BV2">INDEX(Transcriptome!AS$2:AS$28,MATCH(1,(Transcriptome!$A$2:$A$28=$B2)*(Transcriptome!$C$2:$C$28=$E2),0))</f>
        <v>0.72689778127724192</v>
      </c>
      <c r="BW2">
        <f t="array" ref="BW2">INDEX(Transcriptome!AT$2:AT$28,MATCH(1,(Transcriptome!$A$2:$A$28=$B2)*(Transcriptome!$C$2:$C$28=$E2),0))</f>
        <v>0.52996440534176203</v>
      </c>
      <c r="BX2">
        <f t="array" ref="BX2">INDEX(Transcriptome!AU$2:AU$28,MATCH(1,(Transcriptome!$A$2:$A$28=$B2)*(Transcriptome!$C$2:$C$28=$E2),0))</f>
        <v>1.2346382979140564</v>
      </c>
      <c r="BY2">
        <f t="array" ref="BY2">INDEX(Transcriptome!AV$2:AV$28,MATCH(1,(Transcriptome!$A$2:$A$28=$B2)*(Transcriptome!$C$2:$C$28=$E2),0))</f>
        <v>0.59394270175385044</v>
      </c>
      <c r="BZ2">
        <f t="array" ref="BZ2">INDEX(Transcriptome!AW$2:AW$28,MATCH(1,(Transcriptome!$A$2:$A$28=$B2)*(Transcriptome!$C$2:$C$28=$E2),0))</f>
        <v>0.79380009303939492</v>
      </c>
      <c r="CA2">
        <f t="array" ref="CA2">INDEX(Transcriptome!AX$2:AX$28,MATCH(1,(Transcriptome!$A$2:$A$28=$B2)*(Transcriptome!$C$2:$C$28=$E2),0))</f>
        <v>0.66411075288126009</v>
      </c>
      <c r="CB2">
        <f t="array" ref="CB2">INDEX(Transcriptome!AY$2:AY$28,MATCH(1,(Transcriptome!$A$2:$A$28=$B2)*(Transcriptome!$C$2:$C$28=$E2),0))</f>
        <v>0.91230940759148649</v>
      </c>
      <c r="CC2">
        <f t="array" ref="CC2">INDEX(Transcriptome!AZ$2:AZ$28,MATCH(1,(Transcriptome!$A$2:$A$28=$B2)*(Transcriptome!$C$2:$C$28=$E2),0))</f>
        <v>0.52236635594220548</v>
      </c>
      <c r="CD2">
        <f t="array" ref="CD2">INDEX(Transcriptome!BA$2:BA$28,MATCH(1,(Transcriptome!$A$2:$A$28=$B2)*(Transcriptome!$C$2:$C$28=$E2),0))</f>
        <v>1.4722765738374801</v>
      </c>
      <c r="CE2">
        <f t="array" ref="CE2">INDEX(Transcriptome!BB$2:BB$28,MATCH(1,(Transcriptome!$A$2:$A$28=$B2)*(Transcriptome!$C$2:$C$28=$E2),0))</f>
        <v>1.7837978141567536</v>
      </c>
      <c r="CF2">
        <f t="array" ref="CF2">INDEX(Transcriptome!BC$2:BC$28,MATCH(1,(Transcriptome!$A$2:$A$28=$B2)*(Transcriptome!$C$2:$C$28=$E2),0))</f>
        <v>0</v>
      </c>
      <c r="CG2">
        <f t="array" ref="CG2">INDEX(Transcriptome!BD$2:BD$28,MATCH(1,(Transcriptome!$A$2:$A$28=$B2)*(Transcriptome!$C$2:$C$28=$E2),0))</f>
        <v>0.89732664094598091</v>
      </c>
      <c r="CH2">
        <f t="array" ref="CH2">INDEX(Transcriptome!BE$2:BE$28,MATCH(1,(Transcriptome!$A$2:$A$28=$B2)*(Transcriptome!$C$2:$C$28=$E2),0))</f>
        <v>1.4278341624379669</v>
      </c>
      <c r="CI2">
        <f t="array" ref="CI2">INDEX(Transcriptome!BF$2:BF$28,MATCH(1,(Transcriptome!$A$2:$A$28=$B2)*(Transcriptome!$C$2:$C$28=$E2),0))</f>
        <v>1.0547210245064886</v>
      </c>
      <c r="CJ2">
        <f t="array" ref="CJ2">INDEX(Transcriptome!BG$2:BG$28,MATCH(1,(Transcriptome!$A$2:$A$28=$B2)*(Transcriptome!$C$2:$C$28=$E2),0))</f>
        <v>2.2222015287581018</v>
      </c>
      <c r="CK2">
        <f t="array" ref="CK2">INDEX(Transcriptome!BH$2:BH$28,MATCH(1,(Transcriptome!$A$2:$A$28=$B2)*(Transcriptome!$C$2:$C$28=$E2),0))</f>
        <v>0.40924168851755272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2.7449342282819935</v>
      </c>
      <c r="CO2">
        <f t="array" ref="CO2">INDEX(Transcriptome!BL$2:BL$28,MATCH(1,(Transcriptome!$A$2:$A$28=$B2)*(Transcriptome!$C$2:$C$28=$E2),0))</f>
        <v>1.9495020029319203</v>
      </c>
      <c r="CP2">
        <f t="array" ref="CP2">INDEX(Transcriptome!BM$2:BM$28,MATCH(1,(Transcriptome!$A$2:$A$28=$B2)*(Transcriptome!$C$2:$C$28=$E2),0))</f>
        <v>0.84121164659459347</v>
      </c>
      <c r="CQ2">
        <f t="array" ref="CQ2">INDEX(Transcriptome!BN$2:BN$28,MATCH(1,(Transcriptome!$A$2:$A$28=$B2)*(Transcriptome!$C$2:$C$28=$E2),0))</f>
        <v>31.952489188561209</v>
      </c>
      <c r="CR2">
        <f t="array" ref="CR2">INDEX(Transcriptome!BO$2:BO$28,MATCH(1,(Transcriptome!$A$2:$A$28=$B2)*(Transcriptome!$C$2:$C$28=$E2),0))</f>
        <v>0.74951232158557368</v>
      </c>
      <c r="CS2">
        <f t="array" ref="CS2">INDEX(Transcriptome!BP$2:BP$28,MATCH(1,(Transcriptome!$A$2:$A$28=$B2)*(Transcriptome!$C$2:$C$28=$E2),0))</f>
        <v>0.40924168851755272</v>
      </c>
      <c r="CT2">
        <f t="array" ref="CT2">INDEX(Transcriptome!BQ$2:BQ$28,MATCH(1,(Transcriptome!$A$2:$A$28=$B2)*(Transcriptome!$C$2:$C$28=$E2),0))</f>
        <v>1</v>
      </c>
      <c r="CU2">
        <f t="array" ref="CU2">INDEX(Transcriptome!BR$2:BR$28,MATCH(1,(Transcriptome!$A$2:$A$28=$B2)*(Transcriptome!$C$2:$C$28=$E2),0))</f>
        <v>1.3819649840367882</v>
      </c>
    </row>
    <row r="3" spans="1:99">
      <c r="A3">
        <f>'Measured Data'!A8</f>
        <v>1</v>
      </c>
      <c r="B3" t="s">
        <v>586</v>
      </c>
      <c r="C3" s="324" t="s">
        <v>588</v>
      </c>
      <c r="D3">
        <v>1</v>
      </c>
      <c r="E3" t="s">
        <v>515</v>
      </c>
      <c r="F3" s="477">
        <f>'Growth Regression'!R3</f>
        <v>1.4479166666678793</v>
      </c>
      <c r="G3" s="477">
        <f>'Growth Regression'!S3</f>
        <v>34.750000000029104</v>
      </c>
      <c r="H3">
        <f>AVERAGE('TL input - regression'!L3:L4)</f>
        <v>32.999178489753326</v>
      </c>
      <c r="I3">
        <f>AVERAGE('TL input - regression'!M3:M4)</f>
        <v>2.1092362344582596</v>
      </c>
      <c r="J3">
        <f>AVERAGE('TL input - regression'!N3:N4)</f>
        <v>0.13750000000000001</v>
      </c>
      <c r="K3">
        <f>AVERAGE('TL input - regression'!O3:O4)</f>
        <v>5.5815000000000001</v>
      </c>
      <c r="L3">
        <f>AVERAGE('TL input - regression'!P3:P4)</f>
        <v>1.7665</v>
      </c>
      <c r="M3">
        <f>'Growth Regression'!P3</f>
        <v>2.62375468366388E-2</v>
      </c>
      <c r="N3">
        <f>M3/'Growth Regression'!$O$24</f>
        <v>0.97500081341227252</v>
      </c>
      <c r="O3">
        <f>'Post Process Calc.'!C21</f>
        <v>9.6502611716234005E-2</v>
      </c>
      <c r="P3">
        <f>'Post Process Calc.'!D21</f>
        <v>5.6760330276691424E-2</v>
      </c>
      <c r="Q3">
        <f>'Post Process Calc.'!E21</f>
        <v>6.1179004635509874E-3</v>
      </c>
      <c r="R3">
        <f>'Post Process Calc.'!F21</f>
        <v>-5.0216146734615988E-3</v>
      </c>
      <c r="S3">
        <f>'Post Process Calc.'!G21</f>
        <v>9.9977312225397602E-3</v>
      </c>
      <c r="T3">
        <f t="shared" ref="T3:T13" si="2">P3/O3</f>
        <v>0.58817403246655353</v>
      </c>
      <c r="U3">
        <f>O3/0.0016</f>
        <v>60.314132322646252</v>
      </c>
      <c r="V3">
        <f t="shared" ref="V3" si="3">P3/0.0016</f>
        <v>35.475206422932139</v>
      </c>
      <c r="W3">
        <f t="shared" si="0"/>
        <v>3.8236877897193668</v>
      </c>
      <c r="X3">
        <f t="shared" si="0"/>
        <v>-3.1385091709134989</v>
      </c>
      <c r="Y3">
        <f t="shared" si="0"/>
        <v>6.2485820140873498</v>
      </c>
      <c r="Z3">
        <v>100</v>
      </c>
      <c r="AA3">
        <v>0.32</v>
      </c>
      <c r="AB3">
        <v>7</v>
      </c>
      <c r="AC3">
        <v>0.7</v>
      </c>
      <c r="AD3">
        <f t="shared" si="1"/>
        <v>5.0118723362727164E-8</v>
      </c>
      <c r="AE3">
        <v>1</v>
      </c>
      <c r="AF3">
        <v>0.311</v>
      </c>
      <c r="AG3">
        <f t="array" ref="AG3">INDEX(Transcriptome!D$2:D$28,MATCH(1,(Transcriptome!$A$2:$A$28=$B3)*(Transcriptome!$C$2:$C$28=$E3),0))</f>
        <v>0.70792899137635334</v>
      </c>
      <c r="AH3">
        <f t="array" ref="AH3">INDEX(Transcriptome!E$2:E$28,MATCH(1,(Transcriptome!$A$2:$A$28=$B3)*(Transcriptome!$C$2:$C$28=$E3),0))</f>
        <v>1.5892398211913721</v>
      </c>
      <c r="AI3">
        <f t="array" ref="AI3">INDEX(Transcriptome!F$2:F$28,MATCH(1,(Transcriptome!$A$2:$A$28=$B3)*(Transcriptome!$C$2:$C$28=$E3),0))</f>
        <v>1.0699878087137091</v>
      </c>
      <c r="AJ3">
        <f t="array" ref="AJ3">INDEX(Transcriptome!G$2:G$28,MATCH(1,(Transcriptome!$A$2:$A$28=$B3)*(Transcriptome!$C$2:$C$28=$E3),0))</f>
        <v>0.70940308754432024</v>
      </c>
      <c r="AK3">
        <f t="array" ref="AK3">INDEX(Transcriptome!H$2:H$28,MATCH(1,(Transcriptome!$A$2:$A$28=$B3)*(Transcriptome!$C$2:$C$28=$E3),0))</f>
        <v>0</v>
      </c>
      <c r="AL3">
        <f t="array" ref="AL3">INDEX(Transcriptome!I$2:I$28,MATCH(1,(Transcriptome!$A$2:$A$28=$B3)*(Transcriptome!$C$2:$C$28=$E3),0))</f>
        <v>0.93552032018387032</v>
      </c>
      <c r="AM3">
        <f t="array" ref="AM3">INDEX(Transcriptome!J$2:J$28,MATCH(1,(Transcriptome!$A$2:$A$28=$B3)*(Transcriptome!$C$2:$C$28=$E3),0))</f>
        <v>1.0834614534636753</v>
      </c>
      <c r="AN3">
        <f t="array" ref="AN3">INDEX(Transcriptome!K$2:K$28,MATCH(1,(Transcriptome!$A$2:$A$28=$B3)*(Transcriptome!$C$2:$C$28=$E3),0))</f>
        <v>0.80377161141689246</v>
      </c>
      <c r="AO3">
        <f t="array" ref="AO3">INDEX(Transcriptome!L$2:L$28,MATCH(1,(Transcriptome!$A$2:$A$28=$B3)*(Transcriptome!$C$2:$C$28=$E3),0))</f>
        <v>0.85695479911735994</v>
      </c>
      <c r="AP3">
        <f t="array" ref="AP3">INDEX(Transcriptome!M$2:M$28,MATCH(1,(Transcriptome!$A$2:$A$28=$B3)*(Transcriptome!$C$2:$C$28=$E3),0))</f>
        <v>0.93891873980212981</v>
      </c>
      <c r="AQ3">
        <f t="array" ref="AQ3">INDEX(Transcriptome!N$2:N$28,MATCH(1,(Transcriptome!$A$2:$A$28=$B3)*(Transcriptome!$C$2:$C$28=$E3),0))</f>
        <v>0.70695686220859</v>
      </c>
      <c r="AR3">
        <f t="array" ref="AR3">INDEX(Transcriptome!O$2:O$28,MATCH(1,(Transcriptome!$A$2:$A$28=$B3)*(Transcriptome!$C$2:$C$28=$E3),0))</f>
        <v>0.8593713480497972</v>
      </c>
      <c r="AS3">
        <f t="array" ref="AS3">INDEX(Transcriptome!P$2:P$28,MATCH(1,(Transcriptome!$A$2:$A$28=$B3)*(Transcriptome!$C$2:$C$28=$E3),0))</f>
        <v>0.79904520541729218</v>
      </c>
      <c r="AT3">
        <f t="array" ref="AT3">INDEX(Transcriptome!Q$2:Q$28,MATCH(1,(Transcriptome!$A$2:$A$28=$B3)*(Transcriptome!$C$2:$C$28=$E3),0))</f>
        <v>0.47872282221313689</v>
      </c>
      <c r="AU3">
        <f t="array" ref="AU3">INDEX(Transcriptome!R$2:R$28,MATCH(1,(Transcriptome!$A$2:$A$28=$B3)*(Transcriptome!$C$2:$C$28=$E3),0))</f>
        <v>0.41383633912857071</v>
      </c>
      <c r="AV3">
        <f t="array" ref="AV3">INDEX(Transcriptome!S$2:S$28,MATCH(1,(Transcriptome!$A$2:$A$28=$B3)*(Transcriptome!$C$2:$C$28=$E3),0))</f>
        <v>0.44645950550293145</v>
      </c>
      <c r="AW3">
        <f t="array" ref="AW3">INDEX(Transcriptome!T$2:T$28,MATCH(1,(Transcriptome!$A$2:$A$28=$B3)*(Transcriptome!$C$2:$C$28=$E3),0))</f>
        <v>1.008655396739049</v>
      </c>
      <c r="AX3">
        <f t="array" ref="AX3">INDEX(Transcriptome!U$2:U$28,MATCH(1,(Transcriptome!$A$2:$A$28=$B3)*(Transcriptome!$C$2:$C$28=$E3),0))</f>
        <v>2.62155377663843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0.59644766722058296</v>
      </c>
      <c r="BB3">
        <f t="array" ref="BB3">INDEX(Transcriptome!Y$2:Y$28,MATCH(1,(Transcriptome!$A$2:$A$28=$B3)*(Transcriptome!$C$2:$C$28=$E3),0))</f>
        <v>0</v>
      </c>
      <c r="BC3">
        <f t="array" ref="BC3">INDEX(Transcriptome!Z$2:Z$28,MATCH(1,(Transcriptome!$A$2:$A$28=$B3)*(Transcriptome!$C$2:$C$28=$E3),0))</f>
        <v>0.91328392911817136</v>
      </c>
      <c r="BD3">
        <f t="array" ref="BD3">INDEX(Transcriptome!AA$2:AA$28,MATCH(1,(Transcriptome!$A$2:$A$28=$B3)*(Transcriptome!$C$2:$C$28=$E3),0))</f>
        <v>1.061272583395289</v>
      </c>
      <c r="BE3">
        <f t="array" ref="BE3">INDEX(Transcriptome!AB$2:AB$28,MATCH(1,(Transcriptome!$A$2:$A$28=$B3)*(Transcriptome!$C$2:$C$28=$E3),0))</f>
        <v>0.40610812418406372</v>
      </c>
      <c r="BF3">
        <f t="array" ref="BF3">INDEX(Transcriptome!AC$2:AC$28,MATCH(1,(Transcriptome!$A$2:$A$28=$B3)*(Transcriptome!$C$2:$C$28=$E3),0))</f>
        <v>0.96854091898455463</v>
      </c>
      <c r="BG3">
        <f t="array" ref="BG3">INDEX(Transcriptome!AD$2:AD$28,MATCH(1,(Transcriptome!$A$2:$A$28=$B3)*(Transcriptome!$C$2:$C$28=$E3),0))</f>
        <v>0.74430848274637873</v>
      </c>
      <c r="BH3">
        <f t="array" ref="BH3">INDEX(Transcriptome!AE$2:AE$28,MATCH(1,(Transcriptome!$A$2:$A$28=$B3)*(Transcriptome!$C$2:$C$28=$E3),0))</f>
        <v>1.2431887576302834</v>
      </c>
      <c r="BI3">
        <f t="array" ref="BI3">INDEX(Transcriptome!AF$2:AF$28,MATCH(1,(Transcriptome!$A$2:$A$28=$B3)*(Transcriptome!$C$2:$C$28=$E3),0))</f>
        <v>0.49714311780941689</v>
      </c>
      <c r="BJ3">
        <f t="array" ref="BJ3">INDEX(Transcriptome!AG$2:AG$28,MATCH(1,(Transcriptome!$A$2:$A$28=$B3)*(Transcriptome!$C$2:$C$28=$E3),0))</f>
        <v>0.567414845207453</v>
      </c>
      <c r="BK3">
        <f t="array" ref="BK3">INDEX(Transcriptome!AH$2:AH$28,MATCH(1,(Transcriptome!$A$2:$A$28=$B3)*(Transcriptome!$C$2:$C$28=$E3),0))</f>
        <v>1.7504787263397232</v>
      </c>
      <c r="BL3">
        <f t="array" ref="BL3">INDEX(Transcriptome!AI$2:AI$28,MATCH(1,(Transcriptome!$A$2:$A$28=$B3)*(Transcriptome!$C$2:$C$28=$E3),0))</f>
        <v>0.56812861528565461</v>
      </c>
      <c r="BM3">
        <f t="array" ref="BM3">INDEX(Transcriptome!AJ$2:AJ$28,MATCH(1,(Transcriptome!$A$2:$A$28=$B3)*(Transcriptome!$C$2:$C$28=$E3),0))</f>
        <v>0.82144460906259187</v>
      </c>
      <c r="BN3">
        <f t="array" ref="BN3">INDEX(Transcriptome!AK$2:AK$28,MATCH(1,(Transcriptome!$A$2:$A$28=$B3)*(Transcriptome!$C$2:$C$28=$E3),0))</f>
        <v>0.4273004653597422</v>
      </c>
      <c r="BO3">
        <f t="array" ref="BO3">INDEX(Transcriptome!AL$2:AL$28,MATCH(1,(Transcriptome!$A$2:$A$28=$B3)*(Transcriptome!$C$2:$C$28=$E3),0))</f>
        <v>1</v>
      </c>
      <c r="BP3">
        <f t="array" ref="BP3">INDEX(Transcriptome!AM$2:AM$28,MATCH(1,(Transcriptome!$A$2:$A$28=$B3)*(Transcriptome!$C$2:$C$28=$E3),0))</f>
        <v>0.53518948544168743</v>
      </c>
      <c r="BQ3">
        <f t="array" ref="BQ3">INDEX(Transcriptome!AN$2:AN$28,MATCH(1,(Transcriptome!$A$2:$A$28=$B3)*(Transcriptome!$C$2:$C$28=$E3),0))</f>
        <v>0.73171138313074335</v>
      </c>
      <c r="BR3">
        <f t="array" ref="BR3">INDEX(Transcriptome!AO$2:AO$28,MATCH(1,(Transcriptome!$A$2:$A$28=$B3)*(Transcriptome!$C$2:$C$28=$E3),0))</f>
        <v>0.79282459441774966</v>
      </c>
      <c r="BS3">
        <f t="array" ref="BS3">INDEX(Transcriptome!AP$2:AP$28,MATCH(1,(Transcriptome!$A$2:$A$28=$B3)*(Transcriptome!$C$2:$C$28=$E3),0))</f>
        <v>0.94021059648890959</v>
      </c>
      <c r="BT3">
        <f t="array" ref="BT3">INDEX(Transcriptome!AQ$2:AQ$28,MATCH(1,(Transcriptome!$A$2:$A$28=$B3)*(Transcriptome!$C$2:$C$28=$E3),0))</f>
        <v>1.47708404581313</v>
      </c>
      <c r="BU3">
        <f t="array" ref="BU3">INDEX(Transcriptome!AR$2:AR$28,MATCH(1,(Transcriptome!$A$2:$A$28=$B3)*(Transcriptome!$C$2:$C$28=$E3),0))</f>
        <v>0.58760190296554049</v>
      </c>
      <c r="BV3">
        <f t="array" ref="BV3">INDEX(Transcriptome!AS$2:AS$28,MATCH(1,(Transcriptome!$A$2:$A$28=$B3)*(Transcriptome!$C$2:$C$28=$E3),0))</f>
        <v>0.72689778127724192</v>
      </c>
      <c r="BW3">
        <f t="array" ref="BW3">INDEX(Transcriptome!AT$2:AT$28,MATCH(1,(Transcriptome!$A$2:$A$28=$B3)*(Transcriptome!$C$2:$C$28=$E3),0))</f>
        <v>0.52996440534176203</v>
      </c>
      <c r="BX3">
        <f t="array" ref="BX3">INDEX(Transcriptome!AU$2:AU$28,MATCH(1,(Transcriptome!$A$2:$A$28=$B3)*(Transcriptome!$C$2:$C$28=$E3),0))</f>
        <v>1.2346382979140564</v>
      </c>
      <c r="BY3">
        <f t="array" ref="BY3">INDEX(Transcriptome!AV$2:AV$28,MATCH(1,(Transcriptome!$A$2:$A$28=$B3)*(Transcriptome!$C$2:$C$28=$E3),0))</f>
        <v>0.59394270175385044</v>
      </c>
      <c r="BZ3">
        <f t="array" ref="BZ3">INDEX(Transcriptome!AW$2:AW$28,MATCH(1,(Transcriptome!$A$2:$A$28=$B3)*(Transcriptome!$C$2:$C$28=$E3),0))</f>
        <v>0.79380009303939492</v>
      </c>
      <c r="CA3">
        <f t="array" ref="CA3">INDEX(Transcriptome!AX$2:AX$28,MATCH(1,(Transcriptome!$A$2:$A$28=$B3)*(Transcriptome!$C$2:$C$28=$E3),0))</f>
        <v>0.66411075288126009</v>
      </c>
      <c r="CB3">
        <f t="array" ref="CB3">INDEX(Transcriptome!AY$2:AY$28,MATCH(1,(Transcriptome!$A$2:$A$28=$B3)*(Transcriptome!$C$2:$C$28=$E3),0))</f>
        <v>0.91230940759148649</v>
      </c>
      <c r="CC3">
        <f t="array" ref="CC3">INDEX(Transcriptome!AZ$2:AZ$28,MATCH(1,(Transcriptome!$A$2:$A$28=$B3)*(Transcriptome!$C$2:$C$28=$E3),0))</f>
        <v>0.52236635594220548</v>
      </c>
      <c r="CD3">
        <f t="array" ref="CD3">INDEX(Transcriptome!BA$2:BA$28,MATCH(1,(Transcriptome!$A$2:$A$28=$B3)*(Transcriptome!$C$2:$C$28=$E3),0))</f>
        <v>1.4722765738374801</v>
      </c>
      <c r="CE3">
        <f t="array" ref="CE3">INDEX(Transcriptome!BB$2:BB$28,MATCH(1,(Transcriptome!$A$2:$A$28=$B3)*(Transcriptome!$C$2:$C$28=$E3),0))</f>
        <v>1.7837978141567536</v>
      </c>
      <c r="CF3">
        <f t="array" ref="CF3">INDEX(Transcriptome!BC$2:BC$28,MATCH(1,(Transcriptome!$A$2:$A$28=$B3)*(Transcriptome!$C$2:$C$28=$E3),0))</f>
        <v>0</v>
      </c>
      <c r="CG3">
        <f t="array" ref="CG3">INDEX(Transcriptome!BD$2:BD$28,MATCH(1,(Transcriptome!$A$2:$A$28=$B3)*(Transcriptome!$C$2:$C$28=$E3),0))</f>
        <v>0.89732664094598091</v>
      </c>
      <c r="CH3">
        <f t="array" ref="CH3">INDEX(Transcriptome!BE$2:BE$28,MATCH(1,(Transcriptome!$A$2:$A$28=$B3)*(Transcriptome!$C$2:$C$28=$E3),0))</f>
        <v>1.4278341624379669</v>
      </c>
      <c r="CI3">
        <f t="array" ref="CI3">INDEX(Transcriptome!BF$2:BF$28,MATCH(1,(Transcriptome!$A$2:$A$28=$B3)*(Transcriptome!$C$2:$C$28=$E3),0))</f>
        <v>1.0547210245064886</v>
      </c>
      <c r="CJ3">
        <f t="array" ref="CJ3">INDEX(Transcriptome!BG$2:BG$28,MATCH(1,(Transcriptome!$A$2:$A$28=$B3)*(Transcriptome!$C$2:$C$28=$E3),0))</f>
        <v>2.2222015287581018</v>
      </c>
      <c r="CK3">
        <f t="array" ref="CK3">INDEX(Transcriptome!BH$2:BH$28,MATCH(1,(Transcriptome!$A$2:$A$28=$B3)*(Transcriptome!$C$2:$C$28=$E3),0))</f>
        <v>0.40924168851755272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2.7449342282819935</v>
      </c>
      <c r="CO3">
        <f t="array" ref="CO3">INDEX(Transcriptome!BL$2:BL$28,MATCH(1,(Transcriptome!$A$2:$A$28=$B3)*(Transcriptome!$C$2:$C$28=$E3),0))</f>
        <v>1.9495020029319203</v>
      </c>
      <c r="CP3">
        <f t="array" ref="CP3">INDEX(Transcriptome!BM$2:BM$28,MATCH(1,(Transcriptome!$A$2:$A$28=$B3)*(Transcriptome!$C$2:$C$28=$E3),0))</f>
        <v>0.84121164659459347</v>
      </c>
      <c r="CQ3">
        <f t="array" ref="CQ3">INDEX(Transcriptome!BN$2:BN$28,MATCH(1,(Transcriptome!$A$2:$A$28=$B3)*(Transcriptome!$C$2:$C$28=$E3),0))</f>
        <v>31.952489188561209</v>
      </c>
      <c r="CR3">
        <f t="array" ref="CR3">INDEX(Transcriptome!BO$2:BO$28,MATCH(1,(Transcriptome!$A$2:$A$28=$B3)*(Transcriptome!$C$2:$C$28=$E3),0))</f>
        <v>0.74951232158557368</v>
      </c>
      <c r="CS3">
        <f t="array" ref="CS3">INDEX(Transcriptome!BP$2:BP$28,MATCH(1,(Transcriptome!$A$2:$A$28=$B3)*(Transcriptome!$C$2:$C$28=$E3),0))</f>
        <v>0.40924168851755272</v>
      </c>
      <c r="CT3">
        <f t="array" ref="CT3">INDEX(Transcriptome!BQ$2:BQ$28,MATCH(1,(Transcriptome!$A$2:$A$28=$B3)*(Transcriptome!$C$2:$C$28=$E3),0))</f>
        <v>1</v>
      </c>
      <c r="CU3">
        <f t="array" ref="CU3">INDEX(Transcriptome!BR$2:BR$28,MATCH(1,(Transcriptome!$A$2:$A$28=$B3)*(Transcriptome!$C$2:$C$28=$E3),0))</f>
        <v>1.3819649840367882</v>
      </c>
    </row>
    <row r="4" spans="1:99">
      <c r="A4">
        <f>'Measured Data'!A9</f>
        <v>2</v>
      </c>
      <c r="B4" t="s">
        <v>586</v>
      </c>
      <c r="C4" s="324" t="s">
        <v>588</v>
      </c>
      <c r="D4">
        <v>1</v>
      </c>
      <c r="E4" t="s">
        <v>515</v>
      </c>
      <c r="F4" s="477">
        <f>'Growth Regression'!R4</f>
        <v>2.484722222223354</v>
      </c>
      <c r="G4" s="477">
        <f>'Growth Regression'!S4</f>
        <v>59.633333333360497</v>
      </c>
      <c r="H4">
        <f>AVERAGE('TL input - regression'!L4:L5)</f>
        <v>30.418082106618705</v>
      </c>
      <c r="I4">
        <f>AVERAGE('TL input - regression'!M4:M5)</f>
        <v>3.2748667850799289</v>
      </c>
      <c r="J4">
        <f>AVERAGE('TL input - regression'!N4:N5)</f>
        <v>0.32050000000000001</v>
      </c>
      <c r="K4">
        <f>AVERAGE('TL input - regression'!O4:O5)</f>
        <v>4.8104999999999993</v>
      </c>
      <c r="L4">
        <f>AVERAGE('TL input - regression'!P4:P5)</f>
        <v>1.6895</v>
      </c>
      <c r="M4">
        <f>'Growth Regression'!P4</f>
        <v>2.5545985573235321E-2</v>
      </c>
      <c r="N4">
        <f>M4/'Growth Regression'!$O$24</f>
        <v>0.9493020391121828</v>
      </c>
      <c r="O4">
        <f>'Post Process Calc.'!C22</f>
        <v>8.8933452765325743E-2</v>
      </c>
      <c r="P4">
        <f>'Post Process Calc.'!D22</f>
        <v>5.6962083011659413E-2</v>
      </c>
      <c r="Q4">
        <f>'Post Process Calc.'!E22</f>
        <v>-8.8274764218137039E-4</v>
      </c>
      <c r="R4">
        <f>'Post Process Calc.'!F22</f>
        <v>-3.2568936396333761E-3</v>
      </c>
      <c r="S4">
        <f>'Post Process Calc.'!G22</f>
        <v>-7.1214510274316793E-3</v>
      </c>
      <c r="T4">
        <f t="shared" si="2"/>
        <v>0.6405023221348306</v>
      </c>
      <c r="U4">
        <f t="shared" ref="U4:V13" si="4">O4/0.0016</f>
        <v>55.583407978328587</v>
      </c>
      <c r="V4">
        <f t="shared" si="4"/>
        <v>35.601301882287132</v>
      </c>
      <c r="W4">
        <f t="shared" si="0"/>
        <v>-0.55171727636335643</v>
      </c>
      <c r="X4">
        <f t="shared" si="0"/>
        <v>-2.0355585247708601</v>
      </c>
      <c r="Y4">
        <f t="shared" si="0"/>
        <v>-4.4509068921447996</v>
      </c>
      <c r="Z4">
        <v>100</v>
      </c>
      <c r="AA4">
        <v>0.32</v>
      </c>
      <c r="AB4">
        <v>7</v>
      </c>
      <c r="AC4">
        <v>0.7</v>
      </c>
      <c r="AD4">
        <f t="shared" si="1"/>
        <v>5.0118723362727164E-8</v>
      </c>
      <c r="AE4">
        <v>1</v>
      </c>
      <c r="AF4">
        <v>0.311</v>
      </c>
      <c r="AG4">
        <f t="array" ref="AG4">INDEX(Transcriptome!D$2:D$28,MATCH(1,(Transcriptome!$A$2:$A$28=$B4)*(Transcriptome!$C$2:$C$28=$E4),0))</f>
        <v>0.70792899137635334</v>
      </c>
      <c r="AH4">
        <f t="array" ref="AH4">INDEX(Transcriptome!E$2:E$28,MATCH(1,(Transcriptome!$A$2:$A$28=$B4)*(Transcriptome!$C$2:$C$28=$E4),0))</f>
        <v>1.5892398211913721</v>
      </c>
      <c r="AI4">
        <f t="array" ref="AI4">INDEX(Transcriptome!F$2:F$28,MATCH(1,(Transcriptome!$A$2:$A$28=$B4)*(Transcriptome!$C$2:$C$28=$E4),0))</f>
        <v>1.0699878087137091</v>
      </c>
      <c r="AJ4">
        <f t="array" ref="AJ4">INDEX(Transcriptome!G$2:G$28,MATCH(1,(Transcriptome!$A$2:$A$28=$B4)*(Transcriptome!$C$2:$C$28=$E4),0))</f>
        <v>0.70940308754432024</v>
      </c>
      <c r="AK4">
        <f t="array" ref="AK4">INDEX(Transcriptome!H$2:H$28,MATCH(1,(Transcriptome!$A$2:$A$28=$B4)*(Transcriptome!$C$2:$C$28=$E4),0))</f>
        <v>0</v>
      </c>
      <c r="AL4">
        <f t="array" ref="AL4">INDEX(Transcriptome!I$2:I$28,MATCH(1,(Transcriptome!$A$2:$A$28=$B4)*(Transcriptome!$C$2:$C$28=$E4),0))</f>
        <v>0.93552032018387032</v>
      </c>
      <c r="AM4">
        <f t="array" ref="AM4">INDEX(Transcriptome!J$2:J$28,MATCH(1,(Transcriptome!$A$2:$A$28=$B4)*(Transcriptome!$C$2:$C$28=$E4),0))</f>
        <v>1.0834614534636753</v>
      </c>
      <c r="AN4">
        <f t="array" ref="AN4">INDEX(Transcriptome!K$2:K$28,MATCH(1,(Transcriptome!$A$2:$A$28=$B4)*(Transcriptome!$C$2:$C$28=$E4),0))</f>
        <v>0.80377161141689246</v>
      </c>
      <c r="AO4">
        <f t="array" ref="AO4">INDEX(Transcriptome!L$2:L$28,MATCH(1,(Transcriptome!$A$2:$A$28=$B4)*(Transcriptome!$C$2:$C$28=$E4),0))</f>
        <v>0.85695479911735994</v>
      </c>
      <c r="AP4">
        <f t="array" ref="AP4">INDEX(Transcriptome!M$2:M$28,MATCH(1,(Transcriptome!$A$2:$A$28=$B4)*(Transcriptome!$C$2:$C$28=$E4),0))</f>
        <v>0.93891873980212981</v>
      </c>
      <c r="AQ4">
        <f t="array" ref="AQ4">INDEX(Transcriptome!N$2:N$28,MATCH(1,(Transcriptome!$A$2:$A$28=$B4)*(Transcriptome!$C$2:$C$28=$E4),0))</f>
        <v>0.70695686220859</v>
      </c>
      <c r="AR4">
        <f t="array" ref="AR4">INDEX(Transcriptome!O$2:O$28,MATCH(1,(Transcriptome!$A$2:$A$28=$B4)*(Transcriptome!$C$2:$C$28=$E4),0))</f>
        <v>0.8593713480497972</v>
      </c>
      <c r="AS4">
        <f t="array" ref="AS4">INDEX(Transcriptome!P$2:P$28,MATCH(1,(Transcriptome!$A$2:$A$28=$B4)*(Transcriptome!$C$2:$C$28=$E4),0))</f>
        <v>0.79904520541729218</v>
      </c>
      <c r="AT4">
        <f t="array" ref="AT4">INDEX(Transcriptome!Q$2:Q$28,MATCH(1,(Transcriptome!$A$2:$A$28=$B4)*(Transcriptome!$C$2:$C$28=$E4),0))</f>
        <v>0.47872282221313689</v>
      </c>
      <c r="AU4">
        <f t="array" ref="AU4">INDEX(Transcriptome!R$2:R$28,MATCH(1,(Transcriptome!$A$2:$A$28=$B4)*(Transcriptome!$C$2:$C$28=$E4),0))</f>
        <v>0.41383633912857071</v>
      </c>
      <c r="AV4">
        <f t="array" ref="AV4">INDEX(Transcriptome!S$2:S$28,MATCH(1,(Transcriptome!$A$2:$A$28=$B4)*(Transcriptome!$C$2:$C$28=$E4),0))</f>
        <v>0.44645950550293145</v>
      </c>
      <c r="AW4">
        <f t="array" ref="AW4">INDEX(Transcriptome!T$2:T$28,MATCH(1,(Transcriptome!$A$2:$A$28=$B4)*(Transcriptome!$C$2:$C$28=$E4),0))</f>
        <v>1.008655396739049</v>
      </c>
      <c r="AX4">
        <f t="array" ref="AX4">INDEX(Transcriptome!U$2:U$28,MATCH(1,(Transcriptome!$A$2:$A$28=$B4)*(Transcriptome!$C$2:$C$28=$E4),0))</f>
        <v>2.62155377663843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0.59644766722058296</v>
      </c>
      <c r="BB4">
        <f t="array" ref="BB4">INDEX(Transcriptome!Y$2:Y$28,MATCH(1,(Transcriptome!$A$2:$A$28=$B4)*(Transcriptome!$C$2:$C$28=$E4),0))</f>
        <v>0</v>
      </c>
      <c r="BC4">
        <f t="array" ref="BC4">INDEX(Transcriptome!Z$2:Z$28,MATCH(1,(Transcriptome!$A$2:$A$28=$B4)*(Transcriptome!$C$2:$C$28=$E4),0))</f>
        <v>0.91328392911817136</v>
      </c>
      <c r="BD4">
        <f t="array" ref="BD4">INDEX(Transcriptome!AA$2:AA$28,MATCH(1,(Transcriptome!$A$2:$A$28=$B4)*(Transcriptome!$C$2:$C$28=$E4),0))</f>
        <v>1.061272583395289</v>
      </c>
      <c r="BE4">
        <f t="array" ref="BE4">INDEX(Transcriptome!AB$2:AB$28,MATCH(1,(Transcriptome!$A$2:$A$28=$B4)*(Transcriptome!$C$2:$C$28=$E4),0))</f>
        <v>0.40610812418406372</v>
      </c>
      <c r="BF4">
        <f t="array" ref="BF4">INDEX(Transcriptome!AC$2:AC$28,MATCH(1,(Transcriptome!$A$2:$A$28=$B4)*(Transcriptome!$C$2:$C$28=$E4),0))</f>
        <v>0.96854091898455463</v>
      </c>
      <c r="BG4">
        <f t="array" ref="BG4">INDEX(Transcriptome!AD$2:AD$28,MATCH(1,(Transcriptome!$A$2:$A$28=$B4)*(Transcriptome!$C$2:$C$28=$E4),0))</f>
        <v>0.74430848274637873</v>
      </c>
      <c r="BH4">
        <f t="array" ref="BH4">INDEX(Transcriptome!AE$2:AE$28,MATCH(1,(Transcriptome!$A$2:$A$28=$B4)*(Transcriptome!$C$2:$C$28=$E4),0))</f>
        <v>1.2431887576302834</v>
      </c>
      <c r="BI4">
        <f t="array" ref="BI4">INDEX(Transcriptome!AF$2:AF$28,MATCH(1,(Transcriptome!$A$2:$A$28=$B4)*(Transcriptome!$C$2:$C$28=$E4),0))</f>
        <v>0.49714311780941689</v>
      </c>
      <c r="BJ4">
        <f t="array" ref="BJ4">INDEX(Transcriptome!AG$2:AG$28,MATCH(1,(Transcriptome!$A$2:$A$28=$B4)*(Transcriptome!$C$2:$C$28=$E4),0))</f>
        <v>0.567414845207453</v>
      </c>
      <c r="BK4">
        <f t="array" ref="BK4">INDEX(Transcriptome!AH$2:AH$28,MATCH(1,(Transcriptome!$A$2:$A$28=$B4)*(Transcriptome!$C$2:$C$28=$E4),0))</f>
        <v>1.7504787263397232</v>
      </c>
      <c r="BL4">
        <f t="array" ref="BL4">INDEX(Transcriptome!AI$2:AI$28,MATCH(1,(Transcriptome!$A$2:$A$28=$B4)*(Transcriptome!$C$2:$C$28=$E4),0))</f>
        <v>0.56812861528565461</v>
      </c>
      <c r="BM4">
        <f t="array" ref="BM4">INDEX(Transcriptome!AJ$2:AJ$28,MATCH(1,(Transcriptome!$A$2:$A$28=$B4)*(Transcriptome!$C$2:$C$28=$E4),0))</f>
        <v>0.82144460906259187</v>
      </c>
      <c r="BN4">
        <f t="array" ref="BN4">INDEX(Transcriptome!AK$2:AK$28,MATCH(1,(Transcriptome!$A$2:$A$28=$B4)*(Transcriptome!$C$2:$C$28=$E4),0))</f>
        <v>0.4273004653597422</v>
      </c>
      <c r="BO4">
        <f t="array" ref="BO4">INDEX(Transcriptome!AL$2:AL$28,MATCH(1,(Transcriptome!$A$2:$A$28=$B4)*(Transcriptome!$C$2:$C$28=$E4),0))</f>
        <v>1</v>
      </c>
      <c r="BP4">
        <f t="array" ref="BP4">INDEX(Transcriptome!AM$2:AM$28,MATCH(1,(Transcriptome!$A$2:$A$28=$B4)*(Transcriptome!$C$2:$C$28=$E4),0))</f>
        <v>0.53518948544168743</v>
      </c>
      <c r="BQ4">
        <f t="array" ref="BQ4">INDEX(Transcriptome!AN$2:AN$28,MATCH(1,(Transcriptome!$A$2:$A$28=$B4)*(Transcriptome!$C$2:$C$28=$E4),0))</f>
        <v>0.73171138313074335</v>
      </c>
      <c r="BR4">
        <f t="array" ref="BR4">INDEX(Transcriptome!AO$2:AO$28,MATCH(1,(Transcriptome!$A$2:$A$28=$B4)*(Transcriptome!$C$2:$C$28=$E4),0))</f>
        <v>0.79282459441774966</v>
      </c>
      <c r="BS4">
        <f t="array" ref="BS4">INDEX(Transcriptome!AP$2:AP$28,MATCH(1,(Transcriptome!$A$2:$A$28=$B4)*(Transcriptome!$C$2:$C$28=$E4),0))</f>
        <v>0.94021059648890959</v>
      </c>
      <c r="BT4">
        <f t="array" ref="BT4">INDEX(Transcriptome!AQ$2:AQ$28,MATCH(1,(Transcriptome!$A$2:$A$28=$B4)*(Transcriptome!$C$2:$C$28=$E4),0))</f>
        <v>1.47708404581313</v>
      </c>
      <c r="BU4">
        <f t="array" ref="BU4">INDEX(Transcriptome!AR$2:AR$28,MATCH(1,(Transcriptome!$A$2:$A$28=$B4)*(Transcriptome!$C$2:$C$28=$E4),0))</f>
        <v>0.58760190296554049</v>
      </c>
      <c r="BV4">
        <f t="array" ref="BV4">INDEX(Transcriptome!AS$2:AS$28,MATCH(1,(Transcriptome!$A$2:$A$28=$B4)*(Transcriptome!$C$2:$C$28=$E4),0))</f>
        <v>0.72689778127724192</v>
      </c>
      <c r="BW4">
        <f t="array" ref="BW4">INDEX(Transcriptome!AT$2:AT$28,MATCH(1,(Transcriptome!$A$2:$A$28=$B4)*(Transcriptome!$C$2:$C$28=$E4),0))</f>
        <v>0.52996440534176203</v>
      </c>
      <c r="BX4">
        <f t="array" ref="BX4">INDEX(Transcriptome!AU$2:AU$28,MATCH(1,(Transcriptome!$A$2:$A$28=$B4)*(Transcriptome!$C$2:$C$28=$E4),0))</f>
        <v>1.2346382979140564</v>
      </c>
      <c r="BY4">
        <f t="array" ref="BY4">INDEX(Transcriptome!AV$2:AV$28,MATCH(1,(Transcriptome!$A$2:$A$28=$B4)*(Transcriptome!$C$2:$C$28=$E4),0))</f>
        <v>0.59394270175385044</v>
      </c>
      <c r="BZ4">
        <f t="array" ref="BZ4">INDEX(Transcriptome!AW$2:AW$28,MATCH(1,(Transcriptome!$A$2:$A$28=$B4)*(Transcriptome!$C$2:$C$28=$E4),0))</f>
        <v>0.79380009303939492</v>
      </c>
      <c r="CA4">
        <f t="array" ref="CA4">INDEX(Transcriptome!AX$2:AX$28,MATCH(1,(Transcriptome!$A$2:$A$28=$B4)*(Transcriptome!$C$2:$C$28=$E4),0))</f>
        <v>0.66411075288126009</v>
      </c>
      <c r="CB4">
        <f t="array" ref="CB4">INDEX(Transcriptome!AY$2:AY$28,MATCH(1,(Transcriptome!$A$2:$A$28=$B4)*(Transcriptome!$C$2:$C$28=$E4),0))</f>
        <v>0.91230940759148649</v>
      </c>
      <c r="CC4">
        <f t="array" ref="CC4">INDEX(Transcriptome!AZ$2:AZ$28,MATCH(1,(Transcriptome!$A$2:$A$28=$B4)*(Transcriptome!$C$2:$C$28=$E4),0))</f>
        <v>0.52236635594220548</v>
      </c>
      <c r="CD4">
        <f t="array" ref="CD4">INDEX(Transcriptome!BA$2:BA$28,MATCH(1,(Transcriptome!$A$2:$A$28=$B4)*(Transcriptome!$C$2:$C$28=$E4),0))</f>
        <v>1.4722765738374801</v>
      </c>
      <c r="CE4">
        <f t="array" ref="CE4">INDEX(Transcriptome!BB$2:BB$28,MATCH(1,(Transcriptome!$A$2:$A$28=$B4)*(Transcriptome!$C$2:$C$28=$E4),0))</f>
        <v>1.7837978141567536</v>
      </c>
      <c r="CF4">
        <f t="array" ref="CF4">INDEX(Transcriptome!BC$2:BC$28,MATCH(1,(Transcriptome!$A$2:$A$28=$B4)*(Transcriptome!$C$2:$C$28=$E4),0))</f>
        <v>0</v>
      </c>
      <c r="CG4">
        <f t="array" ref="CG4">INDEX(Transcriptome!BD$2:BD$28,MATCH(1,(Transcriptome!$A$2:$A$28=$B4)*(Transcriptome!$C$2:$C$28=$E4),0))</f>
        <v>0.89732664094598091</v>
      </c>
      <c r="CH4">
        <f t="array" ref="CH4">INDEX(Transcriptome!BE$2:BE$28,MATCH(1,(Transcriptome!$A$2:$A$28=$B4)*(Transcriptome!$C$2:$C$28=$E4),0))</f>
        <v>1.4278341624379669</v>
      </c>
      <c r="CI4">
        <f t="array" ref="CI4">INDEX(Transcriptome!BF$2:BF$28,MATCH(1,(Transcriptome!$A$2:$A$28=$B4)*(Transcriptome!$C$2:$C$28=$E4),0))</f>
        <v>1.0547210245064886</v>
      </c>
      <c r="CJ4">
        <f t="array" ref="CJ4">INDEX(Transcriptome!BG$2:BG$28,MATCH(1,(Transcriptome!$A$2:$A$28=$B4)*(Transcriptome!$C$2:$C$28=$E4),0))</f>
        <v>2.2222015287581018</v>
      </c>
      <c r="CK4">
        <f t="array" ref="CK4">INDEX(Transcriptome!BH$2:BH$28,MATCH(1,(Transcriptome!$A$2:$A$28=$B4)*(Transcriptome!$C$2:$C$28=$E4),0))</f>
        <v>0.40924168851755272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2.7449342282819935</v>
      </c>
      <c r="CO4">
        <f t="array" ref="CO4">INDEX(Transcriptome!BL$2:BL$28,MATCH(1,(Transcriptome!$A$2:$A$28=$B4)*(Transcriptome!$C$2:$C$28=$E4),0))</f>
        <v>1.9495020029319203</v>
      </c>
      <c r="CP4">
        <f t="array" ref="CP4">INDEX(Transcriptome!BM$2:BM$28,MATCH(1,(Transcriptome!$A$2:$A$28=$B4)*(Transcriptome!$C$2:$C$28=$E4),0))</f>
        <v>0.84121164659459347</v>
      </c>
      <c r="CQ4">
        <f t="array" ref="CQ4">INDEX(Transcriptome!BN$2:BN$28,MATCH(1,(Transcriptome!$A$2:$A$28=$B4)*(Transcriptome!$C$2:$C$28=$E4),0))</f>
        <v>31.952489188561209</v>
      </c>
      <c r="CR4">
        <f t="array" ref="CR4">INDEX(Transcriptome!BO$2:BO$28,MATCH(1,(Transcriptome!$A$2:$A$28=$B4)*(Transcriptome!$C$2:$C$28=$E4),0))</f>
        <v>0.74951232158557368</v>
      </c>
      <c r="CS4">
        <f t="array" ref="CS4">INDEX(Transcriptome!BP$2:BP$28,MATCH(1,(Transcriptome!$A$2:$A$28=$B4)*(Transcriptome!$C$2:$C$28=$E4),0))</f>
        <v>0.40924168851755272</v>
      </c>
      <c r="CT4">
        <f t="array" ref="CT4">INDEX(Transcriptome!BQ$2:BQ$28,MATCH(1,(Transcriptome!$A$2:$A$28=$B4)*(Transcriptome!$C$2:$C$28=$E4),0))</f>
        <v>1</v>
      </c>
      <c r="CU4">
        <f t="array" ref="CU4">INDEX(Transcriptome!BR$2:BR$28,MATCH(1,(Transcriptome!$A$2:$A$28=$B4)*(Transcriptome!$C$2:$C$28=$E4),0))</f>
        <v>1.3819649840367882</v>
      </c>
    </row>
    <row r="5" spans="1:99">
      <c r="A5">
        <f>'Measured Data'!A10</f>
        <v>3</v>
      </c>
      <c r="B5" t="s">
        <v>586</v>
      </c>
      <c r="C5" s="324" t="s">
        <v>588</v>
      </c>
      <c r="D5">
        <v>1</v>
      </c>
      <c r="E5" t="s">
        <v>515</v>
      </c>
      <c r="F5" s="477">
        <f>'Growth Regression'!R5</f>
        <v>3.4635416666678793</v>
      </c>
      <c r="G5" s="477">
        <f>'Growth Regression'!S5</f>
        <v>83.125000000029104</v>
      </c>
      <c r="H5">
        <f>AVERAGE('TL input - regression'!L5:L6)</f>
        <v>30.806634250316392</v>
      </c>
      <c r="I5">
        <f>AVERAGE('TL input - regression'!M5:M6)</f>
        <v>4.7180284191829482</v>
      </c>
      <c r="J5">
        <f>AVERAGE('TL input - regression'!N5:N6)</f>
        <v>0.51700000000000002</v>
      </c>
      <c r="K5">
        <f>AVERAGE('TL input - regression'!O5:O6)</f>
        <v>4.9704999999999995</v>
      </c>
      <c r="L5">
        <f>AVERAGE('TL input - regression'!P5:P6)</f>
        <v>1.6564999999999999</v>
      </c>
      <c r="M5">
        <f>'Growth Regression'!P5</f>
        <v>2.4511890413168775E-2</v>
      </c>
      <c r="N5">
        <f>M5/'Growth Regression'!$O$24</f>
        <v>0.91087452801565616</v>
      </c>
      <c r="O5">
        <f>'Post Process Calc.'!C23</f>
        <v>7.6048059699223167E-2</v>
      </c>
      <c r="P5">
        <f>'Post Process Calc.'!D23</f>
        <v>3.9844846263097651E-2</v>
      </c>
      <c r="Q5">
        <f>'Post Process Calc.'!E23</f>
        <v>-7.0498276647476691E-3</v>
      </c>
      <c r="R5">
        <f>'Post Process Calc.'!F23</f>
        <v>1.0290447878109857E-3</v>
      </c>
      <c r="S5">
        <f>'Post Process Calc.'!G23</f>
        <v>-7.3770227471512129E-3</v>
      </c>
      <c r="T5">
        <f t="shared" si="2"/>
        <v>0.52394297002037338</v>
      </c>
      <c r="U5">
        <f t="shared" si="4"/>
        <v>47.530037312014478</v>
      </c>
      <c r="V5">
        <f t="shared" si="4"/>
        <v>24.903028914436032</v>
      </c>
      <c r="W5">
        <f t="shared" si="0"/>
        <v>-4.4061422904672929</v>
      </c>
      <c r="X5">
        <f t="shared" si="0"/>
        <v>0.64315299238186607</v>
      </c>
      <c r="Y5">
        <f t="shared" si="0"/>
        <v>-4.6106392169695081</v>
      </c>
      <c r="Z5">
        <v>100</v>
      </c>
      <c r="AA5">
        <v>0.32</v>
      </c>
      <c r="AB5">
        <v>7</v>
      </c>
      <c r="AC5">
        <v>0.7</v>
      </c>
      <c r="AD5">
        <f t="shared" si="1"/>
        <v>5.0118723362727164E-8</v>
      </c>
      <c r="AE5">
        <v>1</v>
      </c>
      <c r="AF5">
        <v>0.311</v>
      </c>
      <c r="AG5">
        <f t="array" ref="AG5">INDEX(Transcriptome!D$2:D$28,MATCH(1,(Transcriptome!$A$2:$A$28=$B5)*(Transcriptome!$C$2:$C$28=$E5),0))</f>
        <v>0.70792899137635334</v>
      </c>
      <c r="AH5">
        <f t="array" ref="AH5">INDEX(Transcriptome!E$2:E$28,MATCH(1,(Transcriptome!$A$2:$A$28=$B5)*(Transcriptome!$C$2:$C$28=$E5),0))</f>
        <v>1.5892398211913721</v>
      </c>
      <c r="AI5">
        <f t="array" ref="AI5">INDEX(Transcriptome!F$2:F$28,MATCH(1,(Transcriptome!$A$2:$A$28=$B5)*(Transcriptome!$C$2:$C$28=$E5),0))</f>
        <v>1.0699878087137091</v>
      </c>
      <c r="AJ5">
        <f t="array" ref="AJ5">INDEX(Transcriptome!G$2:G$28,MATCH(1,(Transcriptome!$A$2:$A$28=$B5)*(Transcriptome!$C$2:$C$28=$E5),0))</f>
        <v>0.70940308754432024</v>
      </c>
      <c r="AK5">
        <f t="array" ref="AK5">INDEX(Transcriptome!H$2:H$28,MATCH(1,(Transcriptome!$A$2:$A$28=$B5)*(Transcriptome!$C$2:$C$28=$E5),0))</f>
        <v>0</v>
      </c>
      <c r="AL5">
        <f t="array" ref="AL5">INDEX(Transcriptome!I$2:I$28,MATCH(1,(Transcriptome!$A$2:$A$28=$B5)*(Transcriptome!$C$2:$C$28=$E5),0))</f>
        <v>0.93552032018387032</v>
      </c>
      <c r="AM5">
        <f t="array" ref="AM5">INDEX(Transcriptome!J$2:J$28,MATCH(1,(Transcriptome!$A$2:$A$28=$B5)*(Transcriptome!$C$2:$C$28=$E5),0))</f>
        <v>1.0834614534636753</v>
      </c>
      <c r="AN5">
        <f t="array" ref="AN5">INDEX(Transcriptome!K$2:K$28,MATCH(1,(Transcriptome!$A$2:$A$28=$B5)*(Transcriptome!$C$2:$C$28=$E5),0))</f>
        <v>0.80377161141689246</v>
      </c>
      <c r="AO5">
        <f t="array" ref="AO5">INDEX(Transcriptome!L$2:L$28,MATCH(1,(Transcriptome!$A$2:$A$28=$B5)*(Transcriptome!$C$2:$C$28=$E5),0))</f>
        <v>0.85695479911735994</v>
      </c>
      <c r="AP5">
        <f t="array" ref="AP5">INDEX(Transcriptome!M$2:M$28,MATCH(1,(Transcriptome!$A$2:$A$28=$B5)*(Transcriptome!$C$2:$C$28=$E5),0))</f>
        <v>0.93891873980212981</v>
      </c>
      <c r="AQ5">
        <f t="array" ref="AQ5">INDEX(Transcriptome!N$2:N$28,MATCH(1,(Transcriptome!$A$2:$A$28=$B5)*(Transcriptome!$C$2:$C$28=$E5),0))</f>
        <v>0.70695686220859</v>
      </c>
      <c r="AR5">
        <f t="array" ref="AR5">INDEX(Transcriptome!O$2:O$28,MATCH(1,(Transcriptome!$A$2:$A$28=$B5)*(Transcriptome!$C$2:$C$28=$E5),0))</f>
        <v>0.8593713480497972</v>
      </c>
      <c r="AS5">
        <f t="array" ref="AS5">INDEX(Transcriptome!P$2:P$28,MATCH(1,(Transcriptome!$A$2:$A$28=$B5)*(Transcriptome!$C$2:$C$28=$E5),0))</f>
        <v>0.79904520541729218</v>
      </c>
      <c r="AT5">
        <f t="array" ref="AT5">INDEX(Transcriptome!Q$2:Q$28,MATCH(1,(Transcriptome!$A$2:$A$28=$B5)*(Transcriptome!$C$2:$C$28=$E5),0))</f>
        <v>0.47872282221313689</v>
      </c>
      <c r="AU5">
        <f t="array" ref="AU5">INDEX(Transcriptome!R$2:R$28,MATCH(1,(Transcriptome!$A$2:$A$28=$B5)*(Transcriptome!$C$2:$C$28=$E5),0))</f>
        <v>0.41383633912857071</v>
      </c>
      <c r="AV5">
        <f t="array" ref="AV5">INDEX(Transcriptome!S$2:S$28,MATCH(1,(Transcriptome!$A$2:$A$28=$B5)*(Transcriptome!$C$2:$C$28=$E5),0))</f>
        <v>0.44645950550293145</v>
      </c>
      <c r="AW5">
        <f t="array" ref="AW5">INDEX(Transcriptome!T$2:T$28,MATCH(1,(Transcriptome!$A$2:$A$28=$B5)*(Transcriptome!$C$2:$C$28=$E5),0))</f>
        <v>1.008655396739049</v>
      </c>
      <c r="AX5">
        <f t="array" ref="AX5">INDEX(Transcriptome!U$2:U$28,MATCH(1,(Transcriptome!$A$2:$A$28=$B5)*(Transcriptome!$C$2:$C$28=$E5),0))</f>
        <v>2.62155377663843</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0.59644766722058296</v>
      </c>
      <c r="BB5">
        <f t="array" ref="BB5">INDEX(Transcriptome!Y$2:Y$28,MATCH(1,(Transcriptome!$A$2:$A$28=$B5)*(Transcriptome!$C$2:$C$28=$E5),0))</f>
        <v>0</v>
      </c>
      <c r="BC5">
        <f t="array" ref="BC5">INDEX(Transcriptome!Z$2:Z$28,MATCH(1,(Transcriptome!$A$2:$A$28=$B5)*(Transcriptome!$C$2:$C$28=$E5),0))</f>
        <v>0.91328392911817136</v>
      </c>
      <c r="BD5">
        <f t="array" ref="BD5">INDEX(Transcriptome!AA$2:AA$28,MATCH(1,(Transcriptome!$A$2:$A$28=$B5)*(Transcriptome!$C$2:$C$28=$E5),0))</f>
        <v>1.061272583395289</v>
      </c>
      <c r="BE5">
        <f t="array" ref="BE5">INDEX(Transcriptome!AB$2:AB$28,MATCH(1,(Transcriptome!$A$2:$A$28=$B5)*(Transcriptome!$C$2:$C$28=$E5),0))</f>
        <v>0.40610812418406372</v>
      </c>
      <c r="BF5">
        <f t="array" ref="BF5">INDEX(Transcriptome!AC$2:AC$28,MATCH(1,(Transcriptome!$A$2:$A$28=$B5)*(Transcriptome!$C$2:$C$28=$E5),0))</f>
        <v>0.96854091898455463</v>
      </c>
      <c r="BG5">
        <f t="array" ref="BG5">INDEX(Transcriptome!AD$2:AD$28,MATCH(1,(Transcriptome!$A$2:$A$28=$B5)*(Transcriptome!$C$2:$C$28=$E5),0))</f>
        <v>0.74430848274637873</v>
      </c>
      <c r="BH5">
        <f t="array" ref="BH5">INDEX(Transcriptome!AE$2:AE$28,MATCH(1,(Transcriptome!$A$2:$A$28=$B5)*(Transcriptome!$C$2:$C$28=$E5),0))</f>
        <v>1.2431887576302834</v>
      </c>
      <c r="BI5">
        <f t="array" ref="BI5">INDEX(Transcriptome!AF$2:AF$28,MATCH(1,(Transcriptome!$A$2:$A$28=$B5)*(Transcriptome!$C$2:$C$28=$E5),0))</f>
        <v>0.49714311780941689</v>
      </c>
      <c r="BJ5">
        <f t="array" ref="BJ5">INDEX(Transcriptome!AG$2:AG$28,MATCH(1,(Transcriptome!$A$2:$A$28=$B5)*(Transcriptome!$C$2:$C$28=$E5),0))</f>
        <v>0.567414845207453</v>
      </c>
      <c r="BK5">
        <f t="array" ref="BK5">INDEX(Transcriptome!AH$2:AH$28,MATCH(1,(Transcriptome!$A$2:$A$28=$B5)*(Transcriptome!$C$2:$C$28=$E5),0))</f>
        <v>1.7504787263397232</v>
      </c>
      <c r="BL5">
        <f t="array" ref="BL5">INDEX(Transcriptome!AI$2:AI$28,MATCH(1,(Transcriptome!$A$2:$A$28=$B5)*(Transcriptome!$C$2:$C$28=$E5),0))</f>
        <v>0.56812861528565461</v>
      </c>
      <c r="BM5">
        <f t="array" ref="BM5">INDEX(Transcriptome!AJ$2:AJ$28,MATCH(1,(Transcriptome!$A$2:$A$28=$B5)*(Transcriptome!$C$2:$C$28=$E5),0))</f>
        <v>0.82144460906259187</v>
      </c>
      <c r="BN5">
        <f t="array" ref="BN5">INDEX(Transcriptome!AK$2:AK$28,MATCH(1,(Transcriptome!$A$2:$A$28=$B5)*(Transcriptome!$C$2:$C$28=$E5),0))</f>
        <v>0.4273004653597422</v>
      </c>
      <c r="BO5">
        <f t="array" ref="BO5">INDEX(Transcriptome!AL$2:AL$28,MATCH(1,(Transcriptome!$A$2:$A$28=$B5)*(Transcriptome!$C$2:$C$28=$E5),0))</f>
        <v>1</v>
      </c>
      <c r="BP5">
        <f t="array" ref="BP5">INDEX(Transcriptome!AM$2:AM$28,MATCH(1,(Transcriptome!$A$2:$A$28=$B5)*(Transcriptome!$C$2:$C$28=$E5),0))</f>
        <v>0.53518948544168743</v>
      </c>
      <c r="BQ5">
        <f t="array" ref="BQ5">INDEX(Transcriptome!AN$2:AN$28,MATCH(1,(Transcriptome!$A$2:$A$28=$B5)*(Transcriptome!$C$2:$C$28=$E5),0))</f>
        <v>0.73171138313074335</v>
      </c>
      <c r="BR5">
        <f t="array" ref="BR5">INDEX(Transcriptome!AO$2:AO$28,MATCH(1,(Transcriptome!$A$2:$A$28=$B5)*(Transcriptome!$C$2:$C$28=$E5),0))</f>
        <v>0.79282459441774966</v>
      </c>
      <c r="BS5">
        <f t="array" ref="BS5">INDEX(Transcriptome!AP$2:AP$28,MATCH(1,(Transcriptome!$A$2:$A$28=$B5)*(Transcriptome!$C$2:$C$28=$E5),0))</f>
        <v>0.94021059648890959</v>
      </c>
      <c r="BT5">
        <f t="array" ref="BT5">INDEX(Transcriptome!AQ$2:AQ$28,MATCH(1,(Transcriptome!$A$2:$A$28=$B5)*(Transcriptome!$C$2:$C$28=$E5),0))</f>
        <v>1.47708404581313</v>
      </c>
      <c r="BU5">
        <f t="array" ref="BU5">INDEX(Transcriptome!AR$2:AR$28,MATCH(1,(Transcriptome!$A$2:$A$28=$B5)*(Transcriptome!$C$2:$C$28=$E5),0))</f>
        <v>0.58760190296554049</v>
      </c>
      <c r="BV5">
        <f t="array" ref="BV5">INDEX(Transcriptome!AS$2:AS$28,MATCH(1,(Transcriptome!$A$2:$A$28=$B5)*(Transcriptome!$C$2:$C$28=$E5),0))</f>
        <v>0.72689778127724192</v>
      </c>
      <c r="BW5">
        <f t="array" ref="BW5">INDEX(Transcriptome!AT$2:AT$28,MATCH(1,(Transcriptome!$A$2:$A$28=$B5)*(Transcriptome!$C$2:$C$28=$E5),0))</f>
        <v>0.52996440534176203</v>
      </c>
      <c r="BX5">
        <f t="array" ref="BX5">INDEX(Transcriptome!AU$2:AU$28,MATCH(1,(Transcriptome!$A$2:$A$28=$B5)*(Transcriptome!$C$2:$C$28=$E5),0))</f>
        <v>1.2346382979140564</v>
      </c>
      <c r="BY5">
        <f t="array" ref="BY5">INDEX(Transcriptome!AV$2:AV$28,MATCH(1,(Transcriptome!$A$2:$A$28=$B5)*(Transcriptome!$C$2:$C$28=$E5),0))</f>
        <v>0.59394270175385044</v>
      </c>
      <c r="BZ5">
        <f t="array" ref="BZ5">INDEX(Transcriptome!AW$2:AW$28,MATCH(1,(Transcriptome!$A$2:$A$28=$B5)*(Transcriptome!$C$2:$C$28=$E5),0))</f>
        <v>0.79380009303939492</v>
      </c>
      <c r="CA5">
        <f t="array" ref="CA5">INDEX(Transcriptome!AX$2:AX$28,MATCH(1,(Transcriptome!$A$2:$A$28=$B5)*(Transcriptome!$C$2:$C$28=$E5),0))</f>
        <v>0.66411075288126009</v>
      </c>
      <c r="CB5">
        <f t="array" ref="CB5">INDEX(Transcriptome!AY$2:AY$28,MATCH(1,(Transcriptome!$A$2:$A$28=$B5)*(Transcriptome!$C$2:$C$28=$E5),0))</f>
        <v>0.91230940759148649</v>
      </c>
      <c r="CC5">
        <f t="array" ref="CC5">INDEX(Transcriptome!AZ$2:AZ$28,MATCH(1,(Transcriptome!$A$2:$A$28=$B5)*(Transcriptome!$C$2:$C$28=$E5),0))</f>
        <v>0.52236635594220548</v>
      </c>
      <c r="CD5">
        <f t="array" ref="CD5">INDEX(Transcriptome!BA$2:BA$28,MATCH(1,(Transcriptome!$A$2:$A$28=$B5)*(Transcriptome!$C$2:$C$28=$E5),0))</f>
        <v>1.4722765738374801</v>
      </c>
      <c r="CE5">
        <f t="array" ref="CE5">INDEX(Transcriptome!BB$2:BB$28,MATCH(1,(Transcriptome!$A$2:$A$28=$B5)*(Transcriptome!$C$2:$C$28=$E5),0))</f>
        <v>1.7837978141567536</v>
      </c>
      <c r="CF5">
        <f t="array" ref="CF5">INDEX(Transcriptome!BC$2:BC$28,MATCH(1,(Transcriptome!$A$2:$A$28=$B5)*(Transcriptome!$C$2:$C$28=$E5),0))</f>
        <v>0</v>
      </c>
      <c r="CG5">
        <f t="array" ref="CG5">INDEX(Transcriptome!BD$2:BD$28,MATCH(1,(Transcriptome!$A$2:$A$28=$B5)*(Transcriptome!$C$2:$C$28=$E5),0))</f>
        <v>0.89732664094598091</v>
      </c>
      <c r="CH5">
        <f t="array" ref="CH5">INDEX(Transcriptome!BE$2:BE$28,MATCH(1,(Transcriptome!$A$2:$A$28=$B5)*(Transcriptome!$C$2:$C$28=$E5),0))</f>
        <v>1.4278341624379669</v>
      </c>
      <c r="CI5">
        <f t="array" ref="CI5">INDEX(Transcriptome!BF$2:BF$28,MATCH(1,(Transcriptome!$A$2:$A$28=$B5)*(Transcriptome!$C$2:$C$28=$E5),0))</f>
        <v>1.0547210245064886</v>
      </c>
      <c r="CJ5">
        <f t="array" ref="CJ5">INDEX(Transcriptome!BG$2:BG$28,MATCH(1,(Transcriptome!$A$2:$A$28=$B5)*(Transcriptome!$C$2:$C$28=$E5),0))</f>
        <v>2.2222015287581018</v>
      </c>
      <c r="CK5">
        <f t="array" ref="CK5">INDEX(Transcriptome!BH$2:BH$28,MATCH(1,(Transcriptome!$A$2:$A$28=$B5)*(Transcriptome!$C$2:$C$28=$E5),0))</f>
        <v>0.40924168851755272</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2.7449342282819935</v>
      </c>
      <c r="CO5">
        <f t="array" ref="CO5">INDEX(Transcriptome!BL$2:BL$28,MATCH(1,(Transcriptome!$A$2:$A$28=$B5)*(Transcriptome!$C$2:$C$28=$E5),0))</f>
        <v>1.9495020029319203</v>
      </c>
      <c r="CP5">
        <f t="array" ref="CP5">INDEX(Transcriptome!BM$2:BM$28,MATCH(1,(Transcriptome!$A$2:$A$28=$B5)*(Transcriptome!$C$2:$C$28=$E5),0))</f>
        <v>0.84121164659459347</v>
      </c>
      <c r="CQ5">
        <f t="array" ref="CQ5">INDEX(Transcriptome!BN$2:BN$28,MATCH(1,(Transcriptome!$A$2:$A$28=$B5)*(Transcriptome!$C$2:$C$28=$E5),0))</f>
        <v>31.952489188561209</v>
      </c>
      <c r="CR5">
        <f t="array" ref="CR5">INDEX(Transcriptome!BO$2:BO$28,MATCH(1,(Transcriptome!$A$2:$A$28=$B5)*(Transcriptome!$C$2:$C$28=$E5),0))</f>
        <v>0.74951232158557368</v>
      </c>
      <c r="CS5">
        <f t="array" ref="CS5">INDEX(Transcriptome!BP$2:BP$28,MATCH(1,(Transcriptome!$A$2:$A$28=$B5)*(Transcriptome!$C$2:$C$28=$E5),0))</f>
        <v>0.40924168851755272</v>
      </c>
      <c r="CT5">
        <f t="array" ref="CT5">INDEX(Transcriptome!BQ$2:BQ$28,MATCH(1,(Transcriptome!$A$2:$A$28=$B5)*(Transcriptome!$C$2:$C$28=$E5),0))</f>
        <v>1</v>
      </c>
      <c r="CU5">
        <f t="array" ref="CU5">INDEX(Transcriptome!BR$2:BR$28,MATCH(1,(Transcriptome!$A$2:$A$28=$B5)*(Transcriptome!$C$2:$C$28=$E5),0))</f>
        <v>1.3819649840367882</v>
      </c>
    </row>
    <row r="6" spans="1:99">
      <c r="A6">
        <f>'Measured Data'!A11</f>
        <v>4</v>
      </c>
      <c r="B6" t="s">
        <v>586</v>
      </c>
      <c r="C6" s="324" t="s">
        <v>588</v>
      </c>
      <c r="D6">
        <v>1</v>
      </c>
      <c r="E6" t="s">
        <v>515</v>
      </c>
      <c r="F6" s="477">
        <f>'Growth Regression'!R6</f>
        <v>4.3993055555583851</v>
      </c>
      <c r="G6" s="477">
        <f>'Growth Regression'!S6</f>
        <v>105.58333333340124</v>
      </c>
      <c r="H6">
        <f>AVERAGE('TL input - regression'!L6:L7)</f>
        <v>33.526499256200182</v>
      </c>
      <c r="I6">
        <f>AVERAGE('TL input - regression'!M6:M7)</f>
        <v>6.3832149200710484</v>
      </c>
      <c r="J6">
        <f>AVERAGE('TL input - regression'!N6:N7)</f>
        <v>0.83699999999999997</v>
      </c>
      <c r="K6">
        <f>AVERAGE('TL input - regression'!O6:O7)</f>
        <v>6.0354999999999999</v>
      </c>
      <c r="L6">
        <f>AVERAGE('TL input - regression'!P6:P7)</f>
        <v>1.6935</v>
      </c>
      <c r="M6">
        <f>'Growth Regression'!P6</f>
        <v>2.2630896243082663E-2</v>
      </c>
      <c r="N6">
        <f>M6/'Growth Regression'!$O$24</f>
        <v>0.84097581159691315</v>
      </c>
      <c r="O6">
        <f>'Post Process Calc.'!C24</f>
        <v>6.751274483686158E-2</v>
      </c>
      <c r="P6">
        <f>'Post Process Calc.'!D24</f>
        <v>2.5972966531969826E-2</v>
      </c>
      <c r="Q6">
        <f>'Post Process Calc.'!E24</f>
        <v>-8.0374712413070325E-3</v>
      </c>
      <c r="R6">
        <f>'Post Process Calc.'!F24</f>
        <v>3.4329040275665854E-3</v>
      </c>
      <c r="S6">
        <f>'Post Process Calc.'!G24</f>
        <v>-5.1594592978489069E-3</v>
      </c>
      <c r="T6">
        <f t="shared" si="2"/>
        <v>0.38471205095765459</v>
      </c>
      <c r="U6">
        <f t="shared" si="4"/>
        <v>42.195465523038486</v>
      </c>
      <c r="V6">
        <f t="shared" si="4"/>
        <v>16.233104082481141</v>
      </c>
      <c r="W6">
        <f t="shared" si="0"/>
        <v>-5.0234195258168954</v>
      </c>
      <c r="X6">
        <f t="shared" si="0"/>
        <v>2.1455650172291159</v>
      </c>
      <c r="Y6">
        <f t="shared" si="0"/>
        <v>-3.2246620611555668</v>
      </c>
      <c r="Z6">
        <v>100</v>
      </c>
      <c r="AA6">
        <v>0.32</v>
      </c>
      <c r="AB6">
        <v>7</v>
      </c>
      <c r="AC6">
        <v>0.7</v>
      </c>
      <c r="AD6">
        <f t="shared" si="1"/>
        <v>5.0118723362727164E-8</v>
      </c>
      <c r="AE6">
        <v>1</v>
      </c>
      <c r="AF6">
        <v>0.311</v>
      </c>
      <c r="AG6">
        <f t="array" ref="AG6">INDEX(Transcriptome!D$2:D$28,MATCH(1,(Transcriptome!$A$2:$A$28=$B6)*(Transcriptome!$C$2:$C$28=$E6),0))</f>
        <v>0.70792899137635334</v>
      </c>
      <c r="AH6">
        <f t="array" ref="AH6">INDEX(Transcriptome!E$2:E$28,MATCH(1,(Transcriptome!$A$2:$A$28=$B6)*(Transcriptome!$C$2:$C$28=$E6),0))</f>
        <v>1.5892398211913721</v>
      </c>
      <c r="AI6">
        <f t="array" ref="AI6">INDEX(Transcriptome!F$2:F$28,MATCH(1,(Transcriptome!$A$2:$A$28=$B6)*(Transcriptome!$C$2:$C$28=$E6),0))</f>
        <v>1.0699878087137091</v>
      </c>
      <c r="AJ6">
        <f t="array" ref="AJ6">INDEX(Transcriptome!G$2:G$28,MATCH(1,(Transcriptome!$A$2:$A$28=$B6)*(Transcriptome!$C$2:$C$28=$E6),0))</f>
        <v>0.70940308754432024</v>
      </c>
      <c r="AK6">
        <f t="array" ref="AK6">INDEX(Transcriptome!H$2:H$28,MATCH(1,(Transcriptome!$A$2:$A$28=$B6)*(Transcriptome!$C$2:$C$28=$E6),0))</f>
        <v>0</v>
      </c>
      <c r="AL6">
        <f t="array" ref="AL6">INDEX(Transcriptome!I$2:I$28,MATCH(1,(Transcriptome!$A$2:$A$28=$B6)*(Transcriptome!$C$2:$C$28=$E6),0))</f>
        <v>0.93552032018387032</v>
      </c>
      <c r="AM6">
        <f t="array" ref="AM6">INDEX(Transcriptome!J$2:J$28,MATCH(1,(Transcriptome!$A$2:$A$28=$B6)*(Transcriptome!$C$2:$C$28=$E6),0))</f>
        <v>1.0834614534636753</v>
      </c>
      <c r="AN6">
        <f t="array" ref="AN6">INDEX(Transcriptome!K$2:K$28,MATCH(1,(Transcriptome!$A$2:$A$28=$B6)*(Transcriptome!$C$2:$C$28=$E6),0))</f>
        <v>0.80377161141689246</v>
      </c>
      <c r="AO6">
        <f t="array" ref="AO6">INDEX(Transcriptome!L$2:L$28,MATCH(1,(Transcriptome!$A$2:$A$28=$B6)*(Transcriptome!$C$2:$C$28=$E6),0))</f>
        <v>0.85695479911735994</v>
      </c>
      <c r="AP6">
        <f t="array" ref="AP6">INDEX(Transcriptome!M$2:M$28,MATCH(1,(Transcriptome!$A$2:$A$28=$B6)*(Transcriptome!$C$2:$C$28=$E6),0))</f>
        <v>0.93891873980212981</v>
      </c>
      <c r="AQ6">
        <f t="array" ref="AQ6">INDEX(Transcriptome!N$2:N$28,MATCH(1,(Transcriptome!$A$2:$A$28=$B6)*(Transcriptome!$C$2:$C$28=$E6),0))</f>
        <v>0.70695686220859</v>
      </c>
      <c r="AR6">
        <f t="array" ref="AR6">INDEX(Transcriptome!O$2:O$28,MATCH(1,(Transcriptome!$A$2:$A$28=$B6)*(Transcriptome!$C$2:$C$28=$E6),0))</f>
        <v>0.8593713480497972</v>
      </c>
      <c r="AS6">
        <f t="array" ref="AS6">INDEX(Transcriptome!P$2:P$28,MATCH(1,(Transcriptome!$A$2:$A$28=$B6)*(Transcriptome!$C$2:$C$28=$E6),0))</f>
        <v>0.79904520541729218</v>
      </c>
      <c r="AT6">
        <f t="array" ref="AT6">INDEX(Transcriptome!Q$2:Q$28,MATCH(1,(Transcriptome!$A$2:$A$28=$B6)*(Transcriptome!$C$2:$C$28=$E6),0))</f>
        <v>0.47872282221313689</v>
      </c>
      <c r="AU6">
        <f t="array" ref="AU6">INDEX(Transcriptome!R$2:R$28,MATCH(1,(Transcriptome!$A$2:$A$28=$B6)*(Transcriptome!$C$2:$C$28=$E6),0))</f>
        <v>0.41383633912857071</v>
      </c>
      <c r="AV6">
        <f t="array" ref="AV6">INDEX(Transcriptome!S$2:S$28,MATCH(1,(Transcriptome!$A$2:$A$28=$B6)*(Transcriptome!$C$2:$C$28=$E6),0))</f>
        <v>0.44645950550293145</v>
      </c>
      <c r="AW6">
        <f t="array" ref="AW6">INDEX(Transcriptome!T$2:T$28,MATCH(1,(Transcriptome!$A$2:$A$28=$B6)*(Transcriptome!$C$2:$C$28=$E6),0))</f>
        <v>1.008655396739049</v>
      </c>
      <c r="AX6">
        <f t="array" ref="AX6">INDEX(Transcriptome!U$2:U$28,MATCH(1,(Transcriptome!$A$2:$A$28=$B6)*(Transcriptome!$C$2:$C$28=$E6),0))</f>
        <v>2.62155377663843</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0.59644766722058296</v>
      </c>
      <c r="BB6">
        <f t="array" ref="BB6">INDEX(Transcriptome!Y$2:Y$28,MATCH(1,(Transcriptome!$A$2:$A$28=$B6)*(Transcriptome!$C$2:$C$28=$E6),0))</f>
        <v>0</v>
      </c>
      <c r="BC6">
        <f t="array" ref="BC6">INDEX(Transcriptome!Z$2:Z$28,MATCH(1,(Transcriptome!$A$2:$A$28=$B6)*(Transcriptome!$C$2:$C$28=$E6),0))</f>
        <v>0.91328392911817136</v>
      </c>
      <c r="BD6">
        <f t="array" ref="BD6">INDEX(Transcriptome!AA$2:AA$28,MATCH(1,(Transcriptome!$A$2:$A$28=$B6)*(Transcriptome!$C$2:$C$28=$E6),0))</f>
        <v>1.061272583395289</v>
      </c>
      <c r="BE6">
        <f t="array" ref="BE6">INDEX(Transcriptome!AB$2:AB$28,MATCH(1,(Transcriptome!$A$2:$A$28=$B6)*(Transcriptome!$C$2:$C$28=$E6),0))</f>
        <v>0.40610812418406372</v>
      </c>
      <c r="BF6">
        <f t="array" ref="BF6">INDEX(Transcriptome!AC$2:AC$28,MATCH(1,(Transcriptome!$A$2:$A$28=$B6)*(Transcriptome!$C$2:$C$28=$E6),0))</f>
        <v>0.96854091898455463</v>
      </c>
      <c r="BG6">
        <f t="array" ref="BG6">INDEX(Transcriptome!AD$2:AD$28,MATCH(1,(Transcriptome!$A$2:$A$28=$B6)*(Transcriptome!$C$2:$C$28=$E6),0))</f>
        <v>0.74430848274637873</v>
      </c>
      <c r="BH6">
        <f t="array" ref="BH6">INDEX(Transcriptome!AE$2:AE$28,MATCH(1,(Transcriptome!$A$2:$A$28=$B6)*(Transcriptome!$C$2:$C$28=$E6),0))</f>
        <v>1.2431887576302834</v>
      </c>
      <c r="BI6">
        <f t="array" ref="BI6">INDEX(Transcriptome!AF$2:AF$28,MATCH(1,(Transcriptome!$A$2:$A$28=$B6)*(Transcriptome!$C$2:$C$28=$E6),0))</f>
        <v>0.49714311780941689</v>
      </c>
      <c r="BJ6">
        <f t="array" ref="BJ6">INDEX(Transcriptome!AG$2:AG$28,MATCH(1,(Transcriptome!$A$2:$A$28=$B6)*(Transcriptome!$C$2:$C$28=$E6),0))</f>
        <v>0.567414845207453</v>
      </c>
      <c r="BK6">
        <f t="array" ref="BK6">INDEX(Transcriptome!AH$2:AH$28,MATCH(1,(Transcriptome!$A$2:$A$28=$B6)*(Transcriptome!$C$2:$C$28=$E6),0))</f>
        <v>1.7504787263397232</v>
      </c>
      <c r="BL6">
        <f t="array" ref="BL6">INDEX(Transcriptome!AI$2:AI$28,MATCH(1,(Transcriptome!$A$2:$A$28=$B6)*(Transcriptome!$C$2:$C$28=$E6),0))</f>
        <v>0.56812861528565461</v>
      </c>
      <c r="BM6">
        <f t="array" ref="BM6">INDEX(Transcriptome!AJ$2:AJ$28,MATCH(1,(Transcriptome!$A$2:$A$28=$B6)*(Transcriptome!$C$2:$C$28=$E6),0))</f>
        <v>0.82144460906259187</v>
      </c>
      <c r="BN6">
        <f t="array" ref="BN6">INDEX(Transcriptome!AK$2:AK$28,MATCH(1,(Transcriptome!$A$2:$A$28=$B6)*(Transcriptome!$C$2:$C$28=$E6),0))</f>
        <v>0.4273004653597422</v>
      </c>
      <c r="BO6">
        <f t="array" ref="BO6">INDEX(Transcriptome!AL$2:AL$28,MATCH(1,(Transcriptome!$A$2:$A$28=$B6)*(Transcriptome!$C$2:$C$28=$E6),0))</f>
        <v>1</v>
      </c>
      <c r="BP6">
        <f t="array" ref="BP6">INDEX(Transcriptome!AM$2:AM$28,MATCH(1,(Transcriptome!$A$2:$A$28=$B6)*(Transcriptome!$C$2:$C$28=$E6),0))</f>
        <v>0.53518948544168743</v>
      </c>
      <c r="BQ6">
        <f t="array" ref="BQ6">INDEX(Transcriptome!AN$2:AN$28,MATCH(1,(Transcriptome!$A$2:$A$28=$B6)*(Transcriptome!$C$2:$C$28=$E6),0))</f>
        <v>0.73171138313074335</v>
      </c>
      <c r="BR6">
        <f t="array" ref="BR6">INDEX(Transcriptome!AO$2:AO$28,MATCH(1,(Transcriptome!$A$2:$A$28=$B6)*(Transcriptome!$C$2:$C$28=$E6),0))</f>
        <v>0.79282459441774966</v>
      </c>
      <c r="BS6">
        <f t="array" ref="BS6">INDEX(Transcriptome!AP$2:AP$28,MATCH(1,(Transcriptome!$A$2:$A$28=$B6)*(Transcriptome!$C$2:$C$28=$E6),0))</f>
        <v>0.94021059648890959</v>
      </c>
      <c r="BT6">
        <f t="array" ref="BT6">INDEX(Transcriptome!AQ$2:AQ$28,MATCH(1,(Transcriptome!$A$2:$A$28=$B6)*(Transcriptome!$C$2:$C$28=$E6),0))</f>
        <v>1.47708404581313</v>
      </c>
      <c r="BU6">
        <f t="array" ref="BU6">INDEX(Transcriptome!AR$2:AR$28,MATCH(1,(Transcriptome!$A$2:$A$28=$B6)*(Transcriptome!$C$2:$C$28=$E6),0))</f>
        <v>0.58760190296554049</v>
      </c>
      <c r="BV6">
        <f t="array" ref="BV6">INDEX(Transcriptome!AS$2:AS$28,MATCH(1,(Transcriptome!$A$2:$A$28=$B6)*(Transcriptome!$C$2:$C$28=$E6),0))</f>
        <v>0.72689778127724192</v>
      </c>
      <c r="BW6">
        <f t="array" ref="BW6">INDEX(Transcriptome!AT$2:AT$28,MATCH(1,(Transcriptome!$A$2:$A$28=$B6)*(Transcriptome!$C$2:$C$28=$E6),0))</f>
        <v>0.52996440534176203</v>
      </c>
      <c r="BX6">
        <f t="array" ref="BX6">INDEX(Transcriptome!AU$2:AU$28,MATCH(1,(Transcriptome!$A$2:$A$28=$B6)*(Transcriptome!$C$2:$C$28=$E6),0))</f>
        <v>1.2346382979140564</v>
      </c>
      <c r="BY6">
        <f t="array" ref="BY6">INDEX(Transcriptome!AV$2:AV$28,MATCH(1,(Transcriptome!$A$2:$A$28=$B6)*(Transcriptome!$C$2:$C$28=$E6),0))</f>
        <v>0.59394270175385044</v>
      </c>
      <c r="BZ6">
        <f t="array" ref="BZ6">INDEX(Transcriptome!AW$2:AW$28,MATCH(1,(Transcriptome!$A$2:$A$28=$B6)*(Transcriptome!$C$2:$C$28=$E6),0))</f>
        <v>0.79380009303939492</v>
      </c>
      <c r="CA6">
        <f t="array" ref="CA6">INDEX(Transcriptome!AX$2:AX$28,MATCH(1,(Transcriptome!$A$2:$A$28=$B6)*(Transcriptome!$C$2:$C$28=$E6),0))</f>
        <v>0.66411075288126009</v>
      </c>
      <c r="CB6">
        <f t="array" ref="CB6">INDEX(Transcriptome!AY$2:AY$28,MATCH(1,(Transcriptome!$A$2:$A$28=$B6)*(Transcriptome!$C$2:$C$28=$E6),0))</f>
        <v>0.91230940759148649</v>
      </c>
      <c r="CC6">
        <f t="array" ref="CC6">INDEX(Transcriptome!AZ$2:AZ$28,MATCH(1,(Transcriptome!$A$2:$A$28=$B6)*(Transcriptome!$C$2:$C$28=$E6),0))</f>
        <v>0.52236635594220548</v>
      </c>
      <c r="CD6">
        <f t="array" ref="CD6">INDEX(Transcriptome!BA$2:BA$28,MATCH(1,(Transcriptome!$A$2:$A$28=$B6)*(Transcriptome!$C$2:$C$28=$E6),0))</f>
        <v>1.4722765738374801</v>
      </c>
      <c r="CE6">
        <f t="array" ref="CE6">INDEX(Transcriptome!BB$2:BB$28,MATCH(1,(Transcriptome!$A$2:$A$28=$B6)*(Transcriptome!$C$2:$C$28=$E6),0))</f>
        <v>1.7837978141567536</v>
      </c>
      <c r="CF6">
        <f t="array" ref="CF6">INDEX(Transcriptome!BC$2:BC$28,MATCH(1,(Transcriptome!$A$2:$A$28=$B6)*(Transcriptome!$C$2:$C$28=$E6),0))</f>
        <v>0</v>
      </c>
      <c r="CG6">
        <f t="array" ref="CG6">INDEX(Transcriptome!BD$2:BD$28,MATCH(1,(Transcriptome!$A$2:$A$28=$B6)*(Transcriptome!$C$2:$C$28=$E6),0))</f>
        <v>0.89732664094598091</v>
      </c>
      <c r="CH6">
        <f t="array" ref="CH6">INDEX(Transcriptome!BE$2:BE$28,MATCH(1,(Transcriptome!$A$2:$A$28=$B6)*(Transcriptome!$C$2:$C$28=$E6),0))</f>
        <v>1.4278341624379669</v>
      </c>
      <c r="CI6">
        <f t="array" ref="CI6">INDEX(Transcriptome!BF$2:BF$28,MATCH(1,(Transcriptome!$A$2:$A$28=$B6)*(Transcriptome!$C$2:$C$28=$E6),0))</f>
        <v>1.0547210245064886</v>
      </c>
      <c r="CJ6">
        <f t="array" ref="CJ6">INDEX(Transcriptome!BG$2:BG$28,MATCH(1,(Transcriptome!$A$2:$A$28=$B6)*(Transcriptome!$C$2:$C$28=$E6),0))</f>
        <v>2.2222015287581018</v>
      </c>
      <c r="CK6">
        <f t="array" ref="CK6">INDEX(Transcriptome!BH$2:BH$28,MATCH(1,(Transcriptome!$A$2:$A$28=$B6)*(Transcriptome!$C$2:$C$28=$E6),0))</f>
        <v>0.40924168851755272</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2.7449342282819935</v>
      </c>
      <c r="CO6">
        <f t="array" ref="CO6">INDEX(Transcriptome!BL$2:BL$28,MATCH(1,(Transcriptome!$A$2:$A$28=$B6)*(Transcriptome!$C$2:$C$28=$E6),0))</f>
        <v>1.9495020029319203</v>
      </c>
      <c r="CP6">
        <f t="array" ref="CP6">INDEX(Transcriptome!BM$2:BM$28,MATCH(1,(Transcriptome!$A$2:$A$28=$B6)*(Transcriptome!$C$2:$C$28=$E6),0))</f>
        <v>0.84121164659459347</v>
      </c>
      <c r="CQ6">
        <f t="array" ref="CQ6">INDEX(Transcriptome!BN$2:BN$28,MATCH(1,(Transcriptome!$A$2:$A$28=$B6)*(Transcriptome!$C$2:$C$28=$E6),0))</f>
        <v>31.952489188561209</v>
      </c>
      <c r="CR6">
        <f t="array" ref="CR6">INDEX(Transcriptome!BO$2:BO$28,MATCH(1,(Transcriptome!$A$2:$A$28=$B6)*(Transcriptome!$C$2:$C$28=$E6),0))</f>
        <v>0.74951232158557368</v>
      </c>
      <c r="CS6">
        <f t="array" ref="CS6">INDEX(Transcriptome!BP$2:BP$28,MATCH(1,(Transcriptome!$A$2:$A$28=$B6)*(Transcriptome!$C$2:$C$28=$E6),0))</f>
        <v>0.40924168851755272</v>
      </c>
      <c r="CT6">
        <f t="array" ref="CT6">INDEX(Transcriptome!BQ$2:BQ$28,MATCH(1,(Transcriptome!$A$2:$A$28=$B6)*(Transcriptome!$C$2:$C$28=$E6),0))</f>
        <v>1</v>
      </c>
      <c r="CU6">
        <f t="array" ref="CU6">INDEX(Transcriptome!BR$2:BR$28,MATCH(1,(Transcriptome!$A$2:$A$28=$B6)*(Transcriptome!$C$2:$C$28=$E6),0))</f>
        <v>1.3819649840367882</v>
      </c>
    </row>
    <row r="7" spans="1:99">
      <c r="A7">
        <f>'Measured Data'!A12</f>
        <v>5</v>
      </c>
      <c r="B7" t="s">
        <v>586</v>
      </c>
      <c r="C7" s="324" t="s">
        <v>588</v>
      </c>
      <c r="D7">
        <v>1</v>
      </c>
      <c r="E7" t="s">
        <v>515</v>
      </c>
      <c r="F7" s="477">
        <f>'Growth Regression'!R7</f>
        <v>5.3500000000021828</v>
      </c>
      <c r="G7" s="477">
        <f>'Growth Regression'!S7</f>
        <v>128.40000000005239</v>
      </c>
      <c r="H7">
        <f>AVERAGE('TL input - regression'!L7:L8)</f>
        <v>34.053820022647045</v>
      </c>
      <c r="I7">
        <f>AVERAGE('TL input - regression'!M7:M8)</f>
        <v>8.3259325044404981</v>
      </c>
      <c r="J7">
        <f>AVERAGE('TL input - regression'!N7:N8)</f>
        <v>1.3465</v>
      </c>
      <c r="K7">
        <f>AVERAGE('TL input - regression'!O7:O8)</f>
        <v>6.5114999999999998</v>
      </c>
      <c r="L7">
        <f>AVERAGE('TL input - regression'!P7:P8)</f>
        <v>1.964</v>
      </c>
      <c r="M7">
        <f>'Growth Regression'!P7</f>
        <v>2.0268260681068424E-2</v>
      </c>
      <c r="N7">
        <f>M7/'Growth Regression'!$O$24</f>
        <v>0.75317905189589274</v>
      </c>
      <c r="O7">
        <f>'Post Process Calc.'!C25</f>
        <v>5.7172683262818207E-2</v>
      </c>
      <c r="P7">
        <f>'Post Process Calc.'!D25</f>
        <v>1.4386234443646301E-2</v>
      </c>
      <c r="Q7">
        <f>'Post Process Calc.'!E25</f>
        <v>-6.3188815405761751E-3</v>
      </c>
      <c r="R7">
        <f>'Post Process Calc.'!F25</f>
        <v>4.2852971946348148E-3</v>
      </c>
      <c r="S7">
        <f>'Post Process Calc.'!G25</f>
        <v>-2.9030930592888636E-3</v>
      </c>
      <c r="T7">
        <f t="shared" si="2"/>
        <v>0.25162776386607472</v>
      </c>
      <c r="U7">
        <f t="shared" si="4"/>
        <v>35.732927039261376</v>
      </c>
      <c r="V7">
        <f t="shared" si="4"/>
        <v>8.9913965272789387</v>
      </c>
      <c r="W7">
        <f t="shared" si="0"/>
        <v>-3.9493009628601095</v>
      </c>
      <c r="X7">
        <f t="shared" si="0"/>
        <v>2.6783107466467593</v>
      </c>
      <c r="Y7">
        <f t="shared" si="0"/>
        <v>-1.8144331620555396</v>
      </c>
      <c r="Z7">
        <v>100</v>
      </c>
      <c r="AA7">
        <v>0.32</v>
      </c>
      <c r="AB7">
        <v>7</v>
      </c>
      <c r="AC7">
        <v>0.7</v>
      </c>
      <c r="AD7">
        <f t="shared" si="1"/>
        <v>5.0118723362727164E-8</v>
      </c>
      <c r="AE7">
        <v>1</v>
      </c>
      <c r="AF7">
        <v>0.311</v>
      </c>
      <c r="AG7">
        <f t="array" ref="AG7">INDEX(Transcriptome!D$2:D$28,MATCH(1,(Transcriptome!$A$2:$A$28=$B7)*(Transcriptome!$C$2:$C$28=$E7),0))</f>
        <v>0.70792899137635334</v>
      </c>
      <c r="AH7">
        <f t="array" ref="AH7">INDEX(Transcriptome!E$2:E$28,MATCH(1,(Transcriptome!$A$2:$A$28=$B7)*(Transcriptome!$C$2:$C$28=$E7),0))</f>
        <v>1.5892398211913721</v>
      </c>
      <c r="AI7">
        <f t="array" ref="AI7">INDEX(Transcriptome!F$2:F$28,MATCH(1,(Transcriptome!$A$2:$A$28=$B7)*(Transcriptome!$C$2:$C$28=$E7),0))</f>
        <v>1.0699878087137091</v>
      </c>
      <c r="AJ7">
        <f t="array" ref="AJ7">INDEX(Transcriptome!G$2:G$28,MATCH(1,(Transcriptome!$A$2:$A$28=$B7)*(Transcriptome!$C$2:$C$28=$E7),0))</f>
        <v>0.70940308754432024</v>
      </c>
      <c r="AK7">
        <f t="array" ref="AK7">INDEX(Transcriptome!H$2:H$28,MATCH(1,(Transcriptome!$A$2:$A$28=$B7)*(Transcriptome!$C$2:$C$28=$E7),0))</f>
        <v>0</v>
      </c>
      <c r="AL7">
        <f t="array" ref="AL7">INDEX(Transcriptome!I$2:I$28,MATCH(1,(Transcriptome!$A$2:$A$28=$B7)*(Transcriptome!$C$2:$C$28=$E7),0))</f>
        <v>0.93552032018387032</v>
      </c>
      <c r="AM7">
        <f t="array" ref="AM7">INDEX(Transcriptome!J$2:J$28,MATCH(1,(Transcriptome!$A$2:$A$28=$B7)*(Transcriptome!$C$2:$C$28=$E7),0))</f>
        <v>1.0834614534636753</v>
      </c>
      <c r="AN7">
        <f t="array" ref="AN7">INDEX(Transcriptome!K$2:K$28,MATCH(1,(Transcriptome!$A$2:$A$28=$B7)*(Transcriptome!$C$2:$C$28=$E7),0))</f>
        <v>0.80377161141689246</v>
      </c>
      <c r="AO7">
        <f t="array" ref="AO7">INDEX(Transcriptome!L$2:L$28,MATCH(1,(Transcriptome!$A$2:$A$28=$B7)*(Transcriptome!$C$2:$C$28=$E7),0))</f>
        <v>0.85695479911735994</v>
      </c>
      <c r="AP7">
        <f t="array" ref="AP7">INDEX(Transcriptome!M$2:M$28,MATCH(1,(Transcriptome!$A$2:$A$28=$B7)*(Transcriptome!$C$2:$C$28=$E7),0))</f>
        <v>0.93891873980212981</v>
      </c>
      <c r="AQ7">
        <f t="array" ref="AQ7">INDEX(Transcriptome!N$2:N$28,MATCH(1,(Transcriptome!$A$2:$A$28=$B7)*(Transcriptome!$C$2:$C$28=$E7),0))</f>
        <v>0.70695686220859</v>
      </c>
      <c r="AR7">
        <f t="array" ref="AR7">INDEX(Transcriptome!O$2:O$28,MATCH(1,(Transcriptome!$A$2:$A$28=$B7)*(Transcriptome!$C$2:$C$28=$E7),0))</f>
        <v>0.8593713480497972</v>
      </c>
      <c r="AS7">
        <f t="array" ref="AS7">INDEX(Transcriptome!P$2:P$28,MATCH(1,(Transcriptome!$A$2:$A$28=$B7)*(Transcriptome!$C$2:$C$28=$E7),0))</f>
        <v>0.79904520541729218</v>
      </c>
      <c r="AT7">
        <f t="array" ref="AT7">INDEX(Transcriptome!Q$2:Q$28,MATCH(1,(Transcriptome!$A$2:$A$28=$B7)*(Transcriptome!$C$2:$C$28=$E7),0))</f>
        <v>0.47872282221313689</v>
      </c>
      <c r="AU7">
        <f t="array" ref="AU7">INDEX(Transcriptome!R$2:R$28,MATCH(1,(Transcriptome!$A$2:$A$28=$B7)*(Transcriptome!$C$2:$C$28=$E7),0))</f>
        <v>0.41383633912857071</v>
      </c>
      <c r="AV7">
        <f t="array" ref="AV7">INDEX(Transcriptome!S$2:S$28,MATCH(1,(Transcriptome!$A$2:$A$28=$B7)*(Transcriptome!$C$2:$C$28=$E7),0))</f>
        <v>0.44645950550293145</v>
      </c>
      <c r="AW7">
        <f t="array" ref="AW7">INDEX(Transcriptome!T$2:T$28,MATCH(1,(Transcriptome!$A$2:$A$28=$B7)*(Transcriptome!$C$2:$C$28=$E7),0))</f>
        <v>1.008655396739049</v>
      </c>
      <c r="AX7">
        <f t="array" ref="AX7">INDEX(Transcriptome!U$2:U$28,MATCH(1,(Transcriptome!$A$2:$A$28=$B7)*(Transcriptome!$C$2:$C$28=$E7),0))</f>
        <v>2.62155377663843</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0.59644766722058296</v>
      </c>
      <c r="BB7">
        <f t="array" ref="BB7">INDEX(Transcriptome!Y$2:Y$28,MATCH(1,(Transcriptome!$A$2:$A$28=$B7)*(Transcriptome!$C$2:$C$28=$E7),0))</f>
        <v>0</v>
      </c>
      <c r="BC7">
        <f t="array" ref="BC7">INDEX(Transcriptome!Z$2:Z$28,MATCH(1,(Transcriptome!$A$2:$A$28=$B7)*(Transcriptome!$C$2:$C$28=$E7),0))</f>
        <v>0.91328392911817136</v>
      </c>
      <c r="BD7">
        <f t="array" ref="BD7">INDEX(Transcriptome!AA$2:AA$28,MATCH(1,(Transcriptome!$A$2:$A$28=$B7)*(Transcriptome!$C$2:$C$28=$E7),0))</f>
        <v>1.061272583395289</v>
      </c>
      <c r="BE7">
        <f t="array" ref="BE7">INDEX(Transcriptome!AB$2:AB$28,MATCH(1,(Transcriptome!$A$2:$A$28=$B7)*(Transcriptome!$C$2:$C$28=$E7),0))</f>
        <v>0.40610812418406372</v>
      </c>
      <c r="BF7">
        <f t="array" ref="BF7">INDEX(Transcriptome!AC$2:AC$28,MATCH(1,(Transcriptome!$A$2:$A$28=$B7)*(Transcriptome!$C$2:$C$28=$E7),0))</f>
        <v>0.96854091898455463</v>
      </c>
      <c r="BG7">
        <f t="array" ref="BG7">INDEX(Transcriptome!AD$2:AD$28,MATCH(1,(Transcriptome!$A$2:$A$28=$B7)*(Transcriptome!$C$2:$C$28=$E7),0))</f>
        <v>0.74430848274637873</v>
      </c>
      <c r="BH7">
        <f t="array" ref="BH7">INDEX(Transcriptome!AE$2:AE$28,MATCH(1,(Transcriptome!$A$2:$A$28=$B7)*(Transcriptome!$C$2:$C$28=$E7),0))</f>
        <v>1.2431887576302834</v>
      </c>
      <c r="BI7">
        <f t="array" ref="BI7">INDEX(Transcriptome!AF$2:AF$28,MATCH(1,(Transcriptome!$A$2:$A$28=$B7)*(Transcriptome!$C$2:$C$28=$E7),0))</f>
        <v>0.49714311780941689</v>
      </c>
      <c r="BJ7">
        <f t="array" ref="BJ7">INDEX(Transcriptome!AG$2:AG$28,MATCH(1,(Transcriptome!$A$2:$A$28=$B7)*(Transcriptome!$C$2:$C$28=$E7),0))</f>
        <v>0.567414845207453</v>
      </c>
      <c r="BK7">
        <f t="array" ref="BK7">INDEX(Transcriptome!AH$2:AH$28,MATCH(1,(Transcriptome!$A$2:$A$28=$B7)*(Transcriptome!$C$2:$C$28=$E7),0))</f>
        <v>1.7504787263397232</v>
      </c>
      <c r="BL7">
        <f t="array" ref="BL7">INDEX(Transcriptome!AI$2:AI$28,MATCH(1,(Transcriptome!$A$2:$A$28=$B7)*(Transcriptome!$C$2:$C$28=$E7),0))</f>
        <v>0.56812861528565461</v>
      </c>
      <c r="BM7">
        <f t="array" ref="BM7">INDEX(Transcriptome!AJ$2:AJ$28,MATCH(1,(Transcriptome!$A$2:$A$28=$B7)*(Transcriptome!$C$2:$C$28=$E7),0))</f>
        <v>0.82144460906259187</v>
      </c>
      <c r="BN7">
        <f t="array" ref="BN7">INDEX(Transcriptome!AK$2:AK$28,MATCH(1,(Transcriptome!$A$2:$A$28=$B7)*(Transcriptome!$C$2:$C$28=$E7),0))</f>
        <v>0.4273004653597422</v>
      </c>
      <c r="BO7">
        <f t="array" ref="BO7">INDEX(Transcriptome!AL$2:AL$28,MATCH(1,(Transcriptome!$A$2:$A$28=$B7)*(Transcriptome!$C$2:$C$28=$E7),0))</f>
        <v>1</v>
      </c>
      <c r="BP7">
        <f t="array" ref="BP7">INDEX(Transcriptome!AM$2:AM$28,MATCH(1,(Transcriptome!$A$2:$A$28=$B7)*(Transcriptome!$C$2:$C$28=$E7),0))</f>
        <v>0.53518948544168743</v>
      </c>
      <c r="BQ7">
        <f t="array" ref="BQ7">INDEX(Transcriptome!AN$2:AN$28,MATCH(1,(Transcriptome!$A$2:$A$28=$B7)*(Transcriptome!$C$2:$C$28=$E7),0))</f>
        <v>0.73171138313074335</v>
      </c>
      <c r="BR7">
        <f t="array" ref="BR7">INDEX(Transcriptome!AO$2:AO$28,MATCH(1,(Transcriptome!$A$2:$A$28=$B7)*(Transcriptome!$C$2:$C$28=$E7),0))</f>
        <v>0.79282459441774966</v>
      </c>
      <c r="BS7">
        <f t="array" ref="BS7">INDEX(Transcriptome!AP$2:AP$28,MATCH(1,(Transcriptome!$A$2:$A$28=$B7)*(Transcriptome!$C$2:$C$28=$E7),0))</f>
        <v>0.94021059648890959</v>
      </c>
      <c r="BT7">
        <f t="array" ref="BT7">INDEX(Transcriptome!AQ$2:AQ$28,MATCH(1,(Transcriptome!$A$2:$A$28=$B7)*(Transcriptome!$C$2:$C$28=$E7),0))</f>
        <v>1.47708404581313</v>
      </c>
      <c r="BU7">
        <f t="array" ref="BU7">INDEX(Transcriptome!AR$2:AR$28,MATCH(1,(Transcriptome!$A$2:$A$28=$B7)*(Transcriptome!$C$2:$C$28=$E7),0))</f>
        <v>0.58760190296554049</v>
      </c>
      <c r="BV7">
        <f t="array" ref="BV7">INDEX(Transcriptome!AS$2:AS$28,MATCH(1,(Transcriptome!$A$2:$A$28=$B7)*(Transcriptome!$C$2:$C$28=$E7),0))</f>
        <v>0.72689778127724192</v>
      </c>
      <c r="BW7">
        <f t="array" ref="BW7">INDEX(Transcriptome!AT$2:AT$28,MATCH(1,(Transcriptome!$A$2:$A$28=$B7)*(Transcriptome!$C$2:$C$28=$E7),0))</f>
        <v>0.52996440534176203</v>
      </c>
      <c r="BX7">
        <f t="array" ref="BX7">INDEX(Transcriptome!AU$2:AU$28,MATCH(1,(Transcriptome!$A$2:$A$28=$B7)*(Transcriptome!$C$2:$C$28=$E7),0))</f>
        <v>1.2346382979140564</v>
      </c>
      <c r="BY7">
        <f t="array" ref="BY7">INDEX(Transcriptome!AV$2:AV$28,MATCH(1,(Transcriptome!$A$2:$A$28=$B7)*(Transcriptome!$C$2:$C$28=$E7),0))</f>
        <v>0.59394270175385044</v>
      </c>
      <c r="BZ7">
        <f t="array" ref="BZ7">INDEX(Transcriptome!AW$2:AW$28,MATCH(1,(Transcriptome!$A$2:$A$28=$B7)*(Transcriptome!$C$2:$C$28=$E7),0))</f>
        <v>0.79380009303939492</v>
      </c>
      <c r="CA7">
        <f t="array" ref="CA7">INDEX(Transcriptome!AX$2:AX$28,MATCH(1,(Transcriptome!$A$2:$A$28=$B7)*(Transcriptome!$C$2:$C$28=$E7),0))</f>
        <v>0.66411075288126009</v>
      </c>
      <c r="CB7">
        <f t="array" ref="CB7">INDEX(Transcriptome!AY$2:AY$28,MATCH(1,(Transcriptome!$A$2:$A$28=$B7)*(Transcriptome!$C$2:$C$28=$E7),0))</f>
        <v>0.91230940759148649</v>
      </c>
      <c r="CC7">
        <f t="array" ref="CC7">INDEX(Transcriptome!AZ$2:AZ$28,MATCH(1,(Transcriptome!$A$2:$A$28=$B7)*(Transcriptome!$C$2:$C$28=$E7),0))</f>
        <v>0.52236635594220548</v>
      </c>
      <c r="CD7">
        <f t="array" ref="CD7">INDEX(Transcriptome!BA$2:BA$28,MATCH(1,(Transcriptome!$A$2:$A$28=$B7)*(Transcriptome!$C$2:$C$28=$E7),0))</f>
        <v>1.4722765738374801</v>
      </c>
      <c r="CE7">
        <f t="array" ref="CE7">INDEX(Transcriptome!BB$2:BB$28,MATCH(1,(Transcriptome!$A$2:$A$28=$B7)*(Transcriptome!$C$2:$C$28=$E7),0))</f>
        <v>1.7837978141567536</v>
      </c>
      <c r="CF7">
        <f t="array" ref="CF7">INDEX(Transcriptome!BC$2:BC$28,MATCH(1,(Transcriptome!$A$2:$A$28=$B7)*(Transcriptome!$C$2:$C$28=$E7),0))</f>
        <v>0</v>
      </c>
      <c r="CG7">
        <f t="array" ref="CG7">INDEX(Transcriptome!BD$2:BD$28,MATCH(1,(Transcriptome!$A$2:$A$28=$B7)*(Transcriptome!$C$2:$C$28=$E7),0))</f>
        <v>0.89732664094598091</v>
      </c>
      <c r="CH7">
        <f t="array" ref="CH7">INDEX(Transcriptome!BE$2:BE$28,MATCH(1,(Transcriptome!$A$2:$A$28=$B7)*(Transcriptome!$C$2:$C$28=$E7),0))</f>
        <v>1.4278341624379669</v>
      </c>
      <c r="CI7">
        <f t="array" ref="CI7">INDEX(Transcriptome!BF$2:BF$28,MATCH(1,(Transcriptome!$A$2:$A$28=$B7)*(Transcriptome!$C$2:$C$28=$E7),0))</f>
        <v>1.0547210245064886</v>
      </c>
      <c r="CJ7">
        <f t="array" ref="CJ7">INDEX(Transcriptome!BG$2:BG$28,MATCH(1,(Transcriptome!$A$2:$A$28=$B7)*(Transcriptome!$C$2:$C$28=$E7),0))</f>
        <v>2.2222015287581018</v>
      </c>
      <c r="CK7">
        <f t="array" ref="CK7">INDEX(Transcriptome!BH$2:BH$28,MATCH(1,(Transcriptome!$A$2:$A$28=$B7)*(Transcriptome!$C$2:$C$28=$E7),0))</f>
        <v>0.40924168851755272</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2.7449342282819935</v>
      </c>
      <c r="CO7">
        <f t="array" ref="CO7">INDEX(Transcriptome!BL$2:BL$28,MATCH(1,(Transcriptome!$A$2:$A$28=$B7)*(Transcriptome!$C$2:$C$28=$E7),0))</f>
        <v>1.9495020029319203</v>
      </c>
      <c r="CP7">
        <f t="array" ref="CP7">INDEX(Transcriptome!BM$2:BM$28,MATCH(1,(Transcriptome!$A$2:$A$28=$B7)*(Transcriptome!$C$2:$C$28=$E7),0))</f>
        <v>0.84121164659459347</v>
      </c>
      <c r="CQ7">
        <f t="array" ref="CQ7">INDEX(Transcriptome!BN$2:BN$28,MATCH(1,(Transcriptome!$A$2:$A$28=$B7)*(Transcriptome!$C$2:$C$28=$E7),0))</f>
        <v>31.952489188561209</v>
      </c>
      <c r="CR7">
        <f t="array" ref="CR7">INDEX(Transcriptome!BO$2:BO$28,MATCH(1,(Transcriptome!$A$2:$A$28=$B7)*(Transcriptome!$C$2:$C$28=$E7),0))</f>
        <v>0.74951232158557368</v>
      </c>
      <c r="CS7">
        <f t="array" ref="CS7">INDEX(Transcriptome!BP$2:BP$28,MATCH(1,(Transcriptome!$A$2:$A$28=$B7)*(Transcriptome!$C$2:$C$28=$E7),0))</f>
        <v>0.40924168851755272</v>
      </c>
      <c r="CT7">
        <f t="array" ref="CT7">INDEX(Transcriptome!BQ$2:BQ$28,MATCH(1,(Transcriptome!$A$2:$A$28=$B7)*(Transcriptome!$C$2:$C$28=$E7),0))</f>
        <v>1</v>
      </c>
      <c r="CU7">
        <f t="array" ref="CU7">INDEX(Transcriptome!BR$2:BR$28,MATCH(1,(Transcriptome!$A$2:$A$28=$B7)*(Transcriptome!$C$2:$C$28=$E7),0))</f>
        <v>1.3819649840367882</v>
      </c>
    </row>
    <row r="8" spans="1:99">
      <c r="A8">
        <f>'Measured Data'!A13</f>
        <v>6</v>
      </c>
      <c r="B8" t="s">
        <v>586</v>
      </c>
      <c r="C8" s="324" t="s">
        <v>588</v>
      </c>
      <c r="D8">
        <v>1</v>
      </c>
      <c r="E8" t="s">
        <v>513</v>
      </c>
      <c r="F8" s="477">
        <f>'Growth Regression'!R8</f>
        <v>6.3677083333350311</v>
      </c>
      <c r="G8" s="477">
        <f>'Growth Regression'!S8</f>
        <v>152.82500000004075</v>
      </c>
      <c r="H8">
        <f>AVERAGE('TL input - regression'!L8:L9)</f>
        <v>32.582872621505807</v>
      </c>
      <c r="I8">
        <f>AVERAGE('TL input - regression'!M8:M9)</f>
        <v>10.213143872113678</v>
      </c>
      <c r="J8">
        <f>AVERAGE('TL input - regression'!N8:N9)</f>
        <v>2.1844999999999999</v>
      </c>
      <c r="K8">
        <f>AVERAGE('TL input - regression'!O8:O9)</f>
        <v>6.0664999999999996</v>
      </c>
      <c r="L8">
        <f>AVERAGE('TL input - regression'!P8:P9)</f>
        <v>2.512</v>
      </c>
      <c r="M8">
        <f>'Growth Regression'!P8</f>
        <v>1.6352391818789065E-2</v>
      </c>
      <c r="N8">
        <f>M8/'Growth Regression'!$O$24</f>
        <v>0.60766333925287075</v>
      </c>
      <c r="O8">
        <f>'Post Process Calc.'!C26</f>
        <v>4.7569789983488348E-2</v>
      </c>
      <c r="P8">
        <f>'Post Process Calc.'!D26</f>
        <v>6.0691215806835492E-3</v>
      </c>
      <c r="Q8">
        <f>'Post Process Calc.'!E26</f>
        <v>-3.9333998407575371E-3</v>
      </c>
      <c r="R8">
        <f>'Post Process Calc.'!F26</f>
        <v>4.2286911415685743E-3</v>
      </c>
      <c r="S8">
        <f>'Post Process Calc.'!G26</f>
        <v>-1.2864779853748109E-3</v>
      </c>
      <c r="T8">
        <f t="shared" si="2"/>
        <v>0.12758352691466926</v>
      </c>
      <c r="U8">
        <f t="shared" si="4"/>
        <v>29.731118739680216</v>
      </c>
      <c r="V8">
        <f t="shared" si="4"/>
        <v>3.7932009879272179</v>
      </c>
      <c r="W8">
        <f t="shared" si="0"/>
        <v>-2.4583749004734607</v>
      </c>
      <c r="X8">
        <f t="shared" si="0"/>
        <v>2.642931963480359</v>
      </c>
      <c r="Y8">
        <f t="shared" si="0"/>
        <v>-0.80404874085925682</v>
      </c>
      <c r="Z8">
        <v>100</v>
      </c>
      <c r="AA8">
        <v>0.32</v>
      </c>
      <c r="AB8">
        <v>7</v>
      </c>
      <c r="AC8">
        <v>0.7</v>
      </c>
      <c r="AD8">
        <f t="shared" si="1"/>
        <v>5.0118723362727164E-8</v>
      </c>
      <c r="AE8">
        <v>1</v>
      </c>
      <c r="AF8">
        <v>0.311</v>
      </c>
      <c r="AG8">
        <f t="array" ref="AG8">INDEX(Transcriptome!D$2:D$28,MATCH(1,(Transcriptome!$A$2:$A$28=$B8)*(Transcriptome!$C$2:$C$28=$E8),0))</f>
        <v>0.92920540890907499</v>
      </c>
      <c r="AH8">
        <f t="array" ref="AH8">INDEX(Transcriptome!E$2:E$28,MATCH(1,(Transcriptome!$A$2:$A$28=$B8)*(Transcriptome!$C$2:$C$28=$E8),0))</f>
        <v>1.7329213892359023</v>
      </c>
      <c r="AI8">
        <f t="array" ref="AI8">INDEX(Transcriptome!F$2:F$28,MATCH(1,(Transcriptome!$A$2:$A$28=$B8)*(Transcriptome!$C$2:$C$28=$E8),0))</f>
        <v>1.248709181151141</v>
      </c>
      <c r="AJ8">
        <f t="array" ref="AJ8">INDEX(Transcriptome!G$2:G$28,MATCH(1,(Transcriptome!$A$2:$A$28=$B8)*(Transcriptome!$C$2:$C$28=$E8),0))</f>
        <v>0.4721791156252973</v>
      </c>
      <c r="AK8">
        <f t="array" ref="AK8">INDEX(Transcriptome!H$2:H$28,MATCH(1,(Transcriptome!$A$2:$A$28=$B8)*(Transcriptome!$C$2:$C$28=$E8),0))</f>
        <v>0</v>
      </c>
      <c r="AL8">
        <f t="array" ref="AL8">INDEX(Transcriptome!I$2:I$28,MATCH(1,(Transcriptome!$A$2:$A$28=$B8)*(Transcriptome!$C$2:$C$28=$E8),0))</f>
        <v>1.1226843694890076</v>
      </c>
      <c r="AM8">
        <f t="array" ref="AM8">INDEX(Transcriptome!J$2:J$28,MATCH(1,(Transcriptome!$A$2:$A$28=$B8)*(Transcriptome!$C$2:$C$28=$E8),0))</f>
        <v>1.3251398271295012</v>
      </c>
      <c r="AN8">
        <f t="array" ref="AN8">INDEX(Transcriptome!K$2:K$28,MATCH(1,(Transcriptome!$A$2:$A$28=$B8)*(Transcriptome!$C$2:$C$28=$E8),0))</f>
        <v>0.96530155174686461</v>
      </c>
      <c r="AO8">
        <f t="array" ref="AO8">INDEX(Transcriptome!L$2:L$28,MATCH(1,(Transcriptome!$A$2:$A$28=$B8)*(Transcriptome!$C$2:$C$28=$E8),0))</f>
        <v>1.2210153312207193</v>
      </c>
      <c r="AP8">
        <f t="array" ref="AP8">INDEX(Transcriptome!M$2:M$28,MATCH(1,(Transcriptome!$A$2:$A$28=$B8)*(Transcriptome!$C$2:$C$28=$E8),0))</f>
        <v>1.2244730900490455</v>
      </c>
      <c r="AQ8">
        <f t="array" ref="AQ8">INDEX(Transcriptome!N$2:N$28,MATCH(1,(Transcriptome!$A$2:$A$28=$B8)*(Transcriptome!$C$2:$C$28=$E8),0))</f>
        <v>0.73155313986543535</v>
      </c>
      <c r="AR8">
        <f t="array" ref="AR8">INDEX(Transcriptome!O$2:O$28,MATCH(1,(Transcriptome!$A$2:$A$28=$B8)*(Transcriptome!$C$2:$C$28=$E8),0))</f>
        <v>1.152318513561184</v>
      </c>
      <c r="AS8">
        <f t="array" ref="AS8">INDEX(Transcriptome!P$2:P$28,MATCH(1,(Transcriptome!$A$2:$A$28=$B8)*(Transcriptome!$C$2:$C$28=$E8),0))</f>
        <v>0.89618838062804274</v>
      </c>
      <c r="AT8">
        <f t="array" ref="AT8">INDEX(Transcriptome!Q$2:Q$28,MATCH(1,(Transcriptome!$A$2:$A$28=$B8)*(Transcriptome!$C$2:$C$28=$E8),0))</f>
        <v>0.65135227913388327</v>
      </c>
      <c r="AU8">
        <f t="array" ref="AU8">INDEX(Transcriptome!R$2:R$28,MATCH(1,(Transcriptome!$A$2:$A$28=$B8)*(Transcriptome!$C$2:$C$28=$E8),0))</f>
        <v>0.44670006467175033</v>
      </c>
      <c r="AV8">
        <f t="array" ref="AV8">INDEX(Transcriptome!S$2:S$28,MATCH(1,(Transcriptome!$A$2:$A$28=$B8)*(Transcriptome!$C$2:$C$28=$E8),0))</f>
        <v>0.54170910506007386</v>
      </c>
      <c r="AW8">
        <f t="array" ref="AW8">INDEX(Transcriptome!T$2:T$28,MATCH(1,(Transcriptome!$A$2:$A$28=$B8)*(Transcriptome!$C$2:$C$28=$E8),0))</f>
        <v>1.1524538892853755</v>
      </c>
      <c r="AX8">
        <f t="array" ref="AX8">INDEX(Transcriptome!U$2:U$28,MATCH(1,(Transcriptome!$A$2:$A$28=$B8)*(Transcriptome!$C$2:$C$28=$E8),0))</f>
        <v>3.717777936487666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0.76557540655216338</v>
      </c>
      <c r="BB8">
        <f t="array" ref="BB8">INDEX(Transcriptome!Y$2:Y$28,MATCH(1,(Transcriptome!$A$2:$A$28=$B8)*(Transcriptome!$C$2:$C$28=$E8),0))</f>
        <v>0</v>
      </c>
      <c r="BC8">
        <f t="array" ref="BC8">INDEX(Transcriptome!Z$2:Z$28,MATCH(1,(Transcriptome!$A$2:$A$28=$B8)*(Transcriptome!$C$2:$C$28=$E8),0))</f>
        <v>1.2179664020132115</v>
      </c>
      <c r="BD8">
        <f t="array" ref="BD8">INDEX(Transcriptome!AA$2:AA$28,MATCH(1,(Transcriptome!$A$2:$A$28=$B8)*(Transcriptome!$C$2:$C$28=$E8),0))</f>
        <v>1.4585553096187835</v>
      </c>
      <c r="BE8">
        <f t="array" ref="BE8">INDEX(Transcriptome!AB$2:AB$28,MATCH(1,(Transcriptome!$A$2:$A$28=$B8)*(Transcriptome!$C$2:$C$28=$E8),0))</f>
        <v>0.49899248340048019</v>
      </c>
      <c r="BF8">
        <f t="array" ref="BF8">INDEX(Transcriptome!AC$2:AC$28,MATCH(1,(Transcriptome!$A$2:$A$28=$B8)*(Transcriptome!$C$2:$C$28=$E8),0))</f>
        <v>1.0380961603134766</v>
      </c>
      <c r="BG8">
        <f t="array" ref="BG8">INDEX(Transcriptome!AD$2:AD$28,MATCH(1,(Transcriptome!$A$2:$A$28=$B8)*(Transcriptome!$C$2:$C$28=$E8),0))</f>
        <v>0.8468321289341687</v>
      </c>
      <c r="BH8">
        <f t="array" ref="BH8">INDEX(Transcriptome!AE$2:AE$28,MATCH(1,(Transcriptome!$A$2:$A$28=$B8)*(Transcriptome!$C$2:$C$28=$E8),0))</f>
        <v>1.3366947398587019</v>
      </c>
      <c r="BI8">
        <f t="array" ref="BI8">INDEX(Transcriptome!AF$2:AF$28,MATCH(1,(Transcriptome!$A$2:$A$28=$B8)*(Transcriptome!$C$2:$C$28=$E8),0))</f>
        <v>0.50618842957342058</v>
      </c>
      <c r="BJ8">
        <f t="array" ref="BJ8">INDEX(Transcriptome!AG$2:AG$28,MATCH(1,(Transcriptome!$A$2:$A$28=$B8)*(Transcriptome!$C$2:$C$28=$E8),0))</f>
        <v>0.66736997584655977</v>
      </c>
      <c r="BK8">
        <f t="array" ref="BK8">INDEX(Transcriptome!AH$2:AH$28,MATCH(1,(Transcriptome!$A$2:$A$28=$B8)*(Transcriptome!$C$2:$C$28=$E8),0))</f>
        <v>1.9306174267998168</v>
      </c>
      <c r="BL8">
        <f t="array" ref="BL8">INDEX(Transcriptome!AI$2:AI$28,MATCH(1,(Transcriptome!$A$2:$A$28=$B8)*(Transcriptome!$C$2:$C$28=$E8),0))</f>
        <v>0.77468008259435317</v>
      </c>
      <c r="BM8">
        <f t="array" ref="BM8">INDEX(Transcriptome!AJ$2:AJ$28,MATCH(1,(Transcriptome!$A$2:$A$28=$B8)*(Transcriptome!$C$2:$C$28=$E8),0))</f>
        <v>1.0628605890830978</v>
      </c>
      <c r="BN8">
        <f t="array" ref="BN8">INDEX(Transcriptome!AK$2:AK$28,MATCH(1,(Transcriptome!$A$2:$A$28=$B8)*(Transcriptome!$C$2:$C$28=$E8),0))</f>
        <v>0.55212849473227277</v>
      </c>
      <c r="BO8">
        <f t="array" ref="BO8">INDEX(Transcriptome!AL$2:AL$28,MATCH(1,(Transcriptome!$A$2:$A$28=$B8)*(Transcriptome!$C$2:$C$28=$E8),0))</f>
        <v>1</v>
      </c>
      <c r="BP8">
        <f t="array" ref="BP8">INDEX(Transcriptome!AM$2:AM$28,MATCH(1,(Transcriptome!$A$2:$A$28=$B8)*(Transcriptome!$C$2:$C$28=$E8),0))</f>
        <v>0.66472755238098791</v>
      </c>
      <c r="BQ8">
        <f t="array" ref="BQ8">INDEX(Transcriptome!AN$2:AN$28,MATCH(1,(Transcriptome!$A$2:$A$28=$B8)*(Transcriptome!$C$2:$C$28=$E8),0))</f>
        <v>1.0010669451153449</v>
      </c>
      <c r="BR8">
        <f t="array" ref="BR8">INDEX(Transcriptome!AO$2:AO$28,MATCH(1,(Transcriptome!$A$2:$A$28=$B8)*(Transcriptome!$C$2:$C$28=$E8),0))</f>
        <v>0.99858945685943101</v>
      </c>
      <c r="BS8">
        <f t="array" ref="BS8">INDEX(Transcriptome!AP$2:AP$28,MATCH(1,(Transcriptome!$A$2:$A$28=$B8)*(Transcriptome!$C$2:$C$28=$E8),0))</f>
        <v>1.1339345806169323</v>
      </c>
      <c r="BT8">
        <f t="array" ref="BT8">INDEX(Transcriptome!AQ$2:AQ$28,MATCH(1,(Transcriptome!$A$2:$A$28=$B8)*(Transcriptome!$C$2:$C$28=$E8),0))</f>
        <v>1.6048583301573733</v>
      </c>
      <c r="BU8">
        <f t="array" ref="BU8">INDEX(Transcriptome!AR$2:AR$28,MATCH(1,(Transcriptome!$A$2:$A$28=$B8)*(Transcriptome!$C$2:$C$28=$E8),0))</f>
        <v>0.83750658657958177</v>
      </c>
      <c r="BV8">
        <f t="array" ref="BV8">INDEX(Transcriptome!AS$2:AS$28,MATCH(1,(Transcriptome!$A$2:$A$28=$B8)*(Transcriptome!$C$2:$C$28=$E8),0))</f>
        <v>0.95672606842320829</v>
      </c>
      <c r="BW8">
        <f t="array" ref="BW8">INDEX(Transcriptome!AT$2:AT$28,MATCH(1,(Transcriptome!$A$2:$A$28=$B8)*(Transcriptome!$C$2:$C$28=$E8),0))</f>
        <v>0.68800520797646092</v>
      </c>
      <c r="BX8">
        <f t="array" ref="BX8">INDEX(Transcriptome!AU$2:AU$28,MATCH(1,(Transcriptome!$A$2:$A$28=$B8)*(Transcriptome!$C$2:$C$28=$E8),0))</f>
        <v>1.6867561981283563</v>
      </c>
      <c r="BY8">
        <f t="array" ref="BY8">INDEX(Transcriptome!AV$2:AV$28,MATCH(1,(Transcriptome!$A$2:$A$28=$B8)*(Transcriptome!$C$2:$C$28=$E8),0))</f>
        <v>0.72245781173202261</v>
      </c>
      <c r="BZ8">
        <f t="array" ref="BZ8">INDEX(Transcriptome!AW$2:AW$28,MATCH(1,(Transcriptome!$A$2:$A$28=$B8)*(Transcriptome!$C$2:$C$28=$E8),0))</f>
        <v>0.97913290067472636</v>
      </c>
      <c r="CA8">
        <f t="array" ref="CA8">INDEX(Transcriptome!AX$2:AX$28,MATCH(1,(Transcriptome!$A$2:$A$28=$B8)*(Transcriptome!$C$2:$C$28=$E8),0))</f>
        <v>0.91722492630928665</v>
      </c>
      <c r="CB8">
        <f t="array" ref="CB8">INDEX(Transcriptome!AY$2:AY$28,MATCH(1,(Transcriptome!$A$2:$A$28=$B8)*(Transcriptome!$C$2:$C$28=$E8),0))</f>
        <v>1.1415999188887762</v>
      </c>
      <c r="CC8">
        <f t="array" ref="CC8">INDEX(Transcriptome!AZ$2:AZ$28,MATCH(1,(Transcriptome!$A$2:$A$28=$B8)*(Transcriptome!$C$2:$C$28=$E8),0))</f>
        <v>0.54738994790393225</v>
      </c>
      <c r="CD8">
        <f t="array" ref="CD8">INDEX(Transcriptome!BA$2:BA$28,MATCH(1,(Transcriptome!$A$2:$A$28=$B8)*(Transcriptome!$C$2:$C$28=$E8),0))</f>
        <v>2.2110972178245372</v>
      </c>
      <c r="CE8">
        <f t="array" ref="CE8">INDEX(Transcriptome!BB$2:BB$28,MATCH(1,(Transcriptome!$A$2:$A$28=$B8)*(Transcriptome!$C$2:$C$28=$E8),0))</f>
        <v>2.0052625729406564</v>
      </c>
      <c r="CF8">
        <f t="array" ref="CF8">INDEX(Transcriptome!BC$2:BC$28,MATCH(1,(Transcriptome!$A$2:$A$28=$B8)*(Transcriptome!$C$2:$C$28=$E8),0))</f>
        <v>0</v>
      </c>
      <c r="CG8">
        <f t="array" ref="CG8">INDEX(Transcriptome!BD$2:BD$28,MATCH(1,(Transcriptome!$A$2:$A$28=$B8)*(Transcriptome!$C$2:$C$28=$E8),0))</f>
        <v>0.99946907963844456</v>
      </c>
      <c r="CH8">
        <f t="array" ref="CH8">INDEX(Transcriptome!BE$2:BE$28,MATCH(1,(Transcriptome!$A$2:$A$28=$B8)*(Transcriptome!$C$2:$C$28=$E8),0))</f>
        <v>1.4078816127558538</v>
      </c>
      <c r="CI8">
        <f t="array" ref="CI8">INDEX(Transcriptome!BF$2:BF$28,MATCH(1,(Transcriptome!$A$2:$A$28=$B8)*(Transcriptome!$C$2:$C$28=$E8),0))</f>
        <v>1.4576608642231981</v>
      </c>
      <c r="CJ8">
        <f t="array" ref="CJ8">INDEX(Transcriptome!BG$2:BG$28,MATCH(1,(Transcriptome!$A$2:$A$28=$B8)*(Transcriptome!$C$2:$C$28=$E8),0))</f>
        <v>2.9900144760241787</v>
      </c>
      <c r="CK8">
        <f t="array" ref="CK8">INDEX(Transcriptome!BH$2:BH$28,MATCH(1,(Transcriptome!$A$2:$A$28=$B8)*(Transcriptome!$C$2:$C$28=$E8),0))</f>
        <v>0.56887953529706936</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4.080540530339805</v>
      </c>
      <c r="CO8">
        <f t="array" ref="CO8">INDEX(Transcriptome!BL$2:BL$28,MATCH(1,(Transcriptome!$A$2:$A$28=$B8)*(Transcriptome!$C$2:$C$28=$E8),0))</f>
        <v>2.731716075055703</v>
      </c>
      <c r="CP8">
        <f t="array" ref="CP8">INDEX(Transcriptome!BM$2:BM$28,MATCH(1,(Transcriptome!$A$2:$A$28=$B8)*(Transcriptome!$C$2:$C$28=$E8),0))</f>
        <v>1.1493512451322954</v>
      </c>
      <c r="CQ8">
        <f t="array" ref="CQ8">INDEX(Transcriptome!BN$2:BN$28,MATCH(1,(Transcriptome!$A$2:$A$28=$B8)*(Transcriptome!$C$2:$C$28=$E8),0))</f>
        <v>44.734751324798466</v>
      </c>
      <c r="CR8">
        <f t="array" ref="CR8">INDEX(Transcriptome!BO$2:BO$28,MATCH(1,(Transcriptome!$A$2:$A$28=$B8)*(Transcriptome!$C$2:$C$28=$E8),0))</f>
        <v>0.88062279532718779</v>
      </c>
      <c r="CS8">
        <f t="array" ref="CS8">INDEX(Transcriptome!BP$2:BP$28,MATCH(1,(Transcriptome!$A$2:$A$28=$B8)*(Transcriptome!$C$2:$C$28=$E8),0))</f>
        <v>0.56887953529706936</v>
      </c>
      <c r="CT8">
        <f t="array" ref="CT8">INDEX(Transcriptome!BQ$2:BQ$28,MATCH(1,(Transcriptome!$A$2:$A$28=$B8)*(Transcriptome!$C$2:$C$28=$E8),0))</f>
        <v>1</v>
      </c>
      <c r="CU8">
        <f t="array" ref="CU8">INDEX(Transcriptome!BR$2:BR$28,MATCH(1,(Transcriptome!$A$2:$A$28=$B8)*(Transcriptome!$C$2:$C$28=$E8),0))</f>
        <v>1.5039495013074526</v>
      </c>
    </row>
    <row r="9" spans="1:99">
      <c r="A9">
        <f>'Measured Data'!A14</f>
        <v>7</v>
      </c>
      <c r="B9" t="s">
        <v>586</v>
      </c>
      <c r="C9" s="324" t="s">
        <v>588</v>
      </c>
      <c r="D9">
        <v>1</v>
      </c>
      <c r="E9" t="s">
        <v>513</v>
      </c>
      <c r="F9" s="477">
        <f>'Growth Regression'!R9</f>
        <v>7.3684027777781012</v>
      </c>
      <c r="G9" s="477">
        <f>'Growth Regression'!S9</f>
        <v>176.84166666667443</v>
      </c>
      <c r="H9">
        <f>AVERAGE('TL input - regression'!L9:L10)</f>
        <v>25.755456382246493</v>
      </c>
      <c r="I9">
        <f>AVERAGE('TL input - regression'!M9:M10)</f>
        <v>11.822824156305506</v>
      </c>
      <c r="J9">
        <f>AVERAGE('TL input - regression'!N9:N10)</f>
        <v>3.0815000000000001</v>
      </c>
      <c r="K9">
        <f>AVERAGE('TL input - regression'!O9:O10)</f>
        <v>3.3740000000000001</v>
      </c>
      <c r="L9">
        <f>AVERAGE('TL input - regression'!P9:P10)</f>
        <v>3.2040000000000002</v>
      </c>
      <c r="M9">
        <f>'Growth Regression'!P9</f>
        <v>1.2121238379291103E-2</v>
      </c>
      <c r="N9">
        <f>M9/'Growth Regression'!$O$24</f>
        <v>0.45043148862033133</v>
      </c>
      <c r="O9">
        <f>'Post Process Calc.'!C27</f>
        <v>4.2933421169757249E-2</v>
      </c>
      <c r="P9">
        <f>'Post Process Calc.'!D27</f>
        <v>1.0503141586855438E-3</v>
      </c>
      <c r="Q9">
        <f>'Post Process Calc.'!E27</f>
        <v>-2.0974193157728346E-3</v>
      </c>
      <c r="R9">
        <f>'Post Process Calc.'!F27</f>
        <v>3.992106310231283E-3</v>
      </c>
      <c r="S9">
        <f>'Post Process Calc.'!G27</f>
        <v>-3.7844230722389063E-4</v>
      </c>
      <c r="T9">
        <f t="shared" si="2"/>
        <v>2.4463789049855546E-2</v>
      </c>
      <c r="U9">
        <f t="shared" si="4"/>
        <v>26.833388231098279</v>
      </c>
      <c r="V9">
        <f t="shared" si="4"/>
        <v>0.65644634917846478</v>
      </c>
      <c r="W9">
        <f t="shared" si="0"/>
        <v>-1.3108870723580215</v>
      </c>
      <c r="X9">
        <f t="shared" si="0"/>
        <v>2.4950664438945518</v>
      </c>
      <c r="Y9">
        <f t="shared" si="0"/>
        <v>-0.23652644201493164</v>
      </c>
      <c r="Z9">
        <v>100</v>
      </c>
      <c r="AA9">
        <v>0.32</v>
      </c>
      <c r="AB9">
        <v>7</v>
      </c>
      <c r="AC9">
        <v>0.7</v>
      </c>
      <c r="AD9">
        <f t="shared" si="1"/>
        <v>5.0118723362727164E-8</v>
      </c>
      <c r="AE9">
        <v>1</v>
      </c>
      <c r="AF9">
        <v>0.311</v>
      </c>
      <c r="AG9">
        <f t="array" ref="AG9">INDEX(Transcriptome!D$2:D$28,MATCH(1,(Transcriptome!$A$2:$A$28=$B9)*(Transcriptome!$C$2:$C$28=$E9),0))</f>
        <v>0.92920540890907499</v>
      </c>
      <c r="AH9">
        <f t="array" ref="AH9">INDEX(Transcriptome!E$2:E$28,MATCH(1,(Transcriptome!$A$2:$A$28=$B9)*(Transcriptome!$C$2:$C$28=$E9),0))</f>
        <v>1.7329213892359023</v>
      </c>
      <c r="AI9">
        <f t="array" ref="AI9">INDEX(Transcriptome!F$2:F$28,MATCH(1,(Transcriptome!$A$2:$A$28=$B9)*(Transcriptome!$C$2:$C$28=$E9),0))</f>
        <v>1.248709181151141</v>
      </c>
      <c r="AJ9">
        <f t="array" ref="AJ9">INDEX(Transcriptome!G$2:G$28,MATCH(1,(Transcriptome!$A$2:$A$28=$B9)*(Transcriptome!$C$2:$C$28=$E9),0))</f>
        <v>0.4721791156252973</v>
      </c>
      <c r="AK9">
        <f t="array" ref="AK9">INDEX(Transcriptome!H$2:H$28,MATCH(1,(Transcriptome!$A$2:$A$28=$B9)*(Transcriptome!$C$2:$C$28=$E9),0))</f>
        <v>0</v>
      </c>
      <c r="AL9">
        <f t="array" ref="AL9">INDEX(Transcriptome!I$2:I$28,MATCH(1,(Transcriptome!$A$2:$A$28=$B9)*(Transcriptome!$C$2:$C$28=$E9),0))</f>
        <v>1.1226843694890076</v>
      </c>
      <c r="AM9">
        <f t="array" ref="AM9">INDEX(Transcriptome!J$2:J$28,MATCH(1,(Transcriptome!$A$2:$A$28=$B9)*(Transcriptome!$C$2:$C$28=$E9),0))</f>
        <v>1.3251398271295012</v>
      </c>
      <c r="AN9">
        <f t="array" ref="AN9">INDEX(Transcriptome!K$2:K$28,MATCH(1,(Transcriptome!$A$2:$A$28=$B9)*(Transcriptome!$C$2:$C$28=$E9),0))</f>
        <v>0.96530155174686461</v>
      </c>
      <c r="AO9">
        <f t="array" ref="AO9">INDEX(Transcriptome!L$2:L$28,MATCH(1,(Transcriptome!$A$2:$A$28=$B9)*(Transcriptome!$C$2:$C$28=$E9),0))</f>
        <v>1.2210153312207193</v>
      </c>
      <c r="AP9">
        <f t="array" ref="AP9">INDEX(Transcriptome!M$2:M$28,MATCH(1,(Transcriptome!$A$2:$A$28=$B9)*(Transcriptome!$C$2:$C$28=$E9),0))</f>
        <v>1.2244730900490455</v>
      </c>
      <c r="AQ9">
        <f t="array" ref="AQ9">INDEX(Transcriptome!N$2:N$28,MATCH(1,(Transcriptome!$A$2:$A$28=$B9)*(Transcriptome!$C$2:$C$28=$E9),0))</f>
        <v>0.73155313986543535</v>
      </c>
      <c r="AR9">
        <f t="array" ref="AR9">INDEX(Transcriptome!O$2:O$28,MATCH(1,(Transcriptome!$A$2:$A$28=$B9)*(Transcriptome!$C$2:$C$28=$E9),0))</f>
        <v>1.152318513561184</v>
      </c>
      <c r="AS9">
        <f t="array" ref="AS9">INDEX(Transcriptome!P$2:P$28,MATCH(1,(Transcriptome!$A$2:$A$28=$B9)*(Transcriptome!$C$2:$C$28=$E9),0))</f>
        <v>0.89618838062804274</v>
      </c>
      <c r="AT9">
        <f t="array" ref="AT9">INDEX(Transcriptome!Q$2:Q$28,MATCH(1,(Transcriptome!$A$2:$A$28=$B9)*(Transcriptome!$C$2:$C$28=$E9),0))</f>
        <v>0.65135227913388327</v>
      </c>
      <c r="AU9">
        <f t="array" ref="AU9">INDEX(Transcriptome!R$2:R$28,MATCH(1,(Transcriptome!$A$2:$A$28=$B9)*(Transcriptome!$C$2:$C$28=$E9),0))</f>
        <v>0.44670006467175033</v>
      </c>
      <c r="AV9">
        <f t="array" ref="AV9">INDEX(Transcriptome!S$2:S$28,MATCH(1,(Transcriptome!$A$2:$A$28=$B9)*(Transcriptome!$C$2:$C$28=$E9),0))</f>
        <v>0.54170910506007386</v>
      </c>
      <c r="AW9">
        <f t="array" ref="AW9">INDEX(Transcriptome!T$2:T$28,MATCH(1,(Transcriptome!$A$2:$A$28=$B9)*(Transcriptome!$C$2:$C$28=$E9),0))</f>
        <v>1.1524538892853755</v>
      </c>
      <c r="AX9">
        <f t="array" ref="AX9">INDEX(Transcriptome!U$2:U$28,MATCH(1,(Transcriptome!$A$2:$A$28=$B9)*(Transcriptome!$C$2:$C$28=$E9),0))</f>
        <v>3.717777936487666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0.76557540655216338</v>
      </c>
      <c r="BB9">
        <f t="array" ref="BB9">INDEX(Transcriptome!Y$2:Y$28,MATCH(1,(Transcriptome!$A$2:$A$28=$B9)*(Transcriptome!$C$2:$C$28=$E9),0))</f>
        <v>0</v>
      </c>
      <c r="BC9">
        <f t="array" ref="BC9">INDEX(Transcriptome!Z$2:Z$28,MATCH(1,(Transcriptome!$A$2:$A$28=$B9)*(Transcriptome!$C$2:$C$28=$E9),0))</f>
        <v>1.2179664020132115</v>
      </c>
      <c r="BD9">
        <f t="array" ref="BD9">INDEX(Transcriptome!AA$2:AA$28,MATCH(1,(Transcriptome!$A$2:$A$28=$B9)*(Transcriptome!$C$2:$C$28=$E9),0))</f>
        <v>1.4585553096187835</v>
      </c>
      <c r="BE9">
        <f t="array" ref="BE9">INDEX(Transcriptome!AB$2:AB$28,MATCH(1,(Transcriptome!$A$2:$A$28=$B9)*(Transcriptome!$C$2:$C$28=$E9),0))</f>
        <v>0.49899248340048019</v>
      </c>
      <c r="BF9">
        <f t="array" ref="BF9">INDEX(Transcriptome!AC$2:AC$28,MATCH(1,(Transcriptome!$A$2:$A$28=$B9)*(Transcriptome!$C$2:$C$28=$E9),0))</f>
        <v>1.0380961603134766</v>
      </c>
      <c r="BG9">
        <f t="array" ref="BG9">INDEX(Transcriptome!AD$2:AD$28,MATCH(1,(Transcriptome!$A$2:$A$28=$B9)*(Transcriptome!$C$2:$C$28=$E9),0))</f>
        <v>0.8468321289341687</v>
      </c>
      <c r="BH9">
        <f t="array" ref="BH9">INDEX(Transcriptome!AE$2:AE$28,MATCH(1,(Transcriptome!$A$2:$A$28=$B9)*(Transcriptome!$C$2:$C$28=$E9),0))</f>
        <v>1.3366947398587019</v>
      </c>
      <c r="BI9">
        <f t="array" ref="BI9">INDEX(Transcriptome!AF$2:AF$28,MATCH(1,(Transcriptome!$A$2:$A$28=$B9)*(Transcriptome!$C$2:$C$28=$E9),0))</f>
        <v>0.50618842957342058</v>
      </c>
      <c r="BJ9">
        <f t="array" ref="BJ9">INDEX(Transcriptome!AG$2:AG$28,MATCH(1,(Transcriptome!$A$2:$A$28=$B9)*(Transcriptome!$C$2:$C$28=$E9),0))</f>
        <v>0.66736997584655977</v>
      </c>
      <c r="BK9">
        <f t="array" ref="BK9">INDEX(Transcriptome!AH$2:AH$28,MATCH(1,(Transcriptome!$A$2:$A$28=$B9)*(Transcriptome!$C$2:$C$28=$E9),0))</f>
        <v>1.9306174267998168</v>
      </c>
      <c r="BL9">
        <f t="array" ref="BL9">INDEX(Transcriptome!AI$2:AI$28,MATCH(1,(Transcriptome!$A$2:$A$28=$B9)*(Transcriptome!$C$2:$C$28=$E9),0))</f>
        <v>0.77468008259435317</v>
      </c>
      <c r="BM9">
        <f t="array" ref="BM9">INDEX(Transcriptome!AJ$2:AJ$28,MATCH(1,(Transcriptome!$A$2:$A$28=$B9)*(Transcriptome!$C$2:$C$28=$E9),0))</f>
        <v>1.0628605890830978</v>
      </c>
      <c r="BN9">
        <f t="array" ref="BN9">INDEX(Transcriptome!AK$2:AK$28,MATCH(1,(Transcriptome!$A$2:$A$28=$B9)*(Transcriptome!$C$2:$C$28=$E9),0))</f>
        <v>0.55212849473227277</v>
      </c>
      <c r="BO9">
        <f t="array" ref="BO9">INDEX(Transcriptome!AL$2:AL$28,MATCH(1,(Transcriptome!$A$2:$A$28=$B9)*(Transcriptome!$C$2:$C$28=$E9),0))</f>
        <v>1</v>
      </c>
      <c r="BP9">
        <f t="array" ref="BP9">INDEX(Transcriptome!AM$2:AM$28,MATCH(1,(Transcriptome!$A$2:$A$28=$B9)*(Transcriptome!$C$2:$C$28=$E9),0))</f>
        <v>0.66472755238098791</v>
      </c>
      <c r="BQ9">
        <f t="array" ref="BQ9">INDEX(Transcriptome!AN$2:AN$28,MATCH(1,(Transcriptome!$A$2:$A$28=$B9)*(Transcriptome!$C$2:$C$28=$E9),0))</f>
        <v>1.0010669451153449</v>
      </c>
      <c r="BR9">
        <f t="array" ref="BR9">INDEX(Transcriptome!AO$2:AO$28,MATCH(1,(Transcriptome!$A$2:$A$28=$B9)*(Transcriptome!$C$2:$C$28=$E9),0))</f>
        <v>0.99858945685943101</v>
      </c>
      <c r="BS9">
        <f t="array" ref="BS9">INDEX(Transcriptome!AP$2:AP$28,MATCH(1,(Transcriptome!$A$2:$A$28=$B9)*(Transcriptome!$C$2:$C$28=$E9),0))</f>
        <v>1.1339345806169323</v>
      </c>
      <c r="BT9">
        <f t="array" ref="BT9">INDEX(Transcriptome!AQ$2:AQ$28,MATCH(1,(Transcriptome!$A$2:$A$28=$B9)*(Transcriptome!$C$2:$C$28=$E9),0))</f>
        <v>1.6048583301573733</v>
      </c>
      <c r="BU9">
        <f t="array" ref="BU9">INDEX(Transcriptome!AR$2:AR$28,MATCH(1,(Transcriptome!$A$2:$A$28=$B9)*(Transcriptome!$C$2:$C$28=$E9),0))</f>
        <v>0.83750658657958177</v>
      </c>
      <c r="BV9">
        <f t="array" ref="BV9">INDEX(Transcriptome!AS$2:AS$28,MATCH(1,(Transcriptome!$A$2:$A$28=$B9)*(Transcriptome!$C$2:$C$28=$E9),0))</f>
        <v>0.95672606842320829</v>
      </c>
      <c r="BW9">
        <f t="array" ref="BW9">INDEX(Transcriptome!AT$2:AT$28,MATCH(1,(Transcriptome!$A$2:$A$28=$B9)*(Transcriptome!$C$2:$C$28=$E9),0))</f>
        <v>0.68800520797646092</v>
      </c>
      <c r="BX9">
        <f t="array" ref="BX9">INDEX(Transcriptome!AU$2:AU$28,MATCH(1,(Transcriptome!$A$2:$A$28=$B9)*(Transcriptome!$C$2:$C$28=$E9),0))</f>
        <v>1.6867561981283563</v>
      </c>
      <c r="BY9">
        <f t="array" ref="BY9">INDEX(Transcriptome!AV$2:AV$28,MATCH(1,(Transcriptome!$A$2:$A$28=$B9)*(Transcriptome!$C$2:$C$28=$E9),0))</f>
        <v>0.72245781173202261</v>
      </c>
      <c r="BZ9">
        <f t="array" ref="BZ9">INDEX(Transcriptome!AW$2:AW$28,MATCH(1,(Transcriptome!$A$2:$A$28=$B9)*(Transcriptome!$C$2:$C$28=$E9),0))</f>
        <v>0.97913290067472636</v>
      </c>
      <c r="CA9">
        <f t="array" ref="CA9">INDEX(Transcriptome!AX$2:AX$28,MATCH(1,(Transcriptome!$A$2:$A$28=$B9)*(Transcriptome!$C$2:$C$28=$E9),0))</f>
        <v>0.91722492630928665</v>
      </c>
      <c r="CB9">
        <f t="array" ref="CB9">INDEX(Transcriptome!AY$2:AY$28,MATCH(1,(Transcriptome!$A$2:$A$28=$B9)*(Transcriptome!$C$2:$C$28=$E9),0))</f>
        <v>1.1415999188887762</v>
      </c>
      <c r="CC9">
        <f t="array" ref="CC9">INDEX(Transcriptome!AZ$2:AZ$28,MATCH(1,(Transcriptome!$A$2:$A$28=$B9)*(Transcriptome!$C$2:$C$28=$E9),0))</f>
        <v>0.54738994790393225</v>
      </c>
      <c r="CD9">
        <f t="array" ref="CD9">INDEX(Transcriptome!BA$2:BA$28,MATCH(1,(Transcriptome!$A$2:$A$28=$B9)*(Transcriptome!$C$2:$C$28=$E9),0))</f>
        <v>2.2110972178245372</v>
      </c>
      <c r="CE9">
        <f t="array" ref="CE9">INDEX(Transcriptome!BB$2:BB$28,MATCH(1,(Transcriptome!$A$2:$A$28=$B9)*(Transcriptome!$C$2:$C$28=$E9),0))</f>
        <v>2.0052625729406564</v>
      </c>
      <c r="CF9">
        <f t="array" ref="CF9">INDEX(Transcriptome!BC$2:BC$28,MATCH(1,(Transcriptome!$A$2:$A$28=$B9)*(Transcriptome!$C$2:$C$28=$E9),0))</f>
        <v>0</v>
      </c>
      <c r="CG9">
        <f t="array" ref="CG9">INDEX(Transcriptome!BD$2:BD$28,MATCH(1,(Transcriptome!$A$2:$A$28=$B9)*(Transcriptome!$C$2:$C$28=$E9),0))</f>
        <v>0.99946907963844456</v>
      </c>
      <c r="CH9">
        <f t="array" ref="CH9">INDEX(Transcriptome!BE$2:BE$28,MATCH(1,(Transcriptome!$A$2:$A$28=$B9)*(Transcriptome!$C$2:$C$28=$E9),0))</f>
        <v>1.4078816127558538</v>
      </c>
      <c r="CI9">
        <f t="array" ref="CI9">INDEX(Transcriptome!BF$2:BF$28,MATCH(1,(Transcriptome!$A$2:$A$28=$B9)*(Transcriptome!$C$2:$C$28=$E9),0))</f>
        <v>1.4576608642231981</v>
      </c>
      <c r="CJ9">
        <f t="array" ref="CJ9">INDEX(Transcriptome!BG$2:BG$28,MATCH(1,(Transcriptome!$A$2:$A$28=$B9)*(Transcriptome!$C$2:$C$28=$E9),0))</f>
        <v>2.9900144760241787</v>
      </c>
      <c r="CK9">
        <f t="array" ref="CK9">INDEX(Transcriptome!BH$2:BH$28,MATCH(1,(Transcriptome!$A$2:$A$28=$B9)*(Transcriptome!$C$2:$C$28=$E9),0))</f>
        <v>0.56887953529706936</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4.080540530339805</v>
      </c>
      <c r="CO9">
        <f t="array" ref="CO9">INDEX(Transcriptome!BL$2:BL$28,MATCH(1,(Transcriptome!$A$2:$A$28=$B9)*(Transcriptome!$C$2:$C$28=$E9),0))</f>
        <v>2.731716075055703</v>
      </c>
      <c r="CP9">
        <f t="array" ref="CP9">INDEX(Transcriptome!BM$2:BM$28,MATCH(1,(Transcriptome!$A$2:$A$28=$B9)*(Transcriptome!$C$2:$C$28=$E9),0))</f>
        <v>1.1493512451322954</v>
      </c>
      <c r="CQ9">
        <f t="array" ref="CQ9">INDEX(Transcriptome!BN$2:BN$28,MATCH(1,(Transcriptome!$A$2:$A$28=$B9)*(Transcriptome!$C$2:$C$28=$E9),0))</f>
        <v>44.734751324798466</v>
      </c>
      <c r="CR9">
        <f t="array" ref="CR9">INDEX(Transcriptome!BO$2:BO$28,MATCH(1,(Transcriptome!$A$2:$A$28=$B9)*(Transcriptome!$C$2:$C$28=$E9),0))</f>
        <v>0.88062279532718779</v>
      </c>
      <c r="CS9">
        <f t="array" ref="CS9">INDEX(Transcriptome!BP$2:BP$28,MATCH(1,(Transcriptome!$A$2:$A$28=$B9)*(Transcriptome!$C$2:$C$28=$E9),0))</f>
        <v>0.56887953529706936</v>
      </c>
      <c r="CT9">
        <f t="array" ref="CT9">INDEX(Transcriptome!BQ$2:BQ$28,MATCH(1,(Transcriptome!$A$2:$A$28=$B9)*(Transcriptome!$C$2:$C$28=$E9),0))</f>
        <v>1</v>
      </c>
      <c r="CU9">
        <f t="array" ref="CU9">INDEX(Transcriptome!BR$2:BR$28,MATCH(1,(Transcriptome!$A$2:$A$28=$B9)*(Transcriptome!$C$2:$C$28=$E9),0))</f>
        <v>1.5039495013074526</v>
      </c>
    </row>
    <row r="10" spans="1:99">
      <c r="A10">
        <f>'Measured Data'!A15</f>
        <v>8</v>
      </c>
      <c r="B10" t="s">
        <v>586</v>
      </c>
      <c r="C10" s="324" t="s">
        <v>588</v>
      </c>
      <c r="D10">
        <v>1</v>
      </c>
      <c r="E10" t="s">
        <v>513</v>
      </c>
      <c r="F10" s="477">
        <f>'Growth Regression'!R10</f>
        <v>8.3753472222197161</v>
      </c>
      <c r="G10" s="477">
        <f>'Growth Regression'!S10</f>
        <v>201.00833333327319</v>
      </c>
      <c r="H10">
        <f>AVERAGE('TL input - regression'!L10:L11)</f>
        <v>15.070272430560181</v>
      </c>
      <c r="I10">
        <f>AVERAGE('TL input - regression'!M10:M11)</f>
        <v>10.823712255772646</v>
      </c>
      <c r="J10">
        <f>AVERAGE('TL input - regression'!N10:N11)</f>
        <v>3.536</v>
      </c>
      <c r="K10">
        <f>AVERAGE('TL input - regression'!O10:O11)</f>
        <v>0.57999999999999996</v>
      </c>
      <c r="L10">
        <f>AVERAGE('TL input - regression'!P10:P11)</f>
        <v>3.3624999999999998</v>
      </c>
      <c r="M10">
        <f>'Growth Regression'!P10</f>
        <v>8.029119649252462E-3</v>
      </c>
      <c r="N10">
        <f>M10/'Growth Regression'!$O$24</f>
        <v>0.29836623971543824</v>
      </c>
      <c r="O10">
        <f>'Post Process Calc.'!C28</f>
        <v>3.9759826158421149E-2</v>
      </c>
      <c r="P10">
        <f>'Post Process Calc.'!D28</f>
        <v>-2.352584080629559E-3</v>
      </c>
      <c r="Q10">
        <f>'Post Process Calc.'!E28</f>
        <v>-6.5328513771699837E-4</v>
      </c>
      <c r="R10">
        <f>'Post Process Calc.'!F28</f>
        <v>3.5677549154578773E-3</v>
      </c>
      <c r="S10">
        <f>'Post Process Calc.'!G28</f>
        <v>1.800795084200868E-4</v>
      </c>
      <c r="T10">
        <f t="shared" si="2"/>
        <v>-5.9169878441012264E-2</v>
      </c>
      <c r="U10">
        <f t="shared" si="4"/>
        <v>24.849891349013216</v>
      </c>
      <c r="V10">
        <f t="shared" si="4"/>
        <v>-1.4703650503934744</v>
      </c>
      <c r="W10">
        <f t="shared" si="0"/>
        <v>-0.40830321107312395</v>
      </c>
      <c r="X10">
        <f t="shared" si="0"/>
        <v>2.2298468221611731</v>
      </c>
      <c r="Y10">
        <f t="shared" si="0"/>
        <v>0.11254969276255425</v>
      </c>
      <c r="Z10">
        <v>100</v>
      </c>
      <c r="AA10">
        <v>0.32</v>
      </c>
      <c r="AB10">
        <v>7</v>
      </c>
      <c r="AC10">
        <v>0.7</v>
      </c>
      <c r="AD10">
        <f t="shared" si="1"/>
        <v>5.0118723362727164E-8</v>
      </c>
      <c r="AE10">
        <v>1</v>
      </c>
      <c r="AF10">
        <v>0.311</v>
      </c>
      <c r="AG10">
        <f t="array" ref="AG10">INDEX(Transcriptome!D$2:D$28,MATCH(1,(Transcriptome!$A$2:$A$28=$B10)*(Transcriptome!$C$2:$C$28=$E10),0))</f>
        <v>0.92920540890907499</v>
      </c>
      <c r="AH10">
        <f t="array" ref="AH10">INDEX(Transcriptome!E$2:E$28,MATCH(1,(Transcriptome!$A$2:$A$28=$B10)*(Transcriptome!$C$2:$C$28=$E10),0))</f>
        <v>1.7329213892359023</v>
      </c>
      <c r="AI10">
        <f t="array" ref="AI10">INDEX(Transcriptome!F$2:F$28,MATCH(1,(Transcriptome!$A$2:$A$28=$B10)*(Transcriptome!$C$2:$C$28=$E10),0))</f>
        <v>1.248709181151141</v>
      </c>
      <c r="AJ10">
        <f t="array" ref="AJ10">INDEX(Transcriptome!G$2:G$28,MATCH(1,(Transcriptome!$A$2:$A$28=$B10)*(Transcriptome!$C$2:$C$28=$E10),0))</f>
        <v>0.4721791156252973</v>
      </c>
      <c r="AK10">
        <f t="array" ref="AK10">INDEX(Transcriptome!H$2:H$28,MATCH(1,(Transcriptome!$A$2:$A$28=$B10)*(Transcriptome!$C$2:$C$28=$E10),0))</f>
        <v>0</v>
      </c>
      <c r="AL10">
        <f t="array" ref="AL10">INDEX(Transcriptome!I$2:I$28,MATCH(1,(Transcriptome!$A$2:$A$28=$B10)*(Transcriptome!$C$2:$C$28=$E10),0))</f>
        <v>1.1226843694890076</v>
      </c>
      <c r="AM10">
        <f t="array" ref="AM10">INDEX(Transcriptome!J$2:J$28,MATCH(1,(Transcriptome!$A$2:$A$28=$B10)*(Transcriptome!$C$2:$C$28=$E10),0))</f>
        <v>1.3251398271295012</v>
      </c>
      <c r="AN10">
        <f t="array" ref="AN10">INDEX(Transcriptome!K$2:K$28,MATCH(1,(Transcriptome!$A$2:$A$28=$B10)*(Transcriptome!$C$2:$C$28=$E10),0))</f>
        <v>0.96530155174686461</v>
      </c>
      <c r="AO10">
        <f t="array" ref="AO10">INDEX(Transcriptome!L$2:L$28,MATCH(1,(Transcriptome!$A$2:$A$28=$B10)*(Transcriptome!$C$2:$C$28=$E10),0))</f>
        <v>1.2210153312207193</v>
      </c>
      <c r="AP10">
        <f t="array" ref="AP10">INDEX(Transcriptome!M$2:M$28,MATCH(1,(Transcriptome!$A$2:$A$28=$B10)*(Transcriptome!$C$2:$C$28=$E10),0))</f>
        <v>1.2244730900490455</v>
      </c>
      <c r="AQ10">
        <f t="array" ref="AQ10">INDEX(Transcriptome!N$2:N$28,MATCH(1,(Transcriptome!$A$2:$A$28=$B10)*(Transcriptome!$C$2:$C$28=$E10),0))</f>
        <v>0.73155313986543535</v>
      </c>
      <c r="AR10">
        <f t="array" ref="AR10">INDEX(Transcriptome!O$2:O$28,MATCH(1,(Transcriptome!$A$2:$A$28=$B10)*(Transcriptome!$C$2:$C$28=$E10),0))</f>
        <v>1.152318513561184</v>
      </c>
      <c r="AS10">
        <f t="array" ref="AS10">INDEX(Transcriptome!P$2:P$28,MATCH(1,(Transcriptome!$A$2:$A$28=$B10)*(Transcriptome!$C$2:$C$28=$E10),0))</f>
        <v>0.89618838062804274</v>
      </c>
      <c r="AT10">
        <f t="array" ref="AT10">INDEX(Transcriptome!Q$2:Q$28,MATCH(1,(Transcriptome!$A$2:$A$28=$B10)*(Transcriptome!$C$2:$C$28=$E10),0))</f>
        <v>0.65135227913388327</v>
      </c>
      <c r="AU10">
        <f t="array" ref="AU10">INDEX(Transcriptome!R$2:R$28,MATCH(1,(Transcriptome!$A$2:$A$28=$B10)*(Transcriptome!$C$2:$C$28=$E10),0))</f>
        <v>0.44670006467175033</v>
      </c>
      <c r="AV10">
        <f t="array" ref="AV10">INDEX(Transcriptome!S$2:S$28,MATCH(1,(Transcriptome!$A$2:$A$28=$B10)*(Transcriptome!$C$2:$C$28=$E10),0))</f>
        <v>0.54170910506007386</v>
      </c>
      <c r="AW10">
        <f t="array" ref="AW10">INDEX(Transcriptome!T$2:T$28,MATCH(1,(Transcriptome!$A$2:$A$28=$B10)*(Transcriptome!$C$2:$C$28=$E10),0))</f>
        <v>1.1524538892853755</v>
      </c>
      <c r="AX10">
        <f t="array" ref="AX10">INDEX(Transcriptome!U$2:U$28,MATCH(1,(Transcriptome!$A$2:$A$28=$B10)*(Transcriptome!$C$2:$C$28=$E10),0))</f>
        <v>3.717777936487666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0.76557540655216338</v>
      </c>
      <c r="BB10">
        <f t="array" ref="BB10">INDEX(Transcriptome!Y$2:Y$28,MATCH(1,(Transcriptome!$A$2:$A$28=$B10)*(Transcriptome!$C$2:$C$28=$E10),0))</f>
        <v>0</v>
      </c>
      <c r="BC10">
        <f t="array" ref="BC10">INDEX(Transcriptome!Z$2:Z$28,MATCH(1,(Transcriptome!$A$2:$A$28=$B10)*(Transcriptome!$C$2:$C$28=$E10),0))</f>
        <v>1.2179664020132115</v>
      </c>
      <c r="BD10">
        <f t="array" ref="BD10">INDEX(Transcriptome!AA$2:AA$28,MATCH(1,(Transcriptome!$A$2:$A$28=$B10)*(Transcriptome!$C$2:$C$28=$E10),0))</f>
        <v>1.4585553096187835</v>
      </c>
      <c r="BE10">
        <f t="array" ref="BE10">INDEX(Transcriptome!AB$2:AB$28,MATCH(1,(Transcriptome!$A$2:$A$28=$B10)*(Transcriptome!$C$2:$C$28=$E10),0))</f>
        <v>0.49899248340048019</v>
      </c>
      <c r="BF10">
        <f t="array" ref="BF10">INDEX(Transcriptome!AC$2:AC$28,MATCH(1,(Transcriptome!$A$2:$A$28=$B10)*(Transcriptome!$C$2:$C$28=$E10),0))</f>
        <v>1.0380961603134766</v>
      </c>
      <c r="BG10">
        <f t="array" ref="BG10">INDEX(Transcriptome!AD$2:AD$28,MATCH(1,(Transcriptome!$A$2:$A$28=$B10)*(Transcriptome!$C$2:$C$28=$E10),0))</f>
        <v>0.8468321289341687</v>
      </c>
      <c r="BH10">
        <f t="array" ref="BH10">INDEX(Transcriptome!AE$2:AE$28,MATCH(1,(Transcriptome!$A$2:$A$28=$B10)*(Transcriptome!$C$2:$C$28=$E10),0))</f>
        <v>1.3366947398587019</v>
      </c>
      <c r="BI10">
        <f t="array" ref="BI10">INDEX(Transcriptome!AF$2:AF$28,MATCH(1,(Transcriptome!$A$2:$A$28=$B10)*(Transcriptome!$C$2:$C$28=$E10),0))</f>
        <v>0.50618842957342058</v>
      </c>
      <c r="BJ10">
        <f t="array" ref="BJ10">INDEX(Transcriptome!AG$2:AG$28,MATCH(1,(Transcriptome!$A$2:$A$28=$B10)*(Transcriptome!$C$2:$C$28=$E10),0))</f>
        <v>0.66736997584655977</v>
      </c>
      <c r="BK10">
        <f t="array" ref="BK10">INDEX(Transcriptome!AH$2:AH$28,MATCH(1,(Transcriptome!$A$2:$A$28=$B10)*(Transcriptome!$C$2:$C$28=$E10),0))</f>
        <v>1.9306174267998168</v>
      </c>
      <c r="BL10">
        <f t="array" ref="BL10">INDEX(Transcriptome!AI$2:AI$28,MATCH(1,(Transcriptome!$A$2:$A$28=$B10)*(Transcriptome!$C$2:$C$28=$E10),0))</f>
        <v>0.77468008259435317</v>
      </c>
      <c r="BM10">
        <f t="array" ref="BM10">INDEX(Transcriptome!AJ$2:AJ$28,MATCH(1,(Transcriptome!$A$2:$A$28=$B10)*(Transcriptome!$C$2:$C$28=$E10),0))</f>
        <v>1.0628605890830978</v>
      </c>
      <c r="BN10">
        <f t="array" ref="BN10">INDEX(Transcriptome!AK$2:AK$28,MATCH(1,(Transcriptome!$A$2:$A$28=$B10)*(Transcriptome!$C$2:$C$28=$E10),0))</f>
        <v>0.55212849473227277</v>
      </c>
      <c r="BO10">
        <f t="array" ref="BO10">INDEX(Transcriptome!AL$2:AL$28,MATCH(1,(Transcriptome!$A$2:$A$28=$B10)*(Transcriptome!$C$2:$C$28=$E10),0))</f>
        <v>1</v>
      </c>
      <c r="BP10">
        <f t="array" ref="BP10">INDEX(Transcriptome!AM$2:AM$28,MATCH(1,(Transcriptome!$A$2:$A$28=$B10)*(Transcriptome!$C$2:$C$28=$E10),0))</f>
        <v>0.66472755238098791</v>
      </c>
      <c r="BQ10">
        <f t="array" ref="BQ10">INDEX(Transcriptome!AN$2:AN$28,MATCH(1,(Transcriptome!$A$2:$A$28=$B10)*(Transcriptome!$C$2:$C$28=$E10),0))</f>
        <v>1.0010669451153449</v>
      </c>
      <c r="BR10">
        <f t="array" ref="BR10">INDEX(Transcriptome!AO$2:AO$28,MATCH(1,(Transcriptome!$A$2:$A$28=$B10)*(Transcriptome!$C$2:$C$28=$E10),0))</f>
        <v>0.99858945685943101</v>
      </c>
      <c r="BS10">
        <f t="array" ref="BS10">INDEX(Transcriptome!AP$2:AP$28,MATCH(1,(Transcriptome!$A$2:$A$28=$B10)*(Transcriptome!$C$2:$C$28=$E10),0))</f>
        <v>1.1339345806169323</v>
      </c>
      <c r="BT10">
        <f t="array" ref="BT10">INDEX(Transcriptome!AQ$2:AQ$28,MATCH(1,(Transcriptome!$A$2:$A$28=$B10)*(Transcriptome!$C$2:$C$28=$E10),0))</f>
        <v>1.6048583301573733</v>
      </c>
      <c r="BU10">
        <f t="array" ref="BU10">INDEX(Transcriptome!AR$2:AR$28,MATCH(1,(Transcriptome!$A$2:$A$28=$B10)*(Transcriptome!$C$2:$C$28=$E10),0))</f>
        <v>0.83750658657958177</v>
      </c>
      <c r="BV10">
        <f t="array" ref="BV10">INDEX(Transcriptome!AS$2:AS$28,MATCH(1,(Transcriptome!$A$2:$A$28=$B10)*(Transcriptome!$C$2:$C$28=$E10),0))</f>
        <v>0.95672606842320829</v>
      </c>
      <c r="BW10">
        <f t="array" ref="BW10">INDEX(Transcriptome!AT$2:AT$28,MATCH(1,(Transcriptome!$A$2:$A$28=$B10)*(Transcriptome!$C$2:$C$28=$E10),0))</f>
        <v>0.68800520797646092</v>
      </c>
      <c r="BX10">
        <f t="array" ref="BX10">INDEX(Transcriptome!AU$2:AU$28,MATCH(1,(Transcriptome!$A$2:$A$28=$B10)*(Transcriptome!$C$2:$C$28=$E10),0))</f>
        <v>1.6867561981283563</v>
      </c>
      <c r="BY10">
        <f t="array" ref="BY10">INDEX(Transcriptome!AV$2:AV$28,MATCH(1,(Transcriptome!$A$2:$A$28=$B10)*(Transcriptome!$C$2:$C$28=$E10),0))</f>
        <v>0.72245781173202261</v>
      </c>
      <c r="BZ10">
        <f t="array" ref="BZ10">INDEX(Transcriptome!AW$2:AW$28,MATCH(1,(Transcriptome!$A$2:$A$28=$B10)*(Transcriptome!$C$2:$C$28=$E10),0))</f>
        <v>0.97913290067472636</v>
      </c>
      <c r="CA10">
        <f t="array" ref="CA10">INDEX(Transcriptome!AX$2:AX$28,MATCH(1,(Transcriptome!$A$2:$A$28=$B10)*(Transcriptome!$C$2:$C$28=$E10),0))</f>
        <v>0.91722492630928665</v>
      </c>
      <c r="CB10">
        <f t="array" ref="CB10">INDEX(Transcriptome!AY$2:AY$28,MATCH(1,(Transcriptome!$A$2:$A$28=$B10)*(Transcriptome!$C$2:$C$28=$E10),0))</f>
        <v>1.1415999188887762</v>
      </c>
      <c r="CC10">
        <f t="array" ref="CC10">INDEX(Transcriptome!AZ$2:AZ$28,MATCH(1,(Transcriptome!$A$2:$A$28=$B10)*(Transcriptome!$C$2:$C$28=$E10),0))</f>
        <v>0.54738994790393225</v>
      </c>
      <c r="CD10">
        <f t="array" ref="CD10">INDEX(Transcriptome!BA$2:BA$28,MATCH(1,(Transcriptome!$A$2:$A$28=$B10)*(Transcriptome!$C$2:$C$28=$E10),0))</f>
        <v>2.2110972178245372</v>
      </c>
      <c r="CE10">
        <f t="array" ref="CE10">INDEX(Transcriptome!BB$2:BB$28,MATCH(1,(Transcriptome!$A$2:$A$28=$B10)*(Transcriptome!$C$2:$C$28=$E10),0))</f>
        <v>2.0052625729406564</v>
      </c>
      <c r="CF10">
        <f t="array" ref="CF10">INDEX(Transcriptome!BC$2:BC$28,MATCH(1,(Transcriptome!$A$2:$A$28=$B10)*(Transcriptome!$C$2:$C$28=$E10),0))</f>
        <v>0</v>
      </c>
      <c r="CG10">
        <f t="array" ref="CG10">INDEX(Transcriptome!BD$2:BD$28,MATCH(1,(Transcriptome!$A$2:$A$28=$B10)*(Transcriptome!$C$2:$C$28=$E10),0))</f>
        <v>0.99946907963844456</v>
      </c>
      <c r="CH10">
        <f t="array" ref="CH10">INDEX(Transcriptome!BE$2:BE$28,MATCH(1,(Transcriptome!$A$2:$A$28=$B10)*(Transcriptome!$C$2:$C$28=$E10),0))</f>
        <v>1.4078816127558538</v>
      </c>
      <c r="CI10">
        <f t="array" ref="CI10">INDEX(Transcriptome!BF$2:BF$28,MATCH(1,(Transcriptome!$A$2:$A$28=$B10)*(Transcriptome!$C$2:$C$28=$E10),0))</f>
        <v>1.4576608642231981</v>
      </c>
      <c r="CJ10">
        <f t="array" ref="CJ10">INDEX(Transcriptome!BG$2:BG$28,MATCH(1,(Transcriptome!$A$2:$A$28=$B10)*(Transcriptome!$C$2:$C$28=$E10),0))</f>
        <v>2.9900144760241787</v>
      </c>
      <c r="CK10">
        <f t="array" ref="CK10">INDEX(Transcriptome!BH$2:BH$28,MATCH(1,(Transcriptome!$A$2:$A$28=$B10)*(Transcriptome!$C$2:$C$28=$E10),0))</f>
        <v>0.56887953529706936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4.080540530339805</v>
      </c>
      <c r="CO10">
        <f t="array" ref="CO10">INDEX(Transcriptome!BL$2:BL$28,MATCH(1,(Transcriptome!$A$2:$A$28=$B10)*(Transcriptome!$C$2:$C$28=$E10),0))</f>
        <v>2.731716075055703</v>
      </c>
      <c r="CP10">
        <f t="array" ref="CP10">INDEX(Transcriptome!BM$2:BM$28,MATCH(1,(Transcriptome!$A$2:$A$28=$B10)*(Transcriptome!$C$2:$C$28=$E10),0))</f>
        <v>1.1493512451322954</v>
      </c>
      <c r="CQ10">
        <f t="array" ref="CQ10">INDEX(Transcriptome!BN$2:BN$28,MATCH(1,(Transcriptome!$A$2:$A$28=$B10)*(Transcriptome!$C$2:$C$28=$E10),0))</f>
        <v>44.734751324798466</v>
      </c>
      <c r="CR10">
        <f t="array" ref="CR10">INDEX(Transcriptome!BO$2:BO$28,MATCH(1,(Transcriptome!$A$2:$A$28=$B10)*(Transcriptome!$C$2:$C$28=$E10),0))</f>
        <v>0.88062279532718779</v>
      </c>
      <c r="CS10">
        <f t="array" ref="CS10">INDEX(Transcriptome!BP$2:BP$28,MATCH(1,(Transcriptome!$A$2:$A$28=$B10)*(Transcriptome!$C$2:$C$28=$E10),0))</f>
        <v>0.56887953529706936</v>
      </c>
      <c r="CT10">
        <f t="array" ref="CT10">INDEX(Transcriptome!BQ$2:BQ$28,MATCH(1,(Transcriptome!$A$2:$A$28=$B10)*(Transcriptome!$C$2:$C$28=$E10),0))</f>
        <v>1</v>
      </c>
      <c r="CU10">
        <f t="array" ref="CU10">INDEX(Transcriptome!BR$2:BR$28,MATCH(1,(Transcriptome!$A$2:$A$28=$B10)*(Transcriptome!$C$2:$C$28=$E10),0))</f>
        <v>1.5039495013074526</v>
      </c>
    </row>
    <row r="11" spans="1:99">
      <c r="A11">
        <f>'Measured Data'!A16</f>
        <v>9</v>
      </c>
      <c r="B11" t="s">
        <v>586</v>
      </c>
      <c r="C11" s="324" t="s">
        <v>588</v>
      </c>
      <c r="D11">
        <v>1</v>
      </c>
      <c r="E11" t="s">
        <v>513</v>
      </c>
      <c r="F11" s="477">
        <f>'Growth Regression'!R11</f>
        <v>9.3975694444452529</v>
      </c>
      <c r="G11" s="477">
        <f>'Growth Regression'!S11</f>
        <v>225.54166666668607</v>
      </c>
      <c r="H11">
        <f>AVERAGE('TL input - regression'!L11:L12)</f>
        <v>7.6877817003041811</v>
      </c>
      <c r="I11">
        <f>AVERAGE('TL input - regression'!M11:M12)</f>
        <v>8.159413854351687</v>
      </c>
      <c r="J11">
        <f>AVERAGE('TL input - regression'!N11:N12)</f>
        <v>3.5445000000000002</v>
      </c>
      <c r="K11">
        <f>AVERAGE('TL input - regression'!O11:O12)</f>
        <v>0</v>
      </c>
      <c r="L11">
        <f>AVERAGE('TL input - regression'!P11:P12)</f>
        <v>2.9085000000000001</v>
      </c>
      <c r="M11">
        <f>'Growth Regression'!P11</f>
        <v>4.910763698539748E-3</v>
      </c>
      <c r="N11">
        <f>M11/'Growth Regression'!$O$24</f>
        <v>0.18248651942816646</v>
      </c>
      <c r="O11">
        <f>'Post Process Calc.'!C29</f>
        <v>3.8905966759615829E-2</v>
      </c>
      <c r="P11">
        <f>'Post Process Calc.'!D29</f>
        <v>-4.8190449396288615E-3</v>
      </c>
      <c r="Q11">
        <f>'Post Process Calc.'!E29</f>
        <v>4.1782871129268488E-4</v>
      </c>
      <c r="R11">
        <f>'Post Process Calc.'!F29</f>
        <v>3.1241600509410244E-3</v>
      </c>
      <c r="S11">
        <f>'Post Process Calc.'!G29</f>
        <v>5.3545626630083806E-4</v>
      </c>
      <c r="T11">
        <f t="shared" si="2"/>
        <v>-0.12386390420276107</v>
      </c>
      <c r="U11">
        <f t="shared" si="4"/>
        <v>24.316229224759891</v>
      </c>
      <c r="V11">
        <f t="shared" si="4"/>
        <v>-3.0119030872680383</v>
      </c>
      <c r="W11">
        <f t="shared" si="0"/>
        <v>0.26114294455792803</v>
      </c>
      <c r="X11">
        <f t="shared" si="0"/>
        <v>1.9526000318381402</v>
      </c>
      <c r="Y11">
        <f t="shared" si="0"/>
        <v>0.33466016643802377</v>
      </c>
      <c r="Z11">
        <v>100</v>
      </c>
      <c r="AA11">
        <v>0.32</v>
      </c>
      <c r="AB11">
        <v>7</v>
      </c>
      <c r="AC11">
        <v>0.7</v>
      </c>
      <c r="AD11">
        <f t="shared" si="1"/>
        <v>5.0118723362727164E-8</v>
      </c>
      <c r="AE11">
        <v>1</v>
      </c>
      <c r="AF11">
        <v>0.311</v>
      </c>
      <c r="AG11">
        <f t="array" ref="AG11">INDEX(Transcriptome!D$2:D$28,MATCH(1,(Transcriptome!$A$2:$A$28=$B11)*(Transcriptome!$C$2:$C$28=$E11),0))</f>
        <v>0.92920540890907499</v>
      </c>
      <c r="AH11">
        <f t="array" ref="AH11">INDEX(Transcriptome!E$2:E$28,MATCH(1,(Transcriptome!$A$2:$A$28=$B11)*(Transcriptome!$C$2:$C$28=$E11),0))</f>
        <v>1.7329213892359023</v>
      </c>
      <c r="AI11">
        <f t="array" ref="AI11">INDEX(Transcriptome!F$2:F$28,MATCH(1,(Transcriptome!$A$2:$A$28=$B11)*(Transcriptome!$C$2:$C$28=$E11),0))</f>
        <v>1.248709181151141</v>
      </c>
      <c r="AJ11">
        <f t="array" ref="AJ11">INDEX(Transcriptome!G$2:G$28,MATCH(1,(Transcriptome!$A$2:$A$28=$B11)*(Transcriptome!$C$2:$C$28=$E11),0))</f>
        <v>0.4721791156252973</v>
      </c>
      <c r="AK11">
        <f t="array" ref="AK11">INDEX(Transcriptome!H$2:H$28,MATCH(1,(Transcriptome!$A$2:$A$28=$B11)*(Transcriptome!$C$2:$C$28=$E11),0))</f>
        <v>0</v>
      </c>
      <c r="AL11">
        <f t="array" ref="AL11">INDEX(Transcriptome!I$2:I$28,MATCH(1,(Transcriptome!$A$2:$A$28=$B11)*(Transcriptome!$C$2:$C$28=$E11),0))</f>
        <v>1.1226843694890076</v>
      </c>
      <c r="AM11">
        <f t="array" ref="AM11">INDEX(Transcriptome!J$2:J$28,MATCH(1,(Transcriptome!$A$2:$A$28=$B11)*(Transcriptome!$C$2:$C$28=$E11),0))</f>
        <v>1.3251398271295012</v>
      </c>
      <c r="AN11">
        <f t="array" ref="AN11">INDEX(Transcriptome!K$2:K$28,MATCH(1,(Transcriptome!$A$2:$A$28=$B11)*(Transcriptome!$C$2:$C$28=$E11),0))</f>
        <v>0.96530155174686461</v>
      </c>
      <c r="AO11">
        <f t="array" ref="AO11">INDEX(Transcriptome!L$2:L$28,MATCH(1,(Transcriptome!$A$2:$A$28=$B11)*(Transcriptome!$C$2:$C$28=$E11),0))</f>
        <v>1.2210153312207193</v>
      </c>
      <c r="AP11">
        <f t="array" ref="AP11">INDEX(Transcriptome!M$2:M$28,MATCH(1,(Transcriptome!$A$2:$A$28=$B11)*(Transcriptome!$C$2:$C$28=$E11),0))</f>
        <v>1.2244730900490455</v>
      </c>
      <c r="AQ11">
        <f t="array" ref="AQ11">INDEX(Transcriptome!N$2:N$28,MATCH(1,(Transcriptome!$A$2:$A$28=$B11)*(Transcriptome!$C$2:$C$28=$E11),0))</f>
        <v>0.73155313986543535</v>
      </c>
      <c r="AR11">
        <f t="array" ref="AR11">INDEX(Transcriptome!O$2:O$28,MATCH(1,(Transcriptome!$A$2:$A$28=$B11)*(Transcriptome!$C$2:$C$28=$E11),0))</f>
        <v>1.152318513561184</v>
      </c>
      <c r="AS11">
        <f t="array" ref="AS11">INDEX(Transcriptome!P$2:P$28,MATCH(1,(Transcriptome!$A$2:$A$28=$B11)*(Transcriptome!$C$2:$C$28=$E11),0))</f>
        <v>0.89618838062804274</v>
      </c>
      <c r="AT11">
        <f t="array" ref="AT11">INDEX(Transcriptome!Q$2:Q$28,MATCH(1,(Transcriptome!$A$2:$A$28=$B11)*(Transcriptome!$C$2:$C$28=$E11),0))</f>
        <v>0.65135227913388327</v>
      </c>
      <c r="AU11">
        <f t="array" ref="AU11">INDEX(Transcriptome!R$2:R$28,MATCH(1,(Transcriptome!$A$2:$A$28=$B11)*(Transcriptome!$C$2:$C$28=$E11),0))</f>
        <v>0.44670006467175033</v>
      </c>
      <c r="AV11">
        <f t="array" ref="AV11">INDEX(Transcriptome!S$2:S$28,MATCH(1,(Transcriptome!$A$2:$A$28=$B11)*(Transcriptome!$C$2:$C$28=$E11),0))</f>
        <v>0.54170910506007386</v>
      </c>
      <c r="AW11">
        <f t="array" ref="AW11">INDEX(Transcriptome!T$2:T$28,MATCH(1,(Transcriptome!$A$2:$A$28=$B11)*(Transcriptome!$C$2:$C$28=$E11),0))</f>
        <v>1.1524538892853755</v>
      </c>
      <c r="AX11">
        <f t="array" ref="AX11">INDEX(Transcriptome!U$2:U$28,MATCH(1,(Transcriptome!$A$2:$A$28=$B11)*(Transcriptome!$C$2:$C$28=$E11),0))</f>
        <v>3.717777936487666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0.76557540655216338</v>
      </c>
      <c r="BB11">
        <f t="array" ref="BB11">INDEX(Transcriptome!Y$2:Y$28,MATCH(1,(Transcriptome!$A$2:$A$28=$B11)*(Transcriptome!$C$2:$C$28=$E11),0))</f>
        <v>0</v>
      </c>
      <c r="BC11">
        <f t="array" ref="BC11">INDEX(Transcriptome!Z$2:Z$28,MATCH(1,(Transcriptome!$A$2:$A$28=$B11)*(Transcriptome!$C$2:$C$28=$E11),0))</f>
        <v>1.2179664020132115</v>
      </c>
      <c r="BD11">
        <f t="array" ref="BD11">INDEX(Transcriptome!AA$2:AA$28,MATCH(1,(Transcriptome!$A$2:$A$28=$B11)*(Transcriptome!$C$2:$C$28=$E11),0))</f>
        <v>1.4585553096187835</v>
      </c>
      <c r="BE11">
        <f t="array" ref="BE11">INDEX(Transcriptome!AB$2:AB$28,MATCH(1,(Transcriptome!$A$2:$A$28=$B11)*(Transcriptome!$C$2:$C$28=$E11),0))</f>
        <v>0.49899248340048019</v>
      </c>
      <c r="BF11">
        <f t="array" ref="BF11">INDEX(Transcriptome!AC$2:AC$28,MATCH(1,(Transcriptome!$A$2:$A$28=$B11)*(Transcriptome!$C$2:$C$28=$E11),0))</f>
        <v>1.0380961603134766</v>
      </c>
      <c r="BG11">
        <f t="array" ref="BG11">INDEX(Transcriptome!AD$2:AD$28,MATCH(1,(Transcriptome!$A$2:$A$28=$B11)*(Transcriptome!$C$2:$C$28=$E11),0))</f>
        <v>0.8468321289341687</v>
      </c>
      <c r="BH11">
        <f t="array" ref="BH11">INDEX(Transcriptome!AE$2:AE$28,MATCH(1,(Transcriptome!$A$2:$A$28=$B11)*(Transcriptome!$C$2:$C$28=$E11),0))</f>
        <v>1.3366947398587019</v>
      </c>
      <c r="BI11">
        <f t="array" ref="BI11">INDEX(Transcriptome!AF$2:AF$28,MATCH(1,(Transcriptome!$A$2:$A$28=$B11)*(Transcriptome!$C$2:$C$28=$E11),0))</f>
        <v>0.50618842957342058</v>
      </c>
      <c r="BJ11">
        <f t="array" ref="BJ11">INDEX(Transcriptome!AG$2:AG$28,MATCH(1,(Transcriptome!$A$2:$A$28=$B11)*(Transcriptome!$C$2:$C$28=$E11),0))</f>
        <v>0.66736997584655977</v>
      </c>
      <c r="BK11">
        <f t="array" ref="BK11">INDEX(Transcriptome!AH$2:AH$28,MATCH(1,(Transcriptome!$A$2:$A$28=$B11)*(Transcriptome!$C$2:$C$28=$E11),0))</f>
        <v>1.9306174267998168</v>
      </c>
      <c r="BL11">
        <f t="array" ref="BL11">INDEX(Transcriptome!AI$2:AI$28,MATCH(1,(Transcriptome!$A$2:$A$28=$B11)*(Transcriptome!$C$2:$C$28=$E11),0))</f>
        <v>0.77468008259435317</v>
      </c>
      <c r="BM11">
        <f t="array" ref="BM11">INDEX(Transcriptome!AJ$2:AJ$28,MATCH(1,(Transcriptome!$A$2:$A$28=$B11)*(Transcriptome!$C$2:$C$28=$E11),0))</f>
        <v>1.0628605890830978</v>
      </c>
      <c r="BN11">
        <f t="array" ref="BN11">INDEX(Transcriptome!AK$2:AK$28,MATCH(1,(Transcriptome!$A$2:$A$28=$B11)*(Transcriptome!$C$2:$C$28=$E11),0))</f>
        <v>0.55212849473227277</v>
      </c>
      <c r="BO11">
        <f t="array" ref="BO11">INDEX(Transcriptome!AL$2:AL$28,MATCH(1,(Transcriptome!$A$2:$A$28=$B11)*(Transcriptome!$C$2:$C$28=$E11),0))</f>
        <v>1</v>
      </c>
      <c r="BP11">
        <f t="array" ref="BP11">INDEX(Transcriptome!AM$2:AM$28,MATCH(1,(Transcriptome!$A$2:$A$28=$B11)*(Transcriptome!$C$2:$C$28=$E11),0))</f>
        <v>0.66472755238098791</v>
      </c>
      <c r="BQ11">
        <f t="array" ref="BQ11">INDEX(Transcriptome!AN$2:AN$28,MATCH(1,(Transcriptome!$A$2:$A$28=$B11)*(Transcriptome!$C$2:$C$28=$E11),0))</f>
        <v>1.0010669451153449</v>
      </c>
      <c r="BR11">
        <f t="array" ref="BR11">INDEX(Transcriptome!AO$2:AO$28,MATCH(1,(Transcriptome!$A$2:$A$28=$B11)*(Transcriptome!$C$2:$C$28=$E11),0))</f>
        <v>0.99858945685943101</v>
      </c>
      <c r="BS11">
        <f t="array" ref="BS11">INDEX(Transcriptome!AP$2:AP$28,MATCH(1,(Transcriptome!$A$2:$A$28=$B11)*(Transcriptome!$C$2:$C$28=$E11),0))</f>
        <v>1.1339345806169323</v>
      </c>
      <c r="BT11">
        <f t="array" ref="BT11">INDEX(Transcriptome!AQ$2:AQ$28,MATCH(1,(Transcriptome!$A$2:$A$28=$B11)*(Transcriptome!$C$2:$C$28=$E11),0))</f>
        <v>1.6048583301573733</v>
      </c>
      <c r="BU11">
        <f t="array" ref="BU11">INDEX(Transcriptome!AR$2:AR$28,MATCH(1,(Transcriptome!$A$2:$A$28=$B11)*(Transcriptome!$C$2:$C$28=$E11),0))</f>
        <v>0.83750658657958177</v>
      </c>
      <c r="BV11">
        <f t="array" ref="BV11">INDEX(Transcriptome!AS$2:AS$28,MATCH(1,(Transcriptome!$A$2:$A$28=$B11)*(Transcriptome!$C$2:$C$28=$E11),0))</f>
        <v>0.95672606842320829</v>
      </c>
      <c r="BW11">
        <f t="array" ref="BW11">INDEX(Transcriptome!AT$2:AT$28,MATCH(1,(Transcriptome!$A$2:$A$28=$B11)*(Transcriptome!$C$2:$C$28=$E11),0))</f>
        <v>0.68800520797646092</v>
      </c>
      <c r="BX11">
        <f t="array" ref="BX11">INDEX(Transcriptome!AU$2:AU$28,MATCH(1,(Transcriptome!$A$2:$A$28=$B11)*(Transcriptome!$C$2:$C$28=$E11),0))</f>
        <v>1.6867561981283563</v>
      </c>
      <c r="BY11">
        <f t="array" ref="BY11">INDEX(Transcriptome!AV$2:AV$28,MATCH(1,(Transcriptome!$A$2:$A$28=$B11)*(Transcriptome!$C$2:$C$28=$E11),0))</f>
        <v>0.72245781173202261</v>
      </c>
      <c r="BZ11">
        <f t="array" ref="BZ11">INDEX(Transcriptome!AW$2:AW$28,MATCH(1,(Transcriptome!$A$2:$A$28=$B11)*(Transcriptome!$C$2:$C$28=$E11),0))</f>
        <v>0.97913290067472636</v>
      </c>
      <c r="CA11">
        <f t="array" ref="CA11">INDEX(Transcriptome!AX$2:AX$28,MATCH(1,(Transcriptome!$A$2:$A$28=$B11)*(Transcriptome!$C$2:$C$28=$E11),0))</f>
        <v>0.91722492630928665</v>
      </c>
      <c r="CB11">
        <f t="array" ref="CB11">INDEX(Transcriptome!AY$2:AY$28,MATCH(1,(Transcriptome!$A$2:$A$28=$B11)*(Transcriptome!$C$2:$C$28=$E11),0))</f>
        <v>1.1415999188887762</v>
      </c>
      <c r="CC11">
        <f t="array" ref="CC11">INDEX(Transcriptome!AZ$2:AZ$28,MATCH(1,(Transcriptome!$A$2:$A$28=$B11)*(Transcriptome!$C$2:$C$28=$E11),0))</f>
        <v>0.54738994790393225</v>
      </c>
      <c r="CD11">
        <f t="array" ref="CD11">INDEX(Transcriptome!BA$2:BA$28,MATCH(1,(Transcriptome!$A$2:$A$28=$B11)*(Transcriptome!$C$2:$C$28=$E11),0))</f>
        <v>2.2110972178245372</v>
      </c>
      <c r="CE11">
        <f t="array" ref="CE11">INDEX(Transcriptome!BB$2:BB$28,MATCH(1,(Transcriptome!$A$2:$A$28=$B11)*(Transcriptome!$C$2:$C$28=$E11),0))</f>
        <v>2.0052625729406564</v>
      </c>
      <c r="CF11">
        <f t="array" ref="CF11">INDEX(Transcriptome!BC$2:BC$28,MATCH(1,(Transcriptome!$A$2:$A$28=$B11)*(Transcriptome!$C$2:$C$28=$E11),0))</f>
        <v>0</v>
      </c>
      <c r="CG11">
        <f t="array" ref="CG11">INDEX(Transcriptome!BD$2:BD$28,MATCH(1,(Transcriptome!$A$2:$A$28=$B11)*(Transcriptome!$C$2:$C$28=$E11),0))</f>
        <v>0.99946907963844456</v>
      </c>
      <c r="CH11">
        <f t="array" ref="CH11">INDEX(Transcriptome!BE$2:BE$28,MATCH(1,(Transcriptome!$A$2:$A$28=$B11)*(Transcriptome!$C$2:$C$28=$E11),0))</f>
        <v>1.4078816127558538</v>
      </c>
      <c r="CI11">
        <f t="array" ref="CI11">INDEX(Transcriptome!BF$2:BF$28,MATCH(1,(Transcriptome!$A$2:$A$28=$B11)*(Transcriptome!$C$2:$C$28=$E11),0))</f>
        <v>1.4576608642231981</v>
      </c>
      <c r="CJ11">
        <f t="array" ref="CJ11">INDEX(Transcriptome!BG$2:BG$28,MATCH(1,(Transcriptome!$A$2:$A$28=$B11)*(Transcriptome!$C$2:$C$28=$E11),0))</f>
        <v>2.9900144760241787</v>
      </c>
      <c r="CK11">
        <f t="array" ref="CK11">INDEX(Transcriptome!BH$2:BH$28,MATCH(1,(Transcriptome!$A$2:$A$28=$B11)*(Transcriptome!$C$2:$C$28=$E11),0))</f>
        <v>0.56887953529706936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4.080540530339805</v>
      </c>
      <c r="CO11">
        <f t="array" ref="CO11">INDEX(Transcriptome!BL$2:BL$28,MATCH(1,(Transcriptome!$A$2:$A$28=$B11)*(Transcriptome!$C$2:$C$28=$E11),0))</f>
        <v>2.731716075055703</v>
      </c>
      <c r="CP11">
        <f t="array" ref="CP11">INDEX(Transcriptome!BM$2:BM$28,MATCH(1,(Transcriptome!$A$2:$A$28=$B11)*(Transcriptome!$C$2:$C$28=$E11),0))</f>
        <v>1.1493512451322954</v>
      </c>
      <c r="CQ11">
        <f t="array" ref="CQ11">INDEX(Transcriptome!BN$2:BN$28,MATCH(1,(Transcriptome!$A$2:$A$28=$B11)*(Transcriptome!$C$2:$C$28=$E11),0))</f>
        <v>44.734751324798466</v>
      </c>
      <c r="CR11">
        <f t="array" ref="CR11">INDEX(Transcriptome!BO$2:BO$28,MATCH(1,(Transcriptome!$A$2:$A$28=$B11)*(Transcriptome!$C$2:$C$28=$E11),0))</f>
        <v>0.88062279532718779</v>
      </c>
      <c r="CS11">
        <f t="array" ref="CS11">INDEX(Transcriptome!BP$2:BP$28,MATCH(1,(Transcriptome!$A$2:$A$28=$B11)*(Transcriptome!$C$2:$C$28=$E11),0))</f>
        <v>0.56887953529706936</v>
      </c>
      <c r="CT11">
        <f t="array" ref="CT11">INDEX(Transcriptome!BQ$2:BQ$28,MATCH(1,(Transcriptome!$A$2:$A$28=$B11)*(Transcriptome!$C$2:$C$28=$E11),0))</f>
        <v>1</v>
      </c>
      <c r="CU11">
        <f t="array" ref="CU11">INDEX(Transcriptome!BR$2:BR$28,MATCH(1,(Transcriptome!$A$2:$A$28=$B11)*(Transcriptome!$C$2:$C$28=$E11),0))</f>
        <v>1.5039495013074526</v>
      </c>
    </row>
    <row r="12" spans="1:99">
      <c r="A12">
        <f>'Measured Data'!A17</f>
        <v>10</v>
      </c>
      <c r="B12" t="s">
        <v>586</v>
      </c>
      <c r="C12" s="324" t="s">
        <v>588</v>
      </c>
      <c r="D12">
        <v>1</v>
      </c>
      <c r="E12" t="s">
        <v>514</v>
      </c>
      <c r="F12" s="477">
        <f>'Growth Regression'!R12</f>
        <v>10.413541666668607</v>
      </c>
      <c r="G12" s="477">
        <f>'Growth Regression'!S12</f>
        <v>249.92500000004657</v>
      </c>
      <c r="H12">
        <f>AVERAGE('TL input - regression'!L12:L13)</f>
        <v>6.2723417482626171</v>
      </c>
      <c r="I12">
        <f>AVERAGE('TL input - regression'!M12:M13)</f>
        <v>6.6052397868561279</v>
      </c>
      <c r="J12">
        <f>AVERAGE('TL input - regression'!N12:N13)</f>
        <v>3.0305</v>
      </c>
      <c r="K12">
        <f>AVERAGE('TL input - regression'!O12:O13)</f>
        <v>3.4000000000000002E-2</v>
      </c>
      <c r="L12">
        <f>AVERAGE('TL input - regression'!P12:P13)</f>
        <v>2.5745</v>
      </c>
      <c r="M12">
        <f>'Growth Regression'!P12</f>
        <v>2.7441330068173207E-3</v>
      </c>
      <c r="N12">
        <f>M12/'Growth Regression'!$O$24</f>
        <v>0.10197340210259938</v>
      </c>
      <c r="O12">
        <f>'Post Process Calc.'!C30</f>
        <v>4.1505521235241719E-2</v>
      </c>
      <c r="P12">
        <f>'Post Process Calc.'!D30</f>
        <v>-6.6933398724203438E-3</v>
      </c>
      <c r="Q12">
        <f>'Post Process Calc.'!E30</f>
        <v>1.2205660087457146E-3</v>
      </c>
      <c r="R12">
        <f>'Post Process Calc.'!F30</f>
        <v>2.5481701656887615E-3</v>
      </c>
      <c r="S12">
        <f>'Post Process Calc.'!G30</f>
        <v>7.7561129032786846E-4</v>
      </c>
      <c r="T12">
        <f t="shared" si="2"/>
        <v>-0.16126384329651855</v>
      </c>
      <c r="U12">
        <f t="shared" si="4"/>
        <v>25.940950772026074</v>
      </c>
      <c r="V12">
        <f t="shared" si="4"/>
        <v>-4.1833374202627143</v>
      </c>
      <c r="W12">
        <f t="shared" si="0"/>
        <v>0.76285375546607159</v>
      </c>
      <c r="X12">
        <f t="shared" si="0"/>
        <v>1.592606353555476</v>
      </c>
      <c r="Y12">
        <f t="shared" si="0"/>
        <v>0.48475705645491779</v>
      </c>
      <c r="Z12">
        <v>100</v>
      </c>
      <c r="AA12">
        <v>0.32</v>
      </c>
      <c r="AB12">
        <v>7</v>
      </c>
      <c r="AC12">
        <v>0.7</v>
      </c>
      <c r="AD12">
        <f t="shared" si="1"/>
        <v>5.0118723362727164E-8</v>
      </c>
      <c r="AE12">
        <v>1</v>
      </c>
      <c r="AF12">
        <v>0.311</v>
      </c>
      <c r="AG12">
        <f t="array" ref="AG12">INDEX(Transcriptome!D$2:D$28,MATCH(1,(Transcriptome!$A$2:$A$28=$B12)*(Transcriptome!$C$2:$C$28=$E12),0))</f>
        <v>0.80405817319109352</v>
      </c>
      <c r="AH12">
        <f t="array" ref="AH12">INDEX(Transcriptome!E$2:E$28,MATCH(1,(Transcriptome!$A$2:$A$28=$B12)*(Transcriptome!$C$2:$C$28=$E12),0))</f>
        <v>1.4298002071539264</v>
      </c>
      <c r="AI12">
        <f t="array" ref="AI12">INDEX(Transcriptome!F$2:F$28,MATCH(1,(Transcriptome!$A$2:$A$28=$B12)*(Transcriptome!$C$2:$C$28=$E12),0))</f>
        <v>1.0670774563510854</v>
      </c>
      <c r="AJ12">
        <f t="array" ref="AJ12">INDEX(Transcriptome!G$2:G$28,MATCH(1,(Transcriptome!$A$2:$A$28=$B12)*(Transcriptome!$C$2:$C$28=$E12),0))</f>
        <v>1.0781450807881872</v>
      </c>
      <c r="AK12">
        <f t="array" ref="AK12">INDEX(Transcriptome!H$2:H$28,MATCH(1,(Transcriptome!$A$2:$A$28=$B12)*(Transcriptome!$C$2:$C$28=$E12),0))</f>
        <v>0</v>
      </c>
      <c r="AL12">
        <f t="array" ref="AL12">INDEX(Transcriptome!I$2:I$28,MATCH(1,(Transcriptome!$A$2:$A$28=$B12)*(Transcriptome!$C$2:$C$28=$E12),0))</f>
        <v>0.96817721241980881</v>
      </c>
      <c r="AM12">
        <f t="array" ref="AM12">INDEX(Transcriptome!J$2:J$28,MATCH(1,(Transcriptome!$A$2:$A$28=$B12)*(Transcriptome!$C$2:$C$28=$E12),0))</f>
        <v>1.1419941878058468</v>
      </c>
      <c r="AN12">
        <f t="array" ref="AN12">INDEX(Transcriptome!K$2:K$28,MATCH(1,(Transcriptome!$A$2:$A$28=$B12)*(Transcriptome!$C$2:$C$28=$E12),0))</f>
        <v>0.80519947219679278</v>
      </c>
      <c r="AO12">
        <f t="array" ref="AO12">INDEX(Transcriptome!L$2:L$28,MATCH(1,(Transcriptome!$A$2:$A$28=$B12)*(Transcriptome!$C$2:$C$28=$E12),0))</f>
        <v>0.94825319986319523</v>
      </c>
      <c r="AP12">
        <f t="array" ref="AP12">INDEX(Transcriptome!M$2:M$28,MATCH(1,(Transcriptome!$A$2:$A$28=$B12)*(Transcriptome!$C$2:$C$28=$E12),0))</f>
        <v>0.89840163701205955</v>
      </c>
      <c r="AQ12">
        <f t="array" ref="AQ12">INDEX(Transcriptome!N$2:N$28,MATCH(1,(Transcriptome!$A$2:$A$28=$B12)*(Transcriptome!$C$2:$C$28=$E12),0))</f>
        <v>0.66021886320115053</v>
      </c>
      <c r="AR12">
        <f t="array" ref="AR12">INDEX(Transcriptome!O$2:O$28,MATCH(1,(Transcriptome!$A$2:$A$28=$B12)*(Transcriptome!$C$2:$C$28=$E12),0))</f>
        <v>0.93150284359136615</v>
      </c>
      <c r="AS12">
        <f t="array" ref="AS12">INDEX(Transcriptome!P$2:P$28,MATCH(1,(Transcriptome!$A$2:$A$28=$B12)*(Transcriptome!$C$2:$C$28=$E12),0))</f>
        <v>0.77308616179216261</v>
      </c>
      <c r="AT12">
        <f t="array" ref="AT12">INDEX(Transcriptome!Q$2:Q$28,MATCH(1,(Transcriptome!$A$2:$A$28=$B12)*(Transcriptome!$C$2:$C$28=$E12),0))</f>
        <v>0.50425498290943815</v>
      </c>
      <c r="AU12">
        <f t="array" ref="AU12">INDEX(Transcriptome!R$2:R$28,MATCH(1,(Transcriptome!$A$2:$A$28=$B12)*(Transcriptome!$C$2:$C$28=$E12),0))</f>
        <v>0.37906477416228462</v>
      </c>
      <c r="AV12">
        <f t="array" ref="AV12">INDEX(Transcriptome!S$2:S$28,MATCH(1,(Transcriptome!$A$2:$A$28=$B12)*(Transcriptome!$C$2:$C$28=$E12),0))</f>
        <v>0.47600993683093695</v>
      </c>
      <c r="AW12">
        <f t="array" ref="AW12">INDEX(Transcriptome!T$2:T$28,MATCH(1,(Transcriptome!$A$2:$A$28=$B12)*(Transcriptome!$C$2:$C$28=$E12),0))</f>
        <v>0.97812301555614323</v>
      </c>
      <c r="AX12">
        <f t="array" ref="AX12">INDEX(Transcriptome!U$2:U$28,MATCH(1,(Transcriptome!$A$2:$A$28=$B12)*(Transcriptome!$C$2:$C$28=$E12),0))</f>
        <v>3.5655604776642109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0.60505302891513024</v>
      </c>
      <c r="BB12">
        <f t="array" ref="BB12">INDEX(Transcriptome!Y$2:Y$28,MATCH(1,(Transcriptome!$A$2:$A$28=$B12)*(Transcriptome!$C$2:$C$28=$E12),0))</f>
        <v>0</v>
      </c>
      <c r="BC12">
        <f t="array" ref="BC12">INDEX(Transcriptome!Z$2:Z$28,MATCH(1,(Transcriptome!$A$2:$A$28=$B12)*(Transcriptome!$C$2:$C$28=$E12),0))</f>
        <v>0.91458665240641712</v>
      </c>
      <c r="BD12">
        <f t="array" ref="BD12">INDEX(Transcriptome!AA$2:AA$28,MATCH(1,(Transcriptome!$A$2:$A$28=$B12)*(Transcriptome!$C$2:$C$28=$E12),0))</f>
        <v>1.1828097150558938</v>
      </c>
      <c r="BE12">
        <f t="array" ref="BE12">INDEX(Transcriptome!AB$2:AB$28,MATCH(1,(Transcriptome!$A$2:$A$28=$B12)*(Transcriptome!$C$2:$C$28=$E12),0))</f>
        <v>0.39742902714099099</v>
      </c>
      <c r="BF12">
        <f t="array" ref="BF12">INDEX(Transcriptome!AC$2:AC$28,MATCH(1,(Transcriptome!$A$2:$A$28=$B12)*(Transcriptome!$C$2:$C$28=$E12),0))</f>
        <v>0.88287815493621413</v>
      </c>
      <c r="BG12">
        <f t="array" ref="BG12">INDEX(Transcriptome!AD$2:AD$28,MATCH(1,(Transcriptome!$A$2:$A$28=$B12)*(Transcriptome!$C$2:$C$28=$E12),0))</f>
        <v>0.68110348686631206</v>
      </c>
      <c r="BH12">
        <f t="array" ref="BH12">INDEX(Transcriptome!AE$2:AE$28,MATCH(1,(Transcriptome!$A$2:$A$28=$B12)*(Transcriptome!$C$2:$C$28=$E12),0))</f>
        <v>1.1804974792973464</v>
      </c>
      <c r="BI12">
        <f t="array" ref="BI12">INDEX(Transcriptome!AF$2:AF$28,MATCH(1,(Transcriptome!$A$2:$A$28=$B12)*(Transcriptome!$C$2:$C$28=$E12),0))</f>
        <v>0.41354036163430702</v>
      </c>
      <c r="BJ12">
        <f t="array" ref="BJ12">INDEX(Transcriptome!AG$2:AG$28,MATCH(1,(Transcriptome!$A$2:$A$28=$B12)*(Transcriptome!$C$2:$C$28=$E12),0))</f>
        <v>0.47954980313717949</v>
      </c>
      <c r="BK12">
        <f t="array" ref="BK12">INDEX(Transcriptome!AH$2:AH$28,MATCH(1,(Transcriptome!$A$2:$A$28=$B12)*(Transcriptome!$C$2:$C$28=$E12),0))</f>
        <v>1.4712509003322132</v>
      </c>
      <c r="BL12">
        <f t="array" ref="BL12">INDEX(Transcriptome!AI$2:AI$28,MATCH(1,(Transcriptome!$A$2:$A$28=$B12)*(Transcriptome!$C$2:$C$28=$E12),0))</f>
        <v>0.61348296884797748</v>
      </c>
      <c r="BM12">
        <f t="array" ref="BM12">INDEX(Transcriptome!AJ$2:AJ$28,MATCH(1,(Transcriptome!$A$2:$A$28=$B12)*(Transcriptome!$C$2:$C$28=$E12),0))</f>
        <v>0.87690372243192172</v>
      </c>
      <c r="BN12">
        <f t="array" ref="BN12">INDEX(Transcriptome!AK$2:AK$28,MATCH(1,(Transcriptome!$A$2:$A$28=$B12)*(Transcriptome!$C$2:$C$28=$E12),0))</f>
        <v>0.46290432007199001</v>
      </c>
      <c r="BO12">
        <f t="array" ref="BO12">INDEX(Transcriptome!AL$2:AL$28,MATCH(1,(Transcriptome!$A$2:$A$28=$B12)*(Transcriptome!$C$2:$C$28=$E12),0))</f>
        <v>1</v>
      </c>
      <c r="BP12">
        <f t="array" ref="BP12">INDEX(Transcriptome!AM$2:AM$28,MATCH(1,(Transcriptome!$A$2:$A$28=$B12)*(Transcriptome!$C$2:$C$28=$E12),0))</f>
        <v>0.47060026111851089</v>
      </c>
      <c r="BQ12">
        <f t="array" ref="BQ12">INDEX(Transcriptome!AN$2:AN$28,MATCH(1,(Transcriptome!$A$2:$A$28=$B12)*(Transcriptome!$C$2:$C$28=$E12),0))</f>
        <v>0.81490174493105216</v>
      </c>
      <c r="BR12">
        <f t="array" ref="BR12">INDEX(Transcriptome!AO$2:AO$28,MATCH(1,(Transcriptome!$A$2:$A$28=$B12)*(Transcriptome!$C$2:$C$28=$E12),0))</f>
        <v>0.84347055456963871</v>
      </c>
      <c r="BS12">
        <f t="array" ref="BS12">INDEX(Transcriptome!AP$2:AP$28,MATCH(1,(Transcriptome!$A$2:$A$28=$B12)*(Transcriptome!$C$2:$C$28=$E12),0))</f>
        <v>0.94157586893589507</v>
      </c>
      <c r="BT12">
        <f t="array" ref="BT12">INDEX(Transcriptome!AQ$2:AQ$28,MATCH(1,(Transcriptome!$A$2:$A$28=$B12)*(Transcriptome!$C$2:$C$28=$E12),0))</f>
        <v>1.3941488677060316</v>
      </c>
      <c r="BU12">
        <f t="array" ref="BU12">INDEX(Transcriptome!AR$2:AR$28,MATCH(1,(Transcriptome!$A$2:$A$28=$B12)*(Transcriptome!$C$2:$C$28=$E12),0))</f>
        <v>0.65105549195123524</v>
      </c>
      <c r="BV12">
        <f t="array" ref="BV12">INDEX(Transcriptome!AS$2:AS$28,MATCH(1,(Transcriptome!$A$2:$A$28=$B12)*(Transcriptome!$C$2:$C$28=$E12),0))</f>
        <v>0.74865097843497297</v>
      </c>
      <c r="BW12">
        <f t="array" ref="BW12">INDEX(Transcriptome!AT$2:AT$28,MATCH(1,(Transcriptome!$A$2:$A$28=$B12)*(Transcriptome!$C$2:$C$28=$E12),0))</f>
        <v>0.57519358588280989</v>
      </c>
      <c r="BX12">
        <f t="array" ref="BX12">INDEX(Transcriptome!AU$2:AU$28,MATCH(1,(Transcriptome!$A$2:$A$28=$B12)*(Transcriptome!$C$2:$C$28=$E12),0))</f>
        <v>1.3600560267668953</v>
      </c>
      <c r="BY12">
        <f t="array" ref="BY12">INDEX(Transcriptome!AV$2:AV$28,MATCH(1,(Transcriptome!$A$2:$A$28=$B12)*(Transcriptome!$C$2:$C$28=$E12),0))</f>
        <v>0.63065751621815513</v>
      </c>
      <c r="BZ12">
        <f t="array" ref="BZ12">INDEX(Transcriptome!AW$2:AW$28,MATCH(1,(Transcriptome!$A$2:$A$28=$B12)*(Transcriptome!$C$2:$C$28=$E12),0))</f>
        <v>0.78705678834872239</v>
      </c>
      <c r="CA12">
        <f t="array" ref="CA12">INDEX(Transcriptome!AX$2:AX$28,MATCH(1,(Transcriptome!$A$2:$A$28=$B12)*(Transcriptome!$C$2:$C$28=$E12),0))</f>
        <v>0.69164128672141545</v>
      </c>
      <c r="CB12">
        <f t="array" ref="CB12">INDEX(Transcriptome!AY$2:AY$28,MATCH(1,(Transcriptome!$A$2:$A$28=$B12)*(Transcriptome!$C$2:$C$28=$E12),0))</f>
        <v>0.99089806815963755</v>
      </c>
      <c r="CC12">
        <f t="array" ref="CC12">INDEX(Transcriptome!AZ$2:AZ$28,MATCH(1,(Transcriptome!$A$2:$A$28=$B12)*(Transcriptome!$C$2:$C$28=$E12),0))</f>
        <v>0.45310281880283021</v>
      </c>
      <c r="CD12">
        <f t="array" ref="CD12">INDEX(Transcriptome!BA$2:BA$28,MATCH(1,(Transcriptome!$A$2:$A$28=$B12)*(Transcriptome!$C$2:$C$28=$E12),0))</f>
        <v>1.5134916222954586</v>
      </c>
      <c r="CE12">
        <f t="array" ref="CE12">INDEX(Transcriptome!BB$2:BB$28,MATCH(1,(Transcriptome!$A$2:$A$28=$B12)*(Transcriptome!$C$2:$C$28=$E12),0))</f>
        <v>1.6719635554907832</v>
      </c>
      <c r="CF12">
        <f t="array" ref="CF12">INDEX(Transcriptome!BC$2:BC$28,MATCH(1,(Transcriptome!$A$2:$A$28=$B12)*(Transcriptome!$C$2:$C$28=$E12),0))</f>
        <v>0</v>
      </c>
      <c r="CG12">
        <f t="array" ref="CG12">INDEX(Transcriptome!BD$2:BD$28,MATCH(1,(Transcriptome!$A$2:$A$28=$B12)*(Transcriptome!$C$2:$C$28=$E12),0))</f>
        <v>0.84632079917465686</v>
      </c>
      <c r="CH12">
        <f t="array" ref="CH12">INDEX(Transcriptome!BE$2:BE$28,MATCH(1,(Transcriptome!$A$2:$A$28=$B12)*(Transcriptome!$C$2:$C$28=$E12),0))</f>
        <v>1.1369151512835534</v>
      </c>
      <c r="CI12">
        <f t="array" ref="CI12">INDEX(Transcriptome!BF$2:BF$28,MATCH(1,(Transcriptome!$A$2:$A$28=$B12)*(Transcriptome!$C$2:$C$28=$E12),0))</f>
        <v>1.3015890144199895</v>
      </c>
      <c r="CJ12">
        <f t="array" ref="CJ12">INDEX(Transcriptome!BG$2:BG$28,MATCH(1,(Transcriptome!$A$2:$A$28=$B12)*(Transcriptome!$C$2:$C$28=$E12),0))</f>
        <v>2.4160142270418321</v>
      </c>
      <c r="CK12">
        <f t="array" ref="CK12">INDEX(Transcriptome!BH$2:BH$28,MATCH(1,(Transcriptome!$A$2:$A$28=$B12)*(Transcriptome!$C$2:$C$28=$E12),0))</f>
        <v>0.46651821183567305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3.9186431888175837</v>
      </c>
      <c r="CO12">
        <f t="array" ref="CO12">INDEX(Transcriptome!BL$2:BL$28,MATCH(1,(Transcriptome!$A$2:$A$28=$B12)*(Transcriptome!$C$2:$C$28=$E12),0))</f>
        <v>2.1859284806526076</v>
      </c>
      <c r="CP12">
        <f t="array" ref="CP12">INDEX(Transcriptome!BM$2:BM$28,MATCH(1,(Transcriptome!$A$2:$A$28=$B12)*(Transcriptome!$C$2:$C$28=$E12),0))</f>
        <v>0.82694614561725766</v>
      </c>
      <c r="CQ12">
        <f t="array" ref="CQ12">INDEX(Transcriptome!BN$2:BN$28,MATCH(1,(Transcriptome!$A$2:$A$28=$B12)*(Transcriptome!$C$2:$C$28=$E12),0))</f>
        <v>34.197717837116315</v>
      </c>
      <c r="CR12">
        <f t="array" ref="CR12">INDEX(Transcriptome!BO$2:BO$28,MATCH(1,(Transcriptome!$A$2:$A$28=$B12)*(Transcriptome!$C$2:$C$28=$E12),0))</f>
        <v>0.93477609147985707</v>
      </c>
      <c r="CS12">
        <f t="array" ref="CS12">INDEX(Transcriptome!BP$2:BP$28,MATCH(1,(Transcriptome!$A$2:$A$28=$B12)*(Transcriptome!$C$2:$C$28=$E12),0))</f>
        <v>0.46651821183567305</v>
      </c>
      <c r="CT12">
        <f t="array" ref="CT12">INDEX(Transcriptome!BQ$2:BQ$28,MATCH(1,(Transcriptome!$A$2:$A$28=$B12)*(Transcriptome!$C$2:$C$28=$E12),0))</f>
        <v>1</v>
      </c>
      <c r="CU12">
        <f t="array" ref="CU12">INDEX(Transcriptome!BR$2:BR$28,MATCH(1,(Transcriptome!$A$2:$A$28=$B12)*(Transcriptome!$C$2:$C$28=$E12),0))</f>
        <v>1.6237859342813912</v>
      </c>
    </row>
    <row r="13" spans="1:99">
      <c r="A13">
        <f>'Measured Data'!A18</f>
        <v>11</v>
      </c>
      <c r="B13" t="s">
        <v>586</v>
      </c>
      <c r="C13" s="324" t="s">
        <v>588</v>
      </c>
      <c r="D13">
        <v>1</v>
      </c>
      <c r="E13" t="s">
        <v>514</v>
      </c>
      <c r="F13" s="477">
        <f>'Growth Regression'!R13</f>
        <v>11.385416666667879</v>
      </c>
      <c r="G13" s="477">
        <f>'Growth Regression'!S13</f>
        <v>273.2500000000291</v>
      </c>
      <c r="H13">
        <f>AVERAGE('TL input - regression'!L13:L14)</f>
        <v>7.854304047603188</v>
      </c>
      <c r="I13">
        <f>AVERAGE('TL input - regression'!M13:M14)</f>
        <v>5.162078152753109</v>
      </c>
      <c r="J13">
        <f>AVERAGE('TL input - regression'!N13:N14)</f>
        <v>2.5140000000000002</v>
      </c>
      <c r="K13">
        <f>AVERAGE('TL input - regression'!O13:O14)</f>
        <v>6.5500000000000003E-2</v>
      </c>
      <c r="L13">
        <f>AVERAGE('TL input - regression'!P13:P14)</f>
        <v>2.2730000000000001</v>
      </c>
      <c r="M13">
        <f>'Growth Regression'!P13</f>
        <v>1.5253730757170826E-3</v>
      </c>
      <c r="N13">
        <f>M13/'Growth Regression'!$O$24</f>
        <v>5.6683652585405371E-2</v>
      </c>
      <c r="O13">
        <f>'Post Process Calc.'!C31</f>
        <v>4.3242327972520873E-2</v>
      </c>
      <c r="P13">
        <f>'Post Process Calc.'!D31</f>
        <v>-6.8652389860441717E-3</v>
      </c>
      <c r="Q13">
        <f>'Post Process Calc.'!E31</f>
        <v>1.572698634273976E-3</v>
      </c>
      <c r="R13">
        <f>'Post Process Calc.'!F31</f>
        <v>1.3377771083031723E-3</v>
      </c>
      <c r="S13">
        <f>'Post Process Calc.'!G31</f>
        <v>8.0862168860272978E-4</v>
      </c>
      <c r="T13">
        <f t="shared" si="2"/>
        <v>-0.15876201185113839</v>
      </c>
      <c r="U13">
        <f t="shared" si="4"/>
        <v>27.026454982825545</v>
      </c>
      <c r="V13">
        <f t="shared" si="4"/>
        <v>-4.2907743662776072</v>
      </c>
      <c r="W13">
        <f t="shared" si="0"/>
        <v>0.98293664642123491</v>
      </c>
      <c r="X13">
        <f t="shared" si="0"/>
        <v>0.83611069268948268</v>
      </c>
      <c r="Y13">
        <f t="shared" si="0"/>
        <v>0.50538855537670613</v>
      </c>
      <c r="Z13">
        <v>100</v>
      </c>
      <c r="AA13">
        <v>0.32</v>
      </c>
      <c r="AB13">
        <v>7</v>
      </c>
      <c r="AC13">
        <v>0.7</v>
      </c>
      <c r="AD13">
        <f t="shared" si="1"/>
        <v>5.0118723362727164E-8</v>
      </c>
      <c r="AE13">
        <v>1</v>
      </c>
      <c r="AF13">
        <v>0.311</v>
      </c>
      <c r="AG13">
        <f t="array" ref="AG13">INDEX(Transcriptome!D$2:D$28,MATCH(1,(Transcriptome!$A$2:$A$28=$B13)*(Transcriptome!$C$2:$C$28=$E13),0))</f>
        <v>0.80405817319109352</v>
      </c>
      <c r="AH13">
        <f t="array" ref="AH13">INDEX(Transcriptome!E$2:E$28,MATCH(1,(Transcriptome!$A$2:$A$28=$B13)*(Transcriptome!$C$2:$C$28=$E13),0))</f>
        <v>1.4298002071539264</v>
      </c>
      <c r="AI13">
        <f t="array" ref="AI13">INDEX(Transcriptome!F$2:F$28,MATCH(1,(Transcriptome!$A$2:$A$28=$B13)*(Transcriptome!$C$2:$C$28=$E13),0))</f>
        <v>1.0670774563510854</v>
      </c>
      <c r="AJ13">
        <f t="array" ref="AJ13">INDEX(Transcriptome!G$2:G$28,MATCH(1,(Transcriptome!$A$2:$A$28=$B13)*(Transcriptome!$C$2:$C$28=$E13),0))</f>
        <v>1.0781450807881872</v>
      </c>
      <c r="AK13">
        <f t="array" ref="AK13">INDEX(Transcriptome!H$2:H$28,MATCH(1,(Transcriptome!$A$2:$A$28=$B13)*(Transcriptome!$C$2:$C$28=$E13),0))</f>
        <v>0</v>
      </c>
      <c r="AL13">
        <f t="array" ref="AL13">INDEX(Transcriptome!I$2:I$28,MATCH(1,(Transcriptome!$A$2:$A$28=$B13)*(Transcriptome!$C$2:$C$28=$E13),0))</f>
        <v>0.96817721241980881</v>
      </c>
      <c r="AM13">
        <f t="array" ref="AM13">INDEX(Transcriptome!J$2:J$28,MATCH(1,(Transcriptome!$A$2:$A$28=$B13)*(Transcriptome!$C$2:$C$28=$E13),0))</f>
        <v>1.1419941878058468</v>
      </c>
      <c r="AN13">
        <f t="array" ref="AN13">INDEX(Transcriptome!K$2:K$28,MATCH(1,(Transcriptome!$A$2:$A$28=$B13)*(Transcriptome!$C$2:$C$28=$E13),0))</f>
        <v>0.80519947219679278</v>
      </c>
      <c r="AO13">
        <f t="array" ref="AO13">INDEX(Transcriptome!L$2:L$28,MATCH(1,(Transcriptome!$A$2:$A$28=$B13)*(Transcriptome!$C$2:$C$28=$E13),0))</f>
        <v>0.94825319986319523</v>
      </c>
      <c r="AP13">
        <f t="array" ref="AP13">INDEX(Transcriptome!M$2:M$28,MATCH(1,(Transcriptome!$A$2:$A$28=$B13)*(Transcriptome!$C$2:$C$28=$E13),0))</f>
        <v>0.89840163701205955</v>
      </c>
      <c r="AQ13">
        <f t="array" ref="AQ13">INDEX(Transcriptome!N$2:N$28,MATCH(1,(Transcriptome!$A$2:$A$28=$B13)*(Transcriptome!$C$2:$C$28=$E13),0))</f>
        <v>0.66021886320115053</v>
      </c>
      <c r="AR13">
        <f t="array" ref="AR13">INDEX(Transcriptome!O$2:O$28,MATCH(1,(Transcriptome!$A$2:$A$28=$B13)*(Transcriptome!$C$2:$C$28=$E13),0))</f>
        <v>0.93150284359136615</v>
      </c>
      <c r="AS13">
        <f t="array" ref="AS13">INDEX(Transcriptome!P$2:P$28,MATCH(1,(Transcriptome!$A$2:$A$28=$B13)*(Transcriptome!$C$2:$C$28=$E13),0))</f>
        <v>0.77308616179216261</v>
      </c>
      <c r="AT13">
        <f t="array" ref="AT13">INDEX(Transcriptome!Q$2:Q$28,MATCH(1,(Transcriptome!$A$2:$A$28=$B13)*(Transcriptome!$C$2:$C$28=$E13),0))</f>
        <v>0.50425498290943815</v>
      </c>
      <c r="AU13">
        <f t="array" ref="AU13">INDEX(Transcriptome!R$2:R$28,MATCH(1,(Transcriptome!$A$2:$A$28=$B13)*(Transcriptome!$C$2:$C$28=$E13),0))</f>
        <v>0.37906477416228462</v>
      </c>
      <c r="AV13">
        <f t="array" ref="AV13">INDEX(Transcriptome!S$2:S$28,MATCH(1,(Transcriptome!$A$2:$A$28=$B13)*(Transcriptome!$C$2:$C$28=$E13),0))</f>
        <v>0.47600993683093695</v>
      </c>
      <c r="AW13">
        <f t="array" ref="AW13">INDEX(Transcriptome!T$2:T$28,MATCH(1,(Transcriptome!$A$2:$A$28=$B13)*(Transcriptome!$C$2:$C$28=$E13),0))</f>
        <v>0.97812301555614323</v>
      </c>
      <c r="AX13">
        <f t="array" ref="AX13">INDEX(Transcriptome!U$2:U$28,MATCH(1,(Transcriptome!$A$2:$A$28=$B13)*(Transcriptome!$C$2:$C$28=$E13),0))</f>
        <v>3.5655604776642109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0.60505302891513024</v>
      </c>
      <c r="BB13">
        <f t="array" ref="BB13">INDEX(Transcriptome!Y$2:Y$28,MATCH(1,(Transcriptome!$A$2:$A$28=$B13)*(Transcriptome!$C$2:$C$28=$E13),0))</f>
        <v>0</v>
      </c>
      <c r="BC13">
        <f t="array" ref="BC13">INDEX(Transcriptome!Z$2:Z$28,MATCH(1,(Transcriptome!$A$2:$A$28=$B13)*(Transcriptome!$C$2:$C$28=$E13),0))</f>
        <v>0.91458665240641712</v>
      </c>
      <c r="BD13">
        <f t="array" ref="BD13">INDEX(Transcriptome!AA$2:AA$28,MATCH(1,(Transcriptome!$A$2:$A$28=$B13)*(Transcriptome!$C$2:$C$28=$E13),0))</f>
        <v>1.1828097150558938</v>
      </c>
      <c r="BE13">
        <f t="array" ref="BE13">INDEX(Transcriptome!AB$2:AB$28,MATCH(1,(Transcriptome!$A$2:$A$28=$B13)*(Transcriptome!$C$2:$C$28=$E13),0))</f>
        <v>0.39742902714099099</v>
      </c>
      <c r="BF13">
        <f t="array" ref="BF13">INDEX(Transcriptome!AC$2:AC$28,MATCH(1,(Transcriptome!$A$2:$A$28=$B13)*(Transcriptome!$C$2:$C$28=$E13),0))</f>
        <v>0.88287815493621413</v>
      </c>
      <c r="BG13">
        <f t="array" ref="BG13">INDEX(Transcriptome!AD$2:AD$28,MATCH(1,(Transcriptome!$A$2:$A$28=$B13)*(Transcriptome!$C$2:$C$28=$E13),0))</f>
        <v>0.68110348686631206</v>
      </c>
      <c r="BH13">
        <f t="array" ref="BH13">INDEX(Transcriptome!AE$2:AE$28,MATCH(1,(Transcriptome!$A$2:$A$28=$B13)*(Transcriptome!$C$2:$C$28=$E13),0))</f>
        <v>1.1804974792973464</v>
      </c>
      <c r="BI13">
        <f t="array" ref="BI13">INDEX(Transcriptome!AF$2:AF$28,MATCH(1,(Transcriptome!$A$2:$A$28=$B13)*(Transcriptome!$C$2:$C$28=$E13),0))</f>
        <v>0.41354036163430702</v>
      </c>
      <c r="BJ13">
        <f t="array" ref="BJ13">INDEX(Transcriptome!AG$2:AG$28,MATCH(1,(Transcriptome!$A$2:$A$28=$B13)*(Transcriptome!$C$2:$C$28=$E13),0))</f>
        <v>0.47954980313717949</v>
      </c>
      <c r="BK13">
        <f t="array" ref="BK13">INDEX(Transcriptome!AH$2:AH$28,MATCH(1,(Transcriptome!$A$2:$A$28=$B13)*(Transcriptome!$C$2:$C$28=$E13),0))</f>
        <v>1.4712509003322132</v>
      </c>
      <c r="BL13">
        <f t="array" ref="BL13">INDEX(Transcriptome!AI$2:AI$28,MATCH(1,(Transcriptome!$A$2:$A$28=$B13)*(Transcriptome!$C$2:$C$28=$E13),0))</f>
        <v>0.61348296884797748</v>
      </c>
      <c r="BM13">
        <f t="array" ref="BM13">INDEX(Transcriptome!AJ$2:AJ$28,MATCH(1,(Transcriptome!$A$2:$A$28=$B13)*(Transcriptome!$C$2:$C$28=$E13),0))</f>
        <v>0.87690372243192172</v>
      </c>
      <c r="BN13">
        <f t="array" ref="BN13">INDEX(Transcriptome!AK$2:AK$28,MATCH(1,(Transcriptome!$A$2:$A$28=$B13)*(Transcriptome!$C$2:$C$28=$E13),0))</f>
        <v>0.46290432007199001</v>
      </c>
      <c r="BO13">
        <f t="array" ref="BO13">INDEX(Transcriptome!AL$2:AL$28,MATCH(1,(Transcriptome!$A$2:$A$28=$B13)*(Transcriptome!$C$2:$C$28=$E13),0))</f>
        <v>1</v>
      </c>
      <c r="BP13">
        <f t="array" ref="BP13">INDEX(Transcriptome!AM$2:AM$28,MATCH(1,(Transcriptome!$A$2:$A$28=$B13)*(Transcriptome!$C$2:$C$28=$E13),0))</f>
        <v>0.47060026111851089</v>
      </c>
      <c r="BQ13">
        <f t="array" ref="BQ13">INDEX(Transcriptome!AN$2:AN$28,MATCH(1,(Transcriptome!$A$2:$A$28=$B13)*(Transcriptome!$C$2:$C$28=$E13),0))</f>
        <v>0.81490174493105216</v>
      </c>
      <c r="BR13">
        <f t="array" ref="BR13">INDEX(Transcriptome!AO$2:AO$28,MATCH(1,(Transcriptome!$A$2:$A$28=$B13)*(Transcriptome!$C$2:$C$28=$E13),0))</f>
        <v>0.84347055456963871</v>
      </c>
      <c r="BS13">
        <f t="array" ref="BS13">INDEX(Transcriptome!AP$2:AP$28,MATCH(1,(Transcriptome!$A$2:$A$28=$B13)*(Transcriptome!$C$2:$C$28=$E13),0))</f>
        <v>0.94157586893589507</v>
      </c>
      <c r="BT13">
        <f t="array" ref="BT13">INDEX(Transcriptome!AQ$2:AQ$28,MATCH(1,(Transcriptome!$A$2:$A$28=$B13)*(Transcriptome!$C$2:$C$28=$E13),0))</f>
        <v>1.3941488677060316</v>
      </c>
      <c r="BU13">
        <f t="array" ref="BU13">INDEX(Transcriptome!AR$2:AR$28,MATCH(1,(Transcriptome!$A$2:$A$28=$B13)*(Transcriptome!$C$2:$C$28=$E13),0))</f>
        <v>0.65105549195123524</v>
      </c>
      <c r="BV13">
        <f t="array" ref="BV13">INDEX(Transcriptome!AS$2:AS$28,MATCH(1,(Transcriptome!$A$2:$A$28=$B13)*(Transcriptome!$C$2:$C$28=$E13),0))</f>
        <v>0.74865097843497297</v>
      </c>
      <c r="BW13">
        <f t="array" ref="BW13">INDEX(Transcriptome!AT$2:AT$28,MATCH(1,(Transcriptome!$A$2:$A$28=$B13)*(Transcriptome!$C$2:$C$28=$E13),0))</f>
        <v>0.57519358588280989</v>
      </c>
      <c r="BX13">
        <f t="array" ref="BX13">INDEX(Transcriptome!AU$2:AU$28,MATCH(1,(Transcriptome!$A$2:$A$28=$B13)*(Transcriptome!$C$2:$C$28=$E13),0))</f>
        <v>1.3600560267668953</v>
      </c>
      <c r="BY13">
        <f t="array" ref="BY13">INDEX(Transcriptome!AV$2:AV$28,MATCH(1,(Transcriptome!$A$2:$A$28=$B13)*(Transcriptome!$C$2:$C$28=$E13),0))</f>
        <v>0.63065751621815513</v>
      </c>
      <c r="BZ13">
        <f t="array" ref="BZ13">INDEX(Transcriptome!AW$2:AW$28,MATCH(1,(Transcriptome!$A$2:$A$28=$B13)*(Transcriptome!$C$2:$C$28=$E13),0))</f>
        <v>0.78705678834872239</v>
      </c>
      <c r="CA13">
        <f t="array" ref="CA13">INDEX(Transcriptome!AX$2:AX$28,MATCH(1,(Transcriptome!$A$2:$A$28=$B13)*(Transcriptome!$C$2:$C$28=$E13),0))</f>
        <v>0.69164128672141545</v>
      </c>
      <c r="CB13">
        <f t="array" ref="CB13">INDEX(Transcriptome!AY$2:AY$28,MATCH(1,(Transcriptome!$A$2:$A$28=$B13)*(Transcriptome!$C$2:$C$28=$E13),0))</f>
        <v>0.99089806815963755</v>
      </c>
      <c r="CC13">
        <f t="array" ref="CC13">INDEX(Transcriptome!AZ$2:AZ$28,MATCH(1,(Transcriptome!$A$2:$A$28=$B13)*(Transcriptome!$C$2:$C$28=$E13),0))</f>
        <v>0.45310281880283021</v>
      </c>
      <c r="CD13">
        <f t="array" ref="CD13">INDEX(Transcriptome!BA$2:BA$28,MATCH(1,(Transcriptome!$A$2:$A$28=$B13)*(Transcriptome!$C$2:$C$28=$E13),0))</f>
        <v>1.5134916222954586</v>
      </c>
      <c r="CE13">
        <f t="array" ref="CE13">INDEX(Transcriptome!BB$2:BB$28,MATCH(1,(Transcriptome!$A$2:$A$28=$B13)*(Transcriptome!$C$2:$C$28=$E13),0))</f>
        <v>1.6719635554907832</v>
      </c>
      <c r="CF13">
        <f t="array" ref="CF13">INDEX(Transcriptome!BC$2:BC$28,MATCH(1,(Transcriptome!$A$2:$A$28=$B13)*(Transcriptome!$C$2:$C$28=$E13),0))</f>
        <v>0</v>
      </c>
      <c r="CG13">
        <f t="array" ref="CG13">INDEX(Transcriptome!BD$2:BD$28,MATCH(1,(Transcriptome!$A$2:$A$28=$B13)*(Transcriptome!$C$2:$C$28=$E13),0))</f>
        <v>0.84632079917465686</v>
      </c>
      <c r="CH13">
        <f t="array" ref="CH13">INDEX(Transcriptome!BE$2:BE$28,MATCH(1,(Transcriptome!$A$2:$A$28=$B13)*(Transcriptome!$C$2:$C$28=$E13),0))</f>
        <v>1.1369151512835534</v>
      </c>
      <c r="CI13">
        <f t="array" ref="CI13">INDEX(Transcriptome!BF$2:BF$28,MATCH(1,(Transcriptome!$A$2:$A$28=$B13)*(Transcriptome!$C$2:$C$28=$E13),0))</f>
        <v>1.3015890144199895</v>
      </c>
      <c r="CJ13">
        <f t="array" ref="CJ13">INDEX(Transcriptome!BG$2:BG$28,MATCH(1,(Transcriptome!$A$2:$A$28=$B13)*(Transcriptome!$C$2:$C$28=$E13),0))</f>
        <v>2.4160142270418321</v>
      </c>
      <c r="CK13">
        <f t="array" ref="CK13">INDEX(Transcriptome!BH$2:BH$28,MATCH(1,(Transcriptome!$A$2:$A$28=$B13)*(Transcriptome!$C$2:$C$28=$E13),0))</f>
        <v>0.46651821183567305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3.9186431888175837</v>
      </c>
      <c r="CO13">
        <f t="array" ref="CO13">INDEX(Transcriptome!BL$2:BL$28,MATCH(1,(Transcriptome!$A$2:$A$28=$B13)*(Transcriptome!$C$2:$C$28=$E13),0))</f>
        <v>2.1859284806526076</v>
      </c>
      <c r="CP13">
        <f t="array" ref="CP13">INDEX(Transcriptome!BM$2:BM$28,MATCH(1,(Transcriptome!$A$2:$A$28=$B13)*(Transcriptome!$C$2:$C$28=$E13),0))</f>
        <v>0.82694614561725766</v>
      </c>
      <c r="CQ13">
        <f t="array" ref="CQ13">INDEX(Transcriptome!BN$2:BN$28,MATCH(1,(Transcriptome!$A$2:$A$28=$B13)*(Transcriptome!$C$2:$C$28=$E13),0))</f>
        <v>34.197717837116315</v>
      </c>
      <c r="CR13">
        <f t="array" ref="CR13">INDEX(Transcriptome!BO$2:BO$28,MATCH(1,(Transcriptome!$A$2:$A$28=$B13)*(Transcriptome!$C$2:$C$28=$E13),0))</f>
        <v>0.93477609147985707</v>
      </c>
      <c r="CS13">
        <f t="array" ref="CS13">INDEX(Transcriptome!BP$2:BP$28,MATCH(1,(Transcriptome!$A$2:$A$28=$B13)*(Transcriptome!$C$2:$C$28=$E13),0))</f>
        <v>0.46651821183567305</v>
      </c>
      <c r="CT13">
        <f t="array" ref="CT13">INDEX(Transcriptome!BQ$2:BQ$28,MATCH(1,(Transcriptome!$A$2:$A$28=$B13)*(Transcriptome!$C$2:$C$28=$E13),0))</f>
        <v>1</v>
      </c>
      <c r="CU13">
        <f t="array" ref="CU13">INDEX(Transcriptome!BR$2:BR$28,MATCH(1,(Transcriptome!$A$2:$A$28=$B13)*(Transcriptome!$C$2:$C$28=$E13),0))</f>
        <v>1.6237859342813912</v>
      </c>
    </row>
    <row r="14" spans="1:99">
      <c r="A14">
        <f>'Measured Data'!A19</f>
        <v>12</v>
      </c>
      <c r="B14" t="s">
        <v>586</v>
      </c>
      <c r="C14" s="324" t="s">
        <v>588</v>
      </c>
      <c r="D14">
        <v>1</v>
      </c>
      <c r="E14" t="s">
        <v>514</v>
      </c>
      <c r="F14" s="477">
        <f>'Growth Regression'!R14</f>
        <v>12.361111111113132</v>
      </c>
      <c r="G14" s="477">
        <f>'Growth Regression'!S14</f>
        <v>296.66666666671517</v>
      </c>
      <c r="H14">
        <f>AVERAGE('TL input - regression'!L14:L15)</f>
        <v>10.823952574435488</v>
      </c>
      <c r="I14">
        <f>AVERAGE('TL input - regression'!M14:M15)</f>
        <v>3.2193605683836592</v>
      </c>
      <c r="J14">
        <f>AVERAGE('TL input - regression'!N14:N15)</f>
        <v>2.3605</v>
      </c>
      <c r="K14">
        <f>AVERAGE('TL input - regression'!O14:O15)</f>
        <v>6.7000000000000004E-2</v>
      </c>
      <c r="L14">
        <f>AVERAGE('TL input - regression'!P14:P15)</f>
        <v>1.768</v>
      </c>
      <c r="M14">
        <f>'Growth Regression'!P14</f>
        <v>8.4350394953332426E-4</v>
      </c>
      <c r="N14">
        <f>M14/'Growth Regression'!$O$24</f>
        <v>3.1345043118246513E-2</v>
      </c>
      <c r="O14">
        <f>'Post Process Calc.'!C32</f>
        <v>4.2331157586141574E-2</v>
      </c>
      <c r="P14">
        <f>'Post Process Calc.'!D32</f>
        <v>-4.0334080743014318E-3</v>
      </c>
      <c r="Q14">
        <f>'Post Process Calc.'!E32</f>
        <v>1.2380669007363977E-3</v>
      </c>
      <c r="R14">
        <f>'Post Process Calc.'!F32</f>
        <v>-7.6082506240339443E-4</v>
      </c>
      <c r="S14">
        <f>'Post Process Calc.'!G32</f>
        <v>5.2896110643810474E-4</v>
      </c>
      <c r="T14">
        <f t="shared" ref="T14:T15" si="5">P14/O14</f>
        <v>-9.5282253174713408E-2</v>
      </c>
      <c r="U14">
        <f t="shared" ref="U14:U15" si="6">O14/0.0016</f>
        <v>26.456973491338484</v>
      </c>
      <c r="V14">
        <f t="shared" ref="V14:V15" si="7">P14/0.0016</f>
        <v>-2.5208800464383949</v>
      </c>
      <c r="W14">
        <f t="shared" ref="W14:W15" si="8">Q14/0.0016</f>
        <v>0.77379181296024857</v>
      </c>
      <c r="X14">
        <f t="shared" ref="X14:X15" si="9">R14/0.0016</f>
        <v>-0.47551566400212147</v>
      </c>
      <c r="Y14">
        <f t="shared" ref="Y14:Y15" si="10">S14/0.0016</f>
        <v>0.33060069152381544</v>
      </c>
      <c r="Z14">
        <v>100</v>
      </c>
      <c r="AA14">
        <v>0.32</v>
      </c>
      <c r="AB14">
        <v>7</v>
      </c>
      <c r="AC14">
        <v>0.7</v>
      </c>
      <c r="AD14">
        <f t="shared" si="1"/>
        <v>5.0118723362727164E-8</v>
      </c>
      <c r="AE14">
        <v>1</v>
      </c>
      <c r="AF14">
        <v>0.311</v>
      </c>
      <c r="AG14">
        <f t="array" ref="AG14">INDEX(Transcriptome!D$2:D$28,MATCH(1,(Transcriptome!$A$2:$A$28=$B14)*(Transcriptome!$C$2:$C$28=$E14),0))</f>
        <v>0.80405817319109352</v>
      </c>
      <c r="AH14">
        <f t="array" ref="AH14">INDEX(Transcriptome!E$2:E$28,MATCH(1,(Transcriptome!$A$2:$A$28=$B14)*(Transcriptome!$C$2:$C$28=$E14),0))</f>
        <v>1.4298002071539264</v>
      </c>
      <c r="AI14">
        <f t="array" ref="AI14">INDEX(Transcriptome!F$2:F$28,MATCH(1,(Transcriptome!$A$2:$A$28=$B14)*(Transcriptome!$C$2:$C$28=$E14),0))</f>
        <v>1.0670774563510854</v>
      </c>
      <c r="AJ14">
        <f t="array" ref="AJ14">INDEX(Transcriptome!G$2:G$28,MATCH(1,(Transcriptome!$A$2:$A$28=$B14)*(Transcriptome!$C$2:$C$28=$E14),0))</f>
        <v>1.0781450807881872</v>
      </c>
      <c r="AK14">
        <f t="array" ref="AK14">INDEX(Transcriptome!H$2:H$28,MATCH(1,(Transcriptome!$A$2:$A$28=$B14)*(Transcriptome!$C$2:$C$28=$E14),0))</f>
        <v>0</v>
      </c>
      <c r="AL14">
        <f t="array" ref="AL14">INDEX(Transcriptome!I$2:I$28,MATCH(1,(Transcriptome!$A$2:$A$28=$B14)*(Transcriptome!$C$2:$C$28=$E14),0))</f>
        <v>0.96817721241980881</v>
      </c>
      <c r="AM14">
        <f t="array" ref="AM14">INDEX(Transcriptome!J$2:J$28,MATCH(1,(Transcriptome!$A$2:$A$28=$B14)*(Transcriptome!$C$2:$C$28=$E14),0))</f>
        <v>1.1419941878058468</v>
      </c>
      <c r="AN14">
        <f t="array" ref="AN14">INDEX(Transcriptome!K$2:K$28,MATCH(1,(Transcriptome!$A$2:$A$28=$B14)*(Transcriptome!$C$2:$C$28=$E14),0))</f>
        <v>0.80519947219679278</v>
      </c>
      <c r="AO14">
        <f t="array" ref="AO14">INDEX(Transcriptome!L$2:L$28,MATCH(1,(Transcriptome!$A$2:$A$28=$B14)*(Transcriptome!$C$2:$C$28=$E14),0))</f>
        <v>0.94825319986319523</v>
      </c>
      <c r="AP14">
        <f t="array" ref="AP14">INDEX(Transcriptome!M$2:M$28,MATCH(1,(Transcriptome!$A$2:$A$28=$B14)*(Transcriptome!$C$2:$C$28=$E14),0))</f>
        <v>0.89840163701205955</v>
      </c>
      <c r="AQ14">
        <f t="array" ref="AQ14">INDEX(Transcriptome!N$2:N$28,MATCH(1,(Transcriptome!$A$2:$A$28=$B14)*(Transcriptome!$C$2:$C$28=$E14),0))</f>
        <v>0.66021886320115053</v>
      </c>
      <c r="AR14">
        <f t="array" ref="AR14">INDEX(Transcriptome!O$2:O$28,MATCH(1,(Transcriptome!$A$2:$A$28=$B14)*(Transcriptome!$C$2:$C$28=$E14),0))</f>
        <v>0.93150284359136615</v>
      </c>
      <c r="AS14">
        <f t="array" ref="AS14">INDEX(Transcriptome!P$2:P$28,MATCH(1,(Transcriptome!$A$2:$A$28=$B14)*(Transcriptome!$C$2:$C$28=$E14),0))</f>
        <v>0.77308616179216261</v>
      </c>
      <c r="AT14">
        <f t="array" ref="AT14">INDEX(Transcriptome!Q$2:Q$28,MATCH(1,(Transcriptome!$A$2:$A$28=$B14)*(Transcriptome!$C$2:$C$28=$E14),0))</f>
        <v>0.50425498290943815</v>
      </c>
      <c r="AU14">
        <f t="array" ref="AU14">INDEX(Transcriptome!R$2:R$28,MATCH(1,(Transcriptome!$A$2:$A$28=$B14)*(Transcriptome!$C$2:$C$28=$E14),0))</f>
        <v>0.37906477416228462</v>
      </c>
      <c r="AV14">
        <f t="array" ref="AV14">INDEX(Transcriptome!S$2:S$28,MATCH(1,(Transcriptome!$A$2:$A$28=$B14)*(Transcriptome!$C$2:$C$28=$E14),0))</f>
        <v>0.47600993683093695</v>
      </c>
      <c r="AW14">
        <f t="array" ref="AW14">INDEX(Transcriptome!T$2:T$28,MATCH(1,(Transcriptome!$A$2:$A$28=$B14)*(Transcriptome!$C$2:$C$28=$E14),0))</f>
        <v>0.97812301555614323</v>
      </c>
      <c r="AX14">
        <f t="array" ref="AX14">INDEX(Transcriptome!U$2:U$28,MATCH(1,(Transcriptome!$A$2:$A$28=$B14)*(Transcriptome!$C$2:$C$28=$E14),0))</f>
        <v>3.5655604776642109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0.60505302891513024</v>
      </c>
      <c r="BB14">
        <f t="array" ref="BB14">INDEX(Transcriptome!Y$2:Y$28,MATCH(1,(Transcriptome!$A$2:$A$28=$B14)*(Transcriptome!$C$2:$C$28=$E14),0))</f>
        <v>0</v>
      </c>
      <c r="BC14">
        <f t="array" ref="BC14">INDEX(Transcriptome!Z$2:Z$28,MATCH(1,(Transcriptome!$A$2:$A$28=$B14)*(Transcriptome!$C$2:$C$28=$E14),0))</f>
        <v>0.91458665240641712</v>
      </c>
      <c r="BD14">
        <f t="array" ref="BD14">INDEX(Transcriptome!AA$2:AA$28,MATCH(1,(Transcriptome!$A$2:$A$28=$B14)*(Transcriptome!$C$2:$C$28=$E14),0))</f>
        <v>1.1828097150558938</v>
      </c>
      <c r="BE14">
        <f t="array" ref="BE14">INDEX(Transcriptome!AB$2:AB$28,MATCH(1,(Transcriptome!$A$2:$A$28=$B14)*(Transcriptome!$C$2:$C$28=$E14),0))</f>
        <v>0.39742902714099099</v>
      </c>
      <c r="BF14">
        <f t="array" ref="BF14">INDEX(Transcriptome!AC$2:AC$28,MATCH(1,(Transcriptome!$A$2:$A$28=$B14)*(Transcriptome!$C$2:$C$28=$E14),0))</f>
        <v>0.88287815493621413</v>
      </c>
      <c r="BG14">
        <f t="array" ref="BG14">INDEX(Transcriptome!AD$2:AD$28,MATCH(1,(Transcriptome!$A$2:$A$28=$B14)*(Transcriptome!$C$2:$C$28=$E14),0))</f>
        <v>0.68110348686631206</v>
      </c>
      <c r="BH14">
        <f t="array" ref="BH14">INDEX(Transcriptome!AE$2:AE$28,MATCH(1,(Transcriptome!$A$2:$A$28=$B14)*(Transcriptome!$C$2:$C$28=$E14),0))</f>
        <v>1.1804974792973464</v>
      </c>
      <c r="BI14">
        <f t="array" ref="BI14">INDEX(Transcriptome!AF$2:AF$28,MATCH(1,(Transcriptome!$A$2:$A$28=$B14)*(Transcriptome!$C$2:$C$28=$E14),0))</f>
        <v>0.41354036163430702</v>
      </c>
      <c r="BJ14">
        <f t="array" ref="BJ14">INDEX(Transcriptome!AG$2:AG$28,MATCH(1,(Transcriptome!$A$2:$A$28=$B14)*(Transcriptome!$C$2:$C$28=$E14),0))</f>
        <v>0.47954980313717949</v>
      </c>
      <c r="BK14">
        <f t="array" ref="BK14">INDEX(Transcriptome!AH$2:AH$28,MATCH(1,(Transcriptome!$A$2:$A$28=$B14)*(Transcriptome!$C$2:$C$28=$E14),0))</f>
        <v>1.4712509003322132</v>
      </c>
      <c r="BL14">
        <f t="array" ref="BL14">INDEX(Transcriptome!AI$2:AI$28,MATCH(1,(Transcriptome!$A$2:$A$28=$B14)*(Transcriptome!$C$2:$C$28=$E14),0))</f>
        <v>0.61348296884797748</v>
      </c>
      <c r="BM14">
        <f t="array" ref="BM14">INDEX(Transcriptome!AJ$2:AJ$28,MATCH(1,(Transcriptome!$A$2:$A$28=$B14)*(Transcriptome!$C$2:$C$28=$E14),0))</f>
        <v>0.87690372243192172</v>
      </c>
      <c r="BN14">
        <f t="array" ref="BN14">INDEX(Transcriptome!AK$2:AK$28,MATCH(1,(Transcriptome!$A$2:$A$28=$B14)*(Transcriptome!$C$2:$C$28=$E14),0))</f>
        <v>0.46290432007199001</v>
      </c>
      <c r="BO14">
        <f t="array" ref="BO14">INDEX(Transcriptome!AL$2:AL$28,MATCH(1,(Transcriptome!$A$2:$A$28=$B14)*(Transcriptome!$C$2:$C$28=$E14),0))</f>
        <v>1</v>
      </c>
      <c r="BP14">
        <f t="array" ref="BP14">INDEX(Transcriptome!AM$2:AM$28,MATCH(1,(Transcriptome!$A$2:$A$28=$B14)*(Transcriptome!$C$2:$C$28=$E14),0))</f>
        <v>0.47060026111851089</v>
      </c>
      <c r="BQ14">
        <f t="array" ref="BQ14">INDEX(Transcriptome!AN$2:AN$28,MATCH(1,(Transcriptome!$A$2:$A$28=$B14)*(Transcriptome!$C$2:$C$28=$E14),0))</f>
        <v>0.81490174493105216</v>
      </c>
      <c r="BR14">
        <f t="array" ref="BR14">INDEX(Transcriptome!AO$2:AO$28,MATCH(1,(Transcriptome!$A$2:$A$28=$B14)*(Transcriptome!$C$2:$C$28=$E14),0))</f>
        <v>0.84347055456963871</v>
      </c>
      <c r="BS14">
        <f t="array" ref="BS14">INDEX(Transcriptome!AP$2:AP$28,MATCH(1,(Transcriptome!$A$2:$A$28=$B14)*(Transcriptome!$C$2:$C$28=$E14),0))</f>
        <v>0.94157586893589507</v>
      </c>
      <c r="BT14">
        <f t="array" ref="BT14">INDEX(Transcriptome!AQ$2:AQ$28,MATCH(1,(Transcriptome!$A$2:$A$28=$B14)*(Transcriptome!$C$2:$C$28=$E14),0))</f>
        <v>1.3941488677060316</v>
      </c>
      <c r="BU14">
        <f t="array" ref="BU14">INDEX(Transcriptome!AR$2:AR$28,MATCH(1,(Transcriptome!$A$2:$A$28=$B14)*(Transcriptome!$C$2:$C$28=$E14),0))</f>
        <v>0.65105549195123524</v>
      </c>
      <c r="BV14">
        <f t="array" ref="BV14">INDEX(Transcriptome!AS$2:AS$28,MATCH(1,(Transcriptome!$A$2:$A$28=$B14)*(Transcriptome!$C$2:$C$28=$E14),0))</f>
        <v>0.74865097843497297</v>
      </c>
      <c r="BW14">
        <f t="array" ref="BW14">INDEX(Transcriptome!AT$2:AT$28,MATCH(1,(Transcriptome!$A$2:$A$28=$B14)*(Transcriptome!$C$2:$C$28=$E14),0))</f>
        <v>0.57519358588280989</v>
      </c>
      <c r="BX14">
        <f t="array" ref="BX14">INDEX(Transcriptome!AU$2:AU$28,MATCH(1,(Transcriptome!$A$2:$A$28=$B14)*(Transcriptome!$C$2:$C$28=$E14),0))</f>
        <v>1.3600560267668953</v>
      </c>
      <c r="BY14">
        <f t="array" ref="BY14">INDEX(Transcriptome!AV$2:AV$28,MATCH(1,(Transcriptome!$A$2:$A$28=$B14)*(Transcriptome!$C$2:$C$28=$E14),0))</f>
        <v>0.63065751621815513</v>
      </c>
      <c r="BZ14">
        <f t="array" ref="BZ14">INDEX(Transcriptome!AW$2:AW$28,MATCH(1,(Transcriptome!$A$2:$A$28=$B14)*(Transcriptome!$C$2:$C$28=$E14),0))</f>
        <v>0.78705678834872239</v>
      </c>
      <c r="CA14">
        <f t="array" ref="CA14">INDEX(Transcriptome!AX$2:AX$28,MATCH(1,(Transcriptome!$A$2:$A$28=$B14)*(Transcriptome!$C$2:$C$28=$E14),0))</f>
        <v>0.69164128672141545</v>
      </c>
      <c r="CB14">
        <f t="array" ref="CB14">INDEX(Transcriptome!AY$2:AY$28,MATCH(1,(Transcriptome!$A$2:$A$28=$B14)*(Transcriptome!$C$2:$C$28=$E14),0))</f>
        <v>0.99089806815963755</v>
      </c>
      <c r="CC14">
        <f t="array" ref="CC14">INDEX(Transcriptome!AZ$2:AZ$28,MATCH(1,(Transcriptome!$A$2:$A$28=$B14)*(Transcriptome!$C$2:$C$28=$E14),0))</f>
        <v>0.45310281880283021</v>
      </c>
      <c r="CD14">
        <f t="array" ref="CD14">INDEX(Transcriptome!BA$2:BA$28,MATCH(1,(Transcriptome!$A$2:$A$28=$B14)*(Transcriptome!$C$2:$C$28=$E14),0))</f>
        <v>1.5134916222954586</v>
      </c>
      <c r="CE14">
        <f t="array" ref="CE14">INDEX(Transcriptome!BB$2:BB$28,MATCH(1,(Transcriptome!$A$2:$A$28=$B14)*(Transcriptome!$C$2:$C$28=$E14),0))</f>
        <v>1.6719635554907832</v>
      </c>
      <c r="CF14">
        <f t="array" ref="CF14">INDEX(Transcriptome!BC$2:BC$28,MATCH(1,(Transcriptome!$A$2:$A$28=$B14)*(Transcriptome!$C$2:$C$28=$E14),0))</f>
        <v>0</v>
      </c>
      <c r="CG14">
        <f t="array" ref="CG14">INDEX(Transcriptome!BD$2:BD$28,MATCH(1,(Transcriptome!$A$2:$A$28=$B14)*(Transcriptome!$C$2:$C$28=$E14),0))</f>
        <v>0.84632079917465686</v>
      </c>
      <c r="CH14">
        <f t="array" ref="CH14">INDEX(Transcriptome!BE$2:BE$28,MATCH(1,(Transcriptome!$A$2:$A$28=$B14)*(Transcriptome!$C$2:$C$28=$E14),0))</f>
        <v>1.1369151512835534</v>
      </c>
      <c r="CI14">
        <f t="array" ref="CI14">INDEX(Transcriptome!BF$2:BF$28,MATCH(1,(Transcriptome!$A$2:$A$28=$B14)*(Transcriptome!$C$2:$C$28=$E14),0))</f>
        <v>1.3015890144199895</v>
      </c>
      <c r="CJ14">
        <f t="array" ref="CJ14">INDEX(Transcriptome!BG$2:BG$28,MATCH(1,(Transcriptome!$A$2:$A$28=$B14)*(Transcriptome!$C$2:$C$28=$E14),0))</f>
        <v>2.4160142270418321</v>
      </c>
      <c r="CK14">
        <f t="array" ref="CK14">INDEX(Transcriptome!BH$2:BH$28,MATCH(1,(Transcriptome!$A$2:$A$28=$B14)*(Transcriptome!$C$2:$C$28=$E14),0))</f>
        <v>0.46651821183567305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3.9186431888175837</v>
      </c>
      <c r="CO14">
        <f t="array" ref="CO14">INDEX(Transcriptome!BL$2:BL$28,MATCH(1,(Transcriptome!$A$2:$A$28=$B14)*(Transcriptome!$C$2:$C$28=$E14),0))</f>
        <v>2.1859284806526076</v>
      </c>
      <c r="CP14">
        <f t="array" ref="CP14">INDEX(Transcriptome!BM$2:BM$28,MATCH(1,(Transcriptome!$A$2:$A$28=$B14)*(Transcriptome!$C$2:$C$28=$E14),0))</f>
        <v>0.82694614561725766</v>
      </c>
      <c r="CQ14">
        <f t="array" ref="CQ14">INDEX(Transcriptome!BN$2:BN$28,MATCH(1,(Transcriptome!$A$2:$A$28=$B14)*(Transcriptome!$C$2:$C$28=$E14),0))</f>
        <v>34.197717837116315</v>
      </c>
      <c r="CR14">
        <f t="array" ref="CR14">INDEX(Transcriptome!BO$2:BO$28,MATCH(1,(Transcriptome!$A$2:$A$28=$B14)*(Transcriptome!$C$2:$C$28=$E14),0))</f>
        <v>0.93477609147985707</v>
      </c>
      <c r="CS14">
        <f t="array" ref="CS14">INDEX(Transcriptome!BP$2:BP$28,MATCH(1,(Transcriptome!$A$2:$A$28=$B14)*(Transcriptome!$C$2:$C$28=$E14),0))</f>
        <v>0.46651821183567305</v>
      </c>
      <c r="CT14">
        <f t="array" ref="CT14">INDEX(Transcriptome!BQ$2:BQ$28,MATCH(1,(Transcriptome!$A$2:$A$28=$B14)*(Transcriptome!$C$2:$C$28=$E14),0))</f>
        <v>1</v>
      </c>
      <c r="CU14">
        <f t="array" ref="CU14">INDEX(Transcriptome!BR$2:BR$28,MATCH(1,(Transcriptome!$A$2:$A$28=$B14)*(Transcriptome!$C$2:$C$28=$E14),0))</f>
        <v>1.6237859342813912</v>
      </c>
    </row>
    <row r="15" spans="1:99">
      <c r="A15">
        <f>'Measured Data'!A20</f>
        <v>13</v>
      </c>
      <c r="B15" t="s">
        <v>586</v>
      </c>
      <c r="C15" s="324" t="s">
        <v>588</v>
      </c>
      <c r="D15">
        <v>1</v>
      </c>
      <c r="E15" t="s">
        <v>715</v>
      </c>
      <c r="F15" s="477">
        <f>'Growth Regression'!R15</f>
        <v>13.364930555555475</v>
      </c>
      <c r="G15" s="477">
        <f>'Growth Regression'!S15</f>
        <v>320.75833333333139</v>
      </c>
      <c r="H15">
        <f>AVERAGE('TL input - regression'!L15:L16)</f>
        <v>13.849108550367458</v>
      </c>
      <c r="I15">
        <f>AVERAGE('TL input - regression'!M15:M16)</f>
        <v>2.6642984014209592</v>
      </c>
      <c r="J15">
        <f>AVERAGE('TL input - regression'!N15:N16)</f>
        <v>2.0825</v>
      </c>
      <c r="K15">
        <f>AVERAGE('TL input - regression'!O15:O16)</f>
        <v>7.8499999999999986E-2</v>
      </c>
      <c r="L15">
        <f>AVERAGE('TL input - regression'!P15:P16)</f>
        <v>1.9830000000000001</v>
      </c>
      <c r="M15">
        <f>'Growth Regression'!P15</f>
        <v>4.5085852626342119E-4</v>
      </c>
      <c r="N15">
        <f>M15/'Growth Regression'!$O$24</f>
        <v>1.6754136069872302E-2</v>
      </c>
      <c r="O15">
        <f>'Post Process Calc.'!C33</f>
        <v>4.2853546043707065E-2</v>
      </c>
      <c r="P15">
        <f>'Post Process Calc.'!D33</f>
        <v>3.5479888088676306E-3</v>
      </c>
      <c r="Q15">
        <f>'Post Process Calc.'!E33</f>
        <v>8.3067224887842001E-5</v>
      </c>
      <c r="R15">
        <f>'Post Process Calc.'!F33</f>
        <v>-4.2828443381643846E-3</v>
      </c>
      <c r="S15">
        <f>'Post Process Calc.'!G33</f>
        <v>-1.7537725006085017E-4</v>
      </c>
      <c r="T15">
        <f t="shared" si="5"/>
        <v>8.2793354026035007E-2</v>
      </c>
      <c r="U15">
        <f t="shared" si="6"/>
        <v>26.783466277316915</v>
      </c>
      <c r="V15">
        <f t="shared" si="7"/>
        <v>2.217493005542269</v>
      </c>
      <c r="W15">
        <f t="shared" si="8"/>
        <v>5.1917015554901247E-2</v>
      </c>
      <c r="X15">
        <f t="shared" si="9"/>
        <v>-2.6767777113527402</v>
      </c>
      <c r="Y15">
        <f t="shared" si="10"/>
        <v>-0.10961078128803135</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defaultColWidth="9.28515625" defaultRowHeight="12.75"/>
  <cols>
    <col min="1" max="1" width="21.28515625" style="1" customWidth="1"/>
    <col min="2" max="2" width="16" style="1" customWidth="1"/>
    <col min="3" max="3" width="3.28515625" style="1" customWidth="1"/>
    <col min="4" max="7" width="9.42578125" style="1" customWidth="1"/>
    <col min="8" max="8" width="7.28515625" style="1" customWidth="1"/>
    <col min="9" max="10" width="9.42578125" style="1" customWidth="1"/>
    <col min="11" max="11" width="4.85546875" style="1" customWidth="1"/>
    <col min="12" max="18" width="9.42578125" style="1" customWidth="1"/>
    <col min="19" max="19" width="3" style="1" customWidth="1"/>
    <col min="20" max="22" width="9.42578125" style="1" customWidth="1"/>
    <col min="23" max="23" width="7.28515625" style="1" customWidth="1"/>
    <col min="24" max="26" width="9.42578125" style="1" customWidth="1"/>
    <col min="27" max="27" width="5.140625" style="1" customWidth="1"/>
    <col min="28" max="37" width="9.42578125" style="1" customWidth="1"/>
    <col min="38" max="38" width="7.28515625" style="1" customWidth="1"/>
    <col min="39" max="42" width="9.42578125" style="1" customWidth="1"/>
    <col min="43" max="45" width="9.42578125" style="3" customWidth="1"/>
    <col min="46" max="16384" width="9.28515625" style="3"/>
  </cols>
  <sheetData>
    <row r="1" spans="1:2" ht="5.25" customHeight="1" thickBot="1"/>
    <row r="2" spans="1:2" ht="32.25" customHeight="1">
      <c r="A2" s="154"/>
      <c r="B2" s="128" t="s">
        <v>324</v>
      </c>
    </row>
    <row r="3" spans="1:2" ht="16.5" thickBot="1">
      <c r="A3" s="124"/>
      <c r="B3" s="129" t="s">
        <v>384</v>
      </c>
    </row>
    <row r="4" spans="1:2" ht="15.75">
      <c r="A4" s="155" t="s">
        <v>297</v>
      </c>
      <c r="B4" s="130">
        <v>4</v>
      </c>
    </row>
    <row r="5" spans="1:2" ht="15.75">
      <c r="A5" s="156" t="s">
        <v>298</v>
      </c>
      <c r="B5" s="131">
        <v>4</v>
      </c>
    </row>
    <row r="6" spans="1:2" ht="16.5"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4" sqref="C14"/>
    </sheetView>
  </sheetViews>
  <sheetFormatPr defaultColWidth="9.140625" defaultRowHeight="15"/>
  <cols>
    <col min="1" max="1" width="47.5703125" style="47" customWidth="1"/>
    <col min="2" max="2" width="16.42578125" style="47" customWidth="1"/>
    <col min="3" max="3" width="7" style="47" customWidth="1"/>
    <col min="4" max="30" width="7.5703125" style="47" customWidth="1"/>
    <col min="31" max="16384" width="9.140625" style="47"/>
  </cols>
  <sheetData>
    <row r="1" spans="1:3" ht="31.5" customHeight="1">
      <c r="A1" s="123"/>
      <c r="B1" s="128" t="s">
        <v>324</v>
      </c>
      <c r="C1" s="46"/>
    </row>
    <row r="2" spans="1:3" ht="16.5" thickBot="1">
      <c r="A2" s="124" t="s">
        <v>296</v>
      </c>
      <c r="B2" s="129" t="s">
        <v>384</v>
      </c>
      <c r="C2" s="46"/>
    </row>
    <row r="3" spans="1:3" ht="15.75">
      <c r="A3" s="125" t="s">
        <v>301</v>
      </c>
      <c r="B3" s="133">
        <v>3</v>
      </c>
    </row>
    <row r="4" spans="1:3" ht="15.75">
      <c r="A4" s="126" t="s">
        <v>302</v>
      </c>
      <c r="B4" s="134">
        <v>3</v>
      </c>
    </row>
    <row r="5" spans="1:3" ht="15.75">
      <c r="A5" s="126" t="s">
        <v>303</v>
      </c>
      <c r="B5" s="134">
        <v>3</v>
      </c>
    </row>
    <row r="6" spans="1:3" ht="15.75">
      <c r="A6" s="126" t="s">
        <v>304</v>
      </c>
      <c r="B6" s="134">
        <v>3</v>
      </c>
    </row>
    <row r="7" spans="1:3" ht="15.75">
      <c r="A7" s="126" t="s">
        <v>305</v>
      </c>
      <c r="B7" s="134">
        <v>4</v>
      </c>
    </row>
    <row r="8" spans="1:3" ht="15.75">
      <c r="A8" s="126" t="s">
        <v>306</v>
      </c>
      <c r="B8" s="134">
        <v>4</v>
      </c>
    </row>
    <row r="9" spans="1:3" ht="15.75">
      <c r="A9" s="126" t="s">
        <v>307</v>
      </c>
      <c r="B9" s="134">
        <v>3</v>
      </c>
    </row>
    <row r="10" spans="1:3" ht="15.75">
      <c r="A10" s="126" t="s">
        <v>356</v>
      </c>
      <c r="B10" s="134">
        <v>3</v>
      </c>
    </row>
    <row r="11" spans="1:3" ht="15.75">
      <c r="A11" s="126" t="s">
        <v>331</v>
      </c>
      <c r="B11" s="134">
        <v>3</v>
      </c>
    </row>
    <row r="12" spans="1:3" ht="15.75">
      <c r="A12" s="126" t="s">
        <v>308</v>
      </c>
      <c r="B12" s="134">
        <v>4</v>
      </c>
    </row>
    <row r="13" spans="1:3" ht="15.75">
      <c r="A13" s="126" t="s">
        <v>309</v>
      </c>
      <c r="B13" s="134">
        <v>6</v>
      </c>
    </row>
    <row r="14" spans="1:3" ht="15.75">
      <c r="A14" s="126" t="s">
        <v>711</v>
      </c>
      <c r="B14" s="134">
        <v>3</v>
      </c>
    </row>
    <row r="15" spans="1:3" ht="15.75">
      <c r="A15" s="126" t="s">
        <v>310</v>
      </c>
      <c r="B15" s="134">
        <v>3</v>
      </c>
    </row>
    <row r="16" spans="1:3" ht="15.75">
      <c r="A16" s="126" t="s">
        <v>311</v>
      </c>
      <c r="B16" s="134">
        <v>3</v>
      </c>
    </row>
    <row r="17" spans="1:29" ht="15.75">
      <c r="A17" s="126" t="s">
        <v>312</v>
      </c>
      <c r="B17" s="134">
        <v>3</v>
      </c>
    </row>
    <row r="18" spans="1:29" ht="15.75">
      <c r="A18" s="126" t="s">
        <v>336</v>
      </c>
      <c r="B18" s="134">
        <v>5</v>
      </c>
    </row>
    <row r="19" spans="1:29" ht="15.75">
      <c r="A19" s="126" t="s">
        <v>313</v>
      </c>
      <c r="B19" s="134">
        <v>3</v>
      </c>
    </row>
    <row r="20" spans="1:29" ht="15.75">
      <c r="A20" s="126" t="s">
        <v>314</v>
      </c>
      <c r="B20" s="134">
        <v>3</v>
      </c>
    </row>
    <row r="21" spans="1:29" ht="15.75">
      <c r="A21" s="126" t="s">
        <v>315</v>
      </c>
      <c r="B21" s="134">
        <v>3</v>
      </c>
    </row>
    <row r="22" spans="1:29" ht="15.75">
      <c r="A22" s="126" t="s">
        <v>316</v>
      </c>
      <c r="B22" s="134">
        <v>3</v>
      </c>
    </row>
    <row r="23" spans="1:29" ht="15.75">
      <c r="A23" s="126" t="s">
        <v>317</v>
      </c>
      <c r="B23" s="134">
        <v>3</v>
      </c>
    </row>
    <row r="24" spans="1:29" ht="15.75">
      <c r="A24" s="126" t="s">
        <v>318</v>
      </c>
      <c r="B24" s="134">
        <v>3</v>
      </c>
    </row>
    <row r="25" spans="1:29" ht="15.75">
      <c r="A25" s="126" t="s">
        <v>337</v>
      </c>
      <c r="B25" s="134">
        <v>3</v>
      </c>
    </row>
    <row r="26" spans="1:29" ht="15.75">
      <c r="A26" s="126" t="s">
        <v>319</v>
      </c>
      <c r="B26" s="134">
        <v>3</v>
      </c>
    </row>
    <row r="27" spans="1:29" ht="15.75">
      <c r="A27" s="126" t="s">
        <v>357</v>
      </c>
      <c r="B27" s="134">
        <v>3</v>
      </c>
    </row>
    <row r="28" spans="1:29" ht="15.75">
      <c r="A28" s="126" t="s">
        <v>320</v>
      </c>
      <c r="B28" s="134">
        <v>3</v>
      </c>
    </row>
    <row r="29" spans="1:29" ht="15.75">
      <c r="A29" s="126" t="s">
        <v>321</v>
      </c>
      <c r="B29" s="134">
        <v>3</v>
      </c>
    </row>
    <row r="30" spans="1:29" ht="15.75">
      <c r="A30" s="126" t="s">
        <v>358</v>
      </c>
      <c r="B30" s="134">
        <v>3</v>
      </c>
      <c r="AC30" s="47">
        <v>5</v>
      </c>
    </row>
    <row r="31" spans="1:29" ht="15.75">
      <c r="A31" s="126" t="s">
        <v>322</v>
      </c>
      <c r="B31" s="134">
        <v>3</v>
      </c>
    </row>
    <row r="32" spans="1:29" ht="16.5"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defaultColWidth="9.28515625" defaultRowHeight="12.75"/>
  <cols>
    <col min="1" max="14" width="9" style="3" customWidth="1"/>
    <col min="15" max="15" width="4.85546875" style="3" customWidth="1"/>
    <col min="16" max="30" width="9" style="3" customWidth="1"/>
    <col min="31" max="37" width="9.42578125" style="3" customWidth="1"/>
    <col min="38" max="38" width="7.28515625" style="3" customWidth="1"/>
    <col min="39" max="45" width="9.42578125" style="3" customWidth="1"/>
    <col min="46" max="16384" width="9.28515625" style="3"/>
  </cols>
  <sheetData>
    <row r="91" ht="4.9000000000000004"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defaultColWidth="9.140625" defaultRowHeight="12.75"/>
  <cols>
    <col min="1" max="1" width="10.42578125" style="40" customWidth="1"/>
    <col min="2" max="2" width="7.85546875" style="40" customWidth="1"/>
    <col min="3" max="3" width="9.140625" style="40"/>
    <col min="4" max="4" width="11.28515625" style="40" customWidth="1"/>
    <col min="5" max="5" width="5.42578125" style="40" customWidth="1"/>
    <col min="6" max="6" width="10.140625" style="40" customWidth="1"/>
    <col min="7" max="8" width="9.140625" style="40"/>
    <col min="9" max="9" width="4.7109375" style="40" customWidth="1"/>
    <col min="10" max="10" width="11" style="40" customWidth="1"/>
    <col min="11" max="11" width="11.7109375" style="40" customWidth="1"/>
    <col min="12" max="14" width="9.140625" style="40"/>
    <col min="15" max="15" width="5.28515625" style="40" customWidth="1"/>
    <col min="16" max="16" width="12" style="40" customWidth="1"/>
    <col min="17" max="17" width="11.42578125" style="40" customWidth="1"/>
    <col min="18" max="18" width="9.140625" style="40"/>
    <col min="19" max="19" width="3" style="40" customWidth="1"/>
    <col min="20" max="21" width="9.140625" style="40"/>
    <col min="22" max="23" width="9.140625" style="40" customWidth="1"/>
    <col min="24" max="24" width="10.7109375" style="40" customWidth="1"/>
    <col min="25" max="16384" width="9.140625" style="40"/>
  </cols>
  <sheetData>
    <row r="1" spans="1:18" ht="13.5" thickBot="1"/>
    <row r="2" spans="1:18" s="66" customFormat="1" ht="24.95" customHeight="1">
      <c r="A2" s="158"/>
      <c r="B2" s="159"/>
      <c r="C2" s="557" t="s">
        <v>422</v>
      </c>
      <c r="D2" s="557"/>
      <c r="E2" s="561" t="s">
        <v>414</v>
      </c>
      <c r="F2" s="561"/>
      <c r="G2" s="561"/>
      <c r="H2" s="561"/>
      <c r="I2" s="160"/>
      <c r="J2" s="559" t="s">
        <v>419</v>
      </c>
      <c r="K2" s="563" t="s">
        <v>425</v>
      </c>
      <c r="L2" s="561"/>
      <c r="M2" s="561"/>
      <c r="N2" s="561"/>
      <c r="O2" s="561" t="s">
        <v>426</v>
      </c>
      <c r="P2" s="561"/>
      <c r="Q2" s="561"/>
      <c r="R2" s="564"/>
    </row>
    <row r="3" spans="1:18" ht="13.5" thickBot="1">
      <c r="A3" s="161"/>
      <c r="B3" s="162"/>
      <c r="C3" s="569" t="s">
        <v>272</v>
      </c>
      <c r="D3" s="569"/>
      <c r="E3" s="163"/>
      <c r="F3" s="163" t="s">
        <v>326</v>
      </c>
      <c r="G3" s="163"/>
      <c r="H3" s="163" t="s">
        <v>434</v>
      </c>
      <c r="I3" s="164"/>
      <c r="J3" s="560"/>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-3.102843397568417E-2</v>
      </c>
      <c r="G4" s="173"/>
      <c r="H4" s="174">
        <f>RSQ('In Process Calc.'!$U$3:$U$193,'In Process Calc.'!$T$3:$T$193)</f>
        <v>0.34079782379221213</v>
      </c>
      <c r="I4" s="174"/>
      <c r="J4" s="203" t="s">
        <v>421</v>
      </c>
      <c r="K4" s="175" t="s">
        <v>273</v>
      </c>
      <c r="L4" s="174" cm="1">
        <f t="array" ref="L4">IF($J4="Yes", SLOPE(IF('In Process Calc.'!$A$3:$A$193&lt;=NS, 'In Process Calc.'!$U$3:$U$193),IF('In Process Calc.'!$A$3:$A$193&lt;=NS,'In Process Calc.'!$T$3:$T$193)), $F4)</f>
        <v>-9.4599101523291859E-2</v>
      </c>
      <c r="M4" s="173"/>
      <c r="N4" s="174" cm="1">
        <f t="array" ref="N4">IF($J4="Yes", RSQ(IF('In Process Calc.'!$A$3:$A$193&lt;=NS, 'In Process Calc.'!$U$3:$U$193),IF('In Process Calc.'!$A$3:$A$193&lt;=NS,'In Process Calc.'!$T$3:$T$193)), $H4)</f>
        <v>0.85621675800388541</v>
      </c>
      <c r="O4" s="173"/>
      <c r="P4" s="174" cm="1">
        <f t="array" ref="P4">IF($J4="Yes", SLOPE(IF('In Process Calc.'!$A$3:$A$193&gt;NS, 'In Process Calc.'!$U$3:$U$193),IF('In Process Calc.'!$A$3:$A$193&gt;NS,'In Process Calc.'!$T$3:$T$193)), $F4)</f>
        <v>3.3790270491718559E-2</v>
      </c>
      <c r="Q4" s="173"/>
      <c r="R4" s="176" cm="1">
        <f t="array" ref="R4">IF($J4="Yes", RSQ(IF('In Process Calc.'!$A$3:$A$193&gt;NS, 'In Process Calc.'!$U$3:$U$193),IF('In Process Calc.'!$A$3:$A$193&gt;NS,'In Process Calc.'!$T$3:$T$193)), $H4)</f>
        <v>0.96337078987900926</v>
      </c>
    </row>
    <row r="5" spans="1:18" ht="13.5" thickBot="1">
      <c r="A5" s="161" t="s">
        <v>416</v>
      </c>
      <c r="B5" s="162"/>
      <c r="C5" s="172"/>
      <c r="D5" s="173"/>
      <c r="E5" s="172"/>
      <c r="F5" s="173">
        <f>SLOPE('In Process Calc.'!$Z$3:$Z$193,'In Process Calc.'!$T$3:$T$193)</f>
        <v>-8.5754809761811063E-3</v>
      </c>
      <c r="G5" s="173"/>
      <c r="H5" s="174">
        <f>RSQ('In Process Calc.'!$Z$3:$Z$193,'In Process Calc.'!$T$3:$T$193)</f>
        <v>3.3507238528244577E-3</v>
      </c>
      <c r="I5" s="174"/>
      <c r="J5" s="204" t="s">
        <v>421</v>
      </c>
      <c r="K5" s="177" t="s">
        <v>416</v>
      </c>
      <c r="L5" s="178" cm="1">
        <f t="array" ref="L5">IF($J5="Yes", SLOPE(IF('In Process Calc.'!$A$3:$A$193&lt;=NS, 'In Process Calc.'!$Z$3:$Z$193),IF('In Process Calc.'!$A$3:$A$193&lt;=NS,'In Process Calc.'!$T$3:$T$193)), $F5)</f>
        <v>0.23789127889794265</v>
      </c>
      <c r="M5" s="179"/>
      <c r="N5" s="178" cm="1">
        <f t="array" ref="N5">IF($J5="Yes", RSQ(IF('In Process Calc.'!$A$3:$A$193&lt;=NS, 'In Process Calc.'!$Z$3:$Z$193),IF('In Process Calc.'!$A$3:$A$193&lt;=NS,'In Process Calc.'!$T$3:$T$193)), $H5)</f>
        <v>0.60101615019710519</v>
      </c>
      <c r="O5" s="179"/>
      <c r="P5" s="178" cm="1">
        <f t="array" ref="P5">IF($J5="Yes", SLOPE(IF('In Process Calc.'!$A$3:$A$193&gt;NS, 'In Process Calc.'!$Z$3:$Z$193),IF('In Process Calc.'!$A$3:$A$193&gt;NS,'In Process Calc.'!$T$3:$T$193)), $F5)</f>
        <v>-7.5569919583864401E-2</v>
      </c>
      <c r="Q5" s="179"/>
      <c r="R5" s="180" cm="1">
        <f t="array" ref="R5">IF($J5="Yes", RSQ(IF('In Process Calc.'!$A$3:$A$193&gt;NS, 'In Process Calc.'!$Z$3:$Z$193),IF('In Process Calc.'!$A$3:$A$193&gt;NS,'In Process Calc.'!$T$3:$T$193)), $H5)</f>
        <v>0.26010714324952577</v>
      </c>
    </row>
    <row r="6" spans="1:18" ht="13.5" thickBot="1">
      <c r="A6" s="181"/>
      <c r="B6" s="182"/>
      <c r="C6" s="182"/>
      <c r="D6" s="182"/>
      <c r="E6" s="182"/>
      <c r="F6" s="182"/>
      <c r="G6" s="182"/>
      <c r="H6" s="182"/>
      <c r="I6" s="182"/>
      <c r="J6" s="183"/>
      <c r="K6" s="182"/>
      <c r="L6" s="182"/>
      <c r="M6" s="182"/>
      <c r="N6" s="182"/>
      <c r="O6" s="182"/>
      <c r="P6" s="182"/>
      <c r="Q6" s="182"/>
      <c r="R6" s="184"/>
    </row>
    <row r="7" spans="1:18" s="66" customFormat="1" ht="25.15" customHeight="1">
      <c r="A7" s="185"/>
      <c r="B7" s="186"/>
      <c r="C7" s="558" t="s">
        <v>423</v>
      </c>
      <c r="D7" s="558"/>
      <c r="E7" s="562" t="s">
        <v>415</v>
      </c>
      <c r="F7" s="562"/>
      <c r="G7" s="562"/>
      <c r="H7" s="562"/>
      <c r="I7" s="187"/>
      <c r="J7" s="567" t="s">
        <v>419</v>
      </c>
      <c r="K7" s="565" t="s">
        <v>435</v>
      </c>
      <c r="L7" s="562"/>
      <c r="M7" s="562"/>
      <c r="N7" s="562"/>
      <c r="O7" s="562" t="s">
        <v>436</v>
      </c>
      <c r="P7" s="562"/>
      <c r="Q7" s="562"/>
      <c r="R7" s="566"/>
    </row>
    <row r="8" spans="1:18" ht="13.5" thickBot="1">
      <c r="A8" s="188"/>
      <c r="B8" s="189"/>
      <c r="C8" s="570" t="s">
        <v>272</v>
      </c>
      <c r="D8" s="570"/>
      <c r="E8" s="190"/>
      <c r="F8" s="190" t="s">
        <v>326</v>
      </c>
      <c r="G8" s="190"/>
      <c r="H8" s="190" t="s">
        <v>289</v>
      </c>
      <c r="I8" s="191"/>
      <c r="J8" s="568"/>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1.8686070883071497</v>
      </c>
      <c r="G9" s="173"/>
      <c r="H9" s="174">
        <f>RSQ('In Process Calc.'!$O$3:$O$193,'In Process Calc.'!$U$3:$U$193)</f>
        <v>0.85870037817368083</v>
      </c>
      <c r="I9" s="197"/>
      <c r="J9" s="203" t="s">
        <v>421</v>
      </c>
      <c r="K9" s="198" t="s">
        <v>274</v>
      </c>
      <c r="L9" s="174" cm="1">
        <f t="array" ref="L9">IF($J9="Yes", SLOPE(IF('In Process Calc.'!$A$3:$A$193&lt;=NS, 'In Process Calc.'!$O$3:$O$193),IF('In Process Calc.'!$A$3:$A$193&lt;=NS,'In Process Calc.'!$U$3:$U$193)), $F9)</f>
        <v>1.6525337131672382</v>
      </c>
      <c r="M9" s="173"/>
      <c r="N9" s="174" cm="1">
        <f t="array" ref="N9">IF($J9="Yes", RSQ(IF('In Process Calc.'!$A$3:$A$193&lt;=NS, 'In Process Calc.'!$O$3:$O$193),IF('In Process Calc.'!$A$3:$A$193&lt;=NS,'In Process Calc.'!$U$3:$U$193)), $H9)</f>
        <v>0.91269588214966624</v>
      </c>
      <c r="O9" s="173"/>
      <c r="P9" s="174" cm="1">
        <f t="array" ref="P9">IF($J9="Yes", SLOPE(IF('In Process Calc.'!$A$3:$A$193&gt;NS, 'In Process Calc.'!$O$3:$O$193),IF('In Process Calc.'!$A$3:$A$193&gt;NS,'In Process Calc.'!$U$3:$U$193)), $F9)</f>
        <v>3.8896753048437875</v>
      </c>
      <c r="Q9" s="173"/>
      <c r="R9" s="176" cm="1">
        <f t="array" ref="R9">IF($J9="Yes", RSQ(IF('In Process Calc.'!$A$3:$A$193&gt;NS, 'In Process Calc.'!$O$3:$O$193),IF('In Process Calc.'!$A$3:$A$193&gt;NS,'In Process Calc.'!$U$3:$U$193)), $H9)</f>
        <v>0.76585342713110294</v>
      </c>
    </row>
    <row r="10" spans="1:18">
      <c r="A10" s="195" t="s">
        <v>275</v>
      </c>
      <c r="B10" s="196"/>
      <c r="C10" s="172"/>
      <c r="D10" s="174">
        <v>0.23333333333333334</v>
      </c>
      <c r="E10" s="173"/>
      <c r="F10" s="174">
        <f>SLOPE('In Process Calc.'!$P$3:$P$193,'In Process Calc.'!$U$3:$U$193)</f>
        <v>0.1934842952460426</v>
      </c>
      <c r="G10" s="173"/>
      <c r="H10" s="174">
        <f>RSQ('In Process Calc.'!$P$3:$P$193,'In Process Calc.'!$U$3:$U$193)</f>
        <v>0.15111038512961195</v>
      </c>
      <c r="I10" s="197"/>
      <c r="J10" s="203" t="s">
        <v>421</v>
      </c>
      <c r="K10" s="199" t="s">
        <v>275</v>
      </c>
      <c r="L10" s="174" cm="1">
        <f t="array" ref="L10">IF($J10="Yes", SLOPE(IF('In Process Calc.'!$A$3:$A$193&lt;=NS,'In Process Calc.'!$P$3:$P$193),IF('In Process Calc.'!$A$3:$A$193&lt;=NS,'In Process Calc.'!$U$3:$U$193)),$F10)</f>
        <v>0.23579844753686588</v>
      </c>
      <c r="M10" s="173"/>
      <c r="N10" s="174" cm="1">
        <f t="array" ref="N10">IF($J10="Yes", RSQ(IF('In Process Calc.'!$A$3:$A$193&lt;=NS,'In Process Calc.'!$P$3:$P$193),IF('In Process Calc.'!$A$3:$A$193&lt;=NS,'In Process Calc.'!$U$3:$U$193)),$H10)</f>
        <v>0.59611415010454871</v>
      </c>
      <c r="O10" s="197"/>
      <c r="P10" s="174" cm="1">
        <f t="array" ref="P10">IF($J10="Yes", SLOPE(IF('In Process Calc.'!$A$3:$A$193&gt;NS, 'In Process Calc.'!$P$3:$P$193),IF('In Process Calc.'!$A$3:$A$193&gt;NS,'In Process Calc.'!$U$3:$U$193)), $F10)</f>
        <v>0.4815295752575024</v>
      </c>
      <c r="Q10" s="173"/>
      <c r="R10" s="176" cm="1">
        <f t="array" ref="R10">IF($J10="Yes", RSQ(IF('In Process Calc.'!$A$3:$A$193&gt;NS, 'In Process Calc.'!$P$3:$P$193),IF('In Process Calc.'!$A$3:$A$193&gt;NS,'In Process Calc.'!$U$3:$U$193)), $H10)</f>
        <v>0.40927431900722455</v>
      </c>
    </row>
    <row r="11" spans="1:18">
      <c r="A11" s="195" t="s">
        <v>276</v>
      </c>
      <c r="B11" s="196"/>
      <c r="C11" s="172"/>
      <c r="D11" s="174">
        <v>1.6666666666666666E-2</v>
      </c>
      <c r="E11" s="173"/>
      <c r="F11" s="174">
        <f>SLOPE('In Process Calc.'!$Q$3:$Q$193,'In Process Calc.'!$U$3:$U$193)</f>
        <v>-1.6093013205058895</v>
      </c>
      <c r="G11" s="173"/>
      <c r="H11" s="174">
        <f>RSQ('In Process Calc.'!$Q$3:$Q$193,'In Process Calc.'!$U$3:$U$193)</f>
        <v>0.5236044903398509</v>
      </c>
      <c r="I11" s="197"/>
      <c r="J11" s="203" t="s">
        <v>421</v>
      </c>
      <c r="K11" s="199" t="s">
        <v>276</v>
      </c>
      <c r="L11" s="174" cm="1">
        <f t="array" ref="L11">IF($J11="Yes", SLOPE(IF('In Process Calc.'!$A$3:$A$193&lt;=NS,'In Process Calc.'!$Q$3:$Q$193),IF('In Process Calc.'!$A$3:$A$193&lt;=NS,'In Process Calc.'!$U$3:$U$193)),$F11)</f>
        <v>-1.3246110272134539</v>
      </c>
      <c r="M11" s="173"/>
      <c r="N11" s="174" cm="1">
        <f t="array" ref="N11">IF($J11="Yes", RSQ(IF('In Process Calc.'!$A$3:$A$193&lt;=NS,'In Process Calc.'!$Q$3:$Q$193),IF('In Process Calc.'!$A$3:$A$193&lt;=NS,'In Process Calc.'!$U$3:$U$193)),$H11)</f>
        <v>0.74129234205795302</v>
      </c>
      <c r="O11" s="197"/>
      <c r="P11" s="174" cm="1">
        <f t="array" ref="P11">IF($J11="Yes", SLOPE(IF('In Process Calc.'!$A$3:$A$193&gt;NS, 'In Process Calc.'!$Q$3:$Q$193),IF('In Process Calc.'!$A$3:$A$193&gt;NS,'In Process Calc.'!$U$3:$U$193)), $F11)</f>
        <v>-4.031673777376233E-2</v>
      </c>
      <c r="Q11" s="173"/>
      <c r="R11" s="176" cm="1">
        <f t="array" ref="R11">IF($J11="Yes", RSQ(IF('In Process Calc.'!$A$3:$A$193&gt;NS, 'In Process Calc.'!$Q$3:$Q$193),IF('In Process Calc.'!$A$3:$A$193&gt;NS,'In Process Calc.'!$U$3:$U$193)), $H11)</f>
        <v>0.99800961878681671</v>
      </c>
    </row>
    <row r="12" spans="1:18">
      <c r="A12" s="195" t="s">
        <v>277</v>
      </c>
      <c r="B12" s="196"/>
      <c r="C12" s="172"/>
      <c r="D12" s="174">
        <v>1.6666666666666666E-2</v>
      </c>
      <c r="E12" s="173"/>
      <c r="F12" s="174">
        <f>SLOPE('In Process Calc.'!$R$3:$R$193,'In Process Calc.'!$U$3:$U$193)</f>
        <v>0.39646559359661754</v>
      </c>
      <c r="G12" s="173"/>
      <c r="H12" s="174">
        <f>RSQ('In Process Calc.'!$R$3:$R$193,'In Process Calc.'!$U$3:$U$193)</f>
        <v>0.63863350770364646</v>
      </c>
      <c r="I12" s="197"/>
      <c r="J12" s="203" t="s">
        <v>421</v>
      </c>
      <c r="K12" s="199" t="s">
        <v>277</v>
      </c>
      <c r="L12" s="174" cm="1">
        <f t="array" ref="L12">IF($J12="Yes", SLOPE(IF('In Process Calc.'!$A$3:$A$193&lt;=NS,'In Process Calc.'!$R$3:$R$193),IF('In Process Calc.'!$A$3:$A$193&lt;=NS,'In Process Calc.'!$U$3:$U$193)),$F12)</f>
        <v>0.36824956239930079</v>
      </c>
      <c r="M12" s="173"/>
      <c r="N12" s="174" cm="1">
        <f t="array" ref="N12">IF($J12="Yes", RSQ(IF('In Process Calc.'!$A$3:$A$193&lt;=NS,'In Process Calc.'!$R$3:$R$193),IF('In Process Calc.'!$A$3:$A$193&lt;=NS,'In Process Calc.'!$U$3:$U$193)),$H12)</f>
        <v>0.8846003481244582</v>
      </c>
      <c r="O12" s="197"/>
      <c r="P12" s="174" cm="1">
        <f t="array" ref="P12">IF($J12="Yes", SLOPE(IF('In Process Calc.'!$A$3:$A$193&gt;NS, 'In Process Calc.'!$R$3:$R$193),IF('In Process Calc.'!$A$3:$A$193&gt;NS,'In Process Calc.'!$U$3:$U$193)), $F12)</f>
        <v>-0.94325615656535255</v>
      </c>
      <c r="Q12" s="173"/>
      <c r="R12" s="176" cm="1">
        <f t="array" ref="R12">IF($J12="Yes", RSQ(IF('In Process Calc.'!$A$3:$A$193&gt;NS, 'In Process Calc.'!$R$3:$R$193),IF('In Process Calc.'!$A$3:$A$193&gt;NS,'In Process Calc.'!$U$3:$U$193)), $H12)</f>
        <v>0.2862580120721423</v>
      </c>
    </row>
    <row r="13" spans="1:18">
      <c r="A13" s="195" t="s">
        <v>370</v>
      </c>
      <c r="B13" s="196"/>
      <c r="C13" s="172"/>
      <c r="D13" s="173"/>
      <c r="E13" s="173"/>
      <c r="F13" s="174">
        <f>SLOPE('In Process Calc.'!$S$3:$S$193,'In Process Calc.'!$U$3:$U$193)</f>
        <v>-0.25078876921448789</v>
      </c>
      <c r="G13" s="173"/>
      <c r="H13" s="174">
        <f>RSQ('In Process Calc.'!$S$3:$S$193,'In Process Calc.'!$U$3:$U$193)</f>
        <v>0.74051649457679403</v>
      </c>
      <c r="I13" s="197"/>
      <c r="J13" s="203" t="s">
        <v>421</v>
      </c>
      <c r="K13" s="199" t="s">
        <v>370</v>
      </c>
      <c r="L13" s="174" cm="1">
        <f t="array" ref="L13">IF($J13="Yes", SLOPE(IF('In Process Calc.'!$A$3:$A$193&lt;=NS,'In Process Calc.'!$S$3:$S$193),IF('In Process Calc.'!$A$3:$A$193&lt;=NS,'In Process Calc.'!$U$3:$U$193)),$F13)</f>
        <v>-0.23150199303312369</v>
      </c>
      <c r="M13" s="173"/>
      <c r="N13" s="174" cm="1">
        <f t="array" ref="N13">IF($J13="Yes", RSQ(IF('In Process Calc.'!$A$3:$A$193&lt;=NS,'In Process Calc.'!$S$3:$S$193),IF('In Process Calc.'!$A$3:$A$193&lt;=NS,'In Process Calc.'!$U$3:$U$193)),$H13)</f>
        <v>0.92310100662572281</v>
      </c>
      <c r="O13" s="197"/>
      <c r="P13" s="174" cm="1">
        <f t="array" ref="P13">IF($J13="Yes", SLOPE(IF('In Process Calc.'!$A$3:$A$193&gt;NS, 'In Process Calc.'!$S$3:$S$193),IF('In Process Calc.'!$A$3:$A$193&gt;NS,'In Process Calc.'!$U$3:$U$193)), $F13)</f>
        <v>-0.56905471957581766</v>
      </c>
      <c r="Q13" s="173"/>
      <c r="R13" s="176" cm="1">
        <f t="array" ref="R13">IF($J13="Yes", RSQ(IF('In Process Calc.'!$A$3:$A$193&gt;NS, 'In Process Calc.'!$S$3:$S$193),IF('In Process Calc.'!$A$3:$A$193&gt;NS,'In Process Calc.'!$U$3:$U$193)), $H13)</f>
        <v>0.97436990127127976</v>
      </c>
    </row>
    <row r="14" spans="1:18">
      <c r="A14" s="195" t="s">
        <v>278</v>
      </c>
      <c r="B14" s="196"/>
      <c r="C14" s="172"/>
      <c r="D14" s="174">
        <v>2.2202486678507993</v>
      </c>
      <c r="E14" s="173"/>
      <c r="F14" s="174">
        <f>SLOPE('In Process Calc.'!$V$3:$V$193,'In Process Calc.'!$U$3:$U$193)</f>
        <v>2.4568355807382156</v>
      </c>
      <c r="G14" s="173"/>
      <c r="H14" s="174">
        <f>RSQ('In Process Calc.'!$V$3:$V$193,'In Process Calc.'!$U$3:$U$193)</f>
        <v>0.41429032461590337</v>
      </c>
      <c r="I14" s="197"/>
      <c r="J14" s="203" t="s">
        <v>421</v>
      </c>
      <c r="K14" s="199" t="s">
        <v>278</v>
      </c>
      <c r="L14" s="174" cm="1">
        <f t="array" ref="L14">IF($J14="Yes", SLOPE(IF('In Process Calc.'!$A$3:$A$193&lt;=NS,'In Process Calc.'!$V$3:$V$193),IF('In Process Calc.'!$A$3:$A$193&lt;=NS,'In Process Calc.'!$U$3:$U$193)),$F14)</f>
        <v>3.1295265437029771</v>
      </c>
      <c r="M14" s="173"/>
      <c r="N14" s="174" cm="1">
        <f t="array" ref="N14">IF($J14="Yes", RSQ(IF('In Process Calc.'!$A$3:$A$193&lt;=NS,'In Process Calc.'!$V$3:$V$193),IF('In Process Calc.'!$A$3:$A$193&lt;=NS,'In Process Calc.'!$U$3:$U$193)),$H14)</f>
        <v>0.81958978580877972</v>
      </c>
      <c r="O14" s="197"/>
      <c r="P14" s="174" cm="1">
        <f t="array" ref="P14">IF($J14="Yes", SLOPE(IF('In Process Calc.'!$A$3:$A$193&gt;NS, 'In Process Calc.'!$V$3:$V$193),IF('In Process Calc.'!$A$3:$A$193&gt;NS,'In Process Calc.'!$U$3:$U$193)), $F14)</f>
        <v>1.8899409225730648</v>
      </c>
      <c r="Q14" s="173"/>
      <c r="R14" s="176" cm="1">
        <f t="array" ref="R14">IF($J14="Yes", RSQ(IF('In Process Calc.'!$A$3:$A$193&gt;NS, 'In Process Calc.'!$V$3:$V$193),IF('In Process Calc.'!$A$3:$A$193&gt;NS,'In Process Calc.'!$U$3:$U$193)), $H14)</f>
        <v>0.34343937242128436</v>
      </c>
    </row>
    <row r="15" spans="1:18">
      <c r="A15" s="195" t="s">
        <v>159</v>
      </c>
      <c r="B15" s="196"/>
      <c r="C15" s="172"/>
      <c r="D15" s="174">
        <v>8.3333333333333329E-2</v>
      </c>
      <c r="E15" s="173"/>
      <c r="F15" s="174">
        <f>SLOPE('In Process Calc.'!$W$3:$W$193,'In Process Calc.'!$U$3:$U$193)</f>
        <v>0</v>
      </c>
      <c r="G15" s="173"/>
      <c r="H15" s="174" t="e">
        <f>RSQ('In Process Calc.'!$W$3:$W$193,'In Process Calc.'!$U$3:$U$193)</f>
        <v>#DIV/0!</v>
      </c>
      <c r="I15" s="197"/>
      <c r="J15" s="203" t="s">
        <v>421</v>
      </c>
      <c r="K15" s="199" t="s">
        <v>159</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279</v>
      </c>
      <c r="B16" s="196"/>
      <c r="C16" s="172"/>
      <c r="D16" s="174">
        <v>5.1000000000000004E-2</v>
      </c>
      <c r="E16" s="173"/>
      <c r="F16" s="174">
        <f>SLOPE('In Process Calc.'!$X$3:$X$193,'In Process Calc.'!$U$3:$U$193)</f>
        <v>0</v>
      </c>
      <c r="G16" s="173"/>
      <c r="H16" s="174" t="e">
        <f>RSQ('In Process Calc.'!$X$3:$X$193,'In Process Calc.'!$U$3:$U$193)</f>
        <v>#DIV/0!</v>
      </c>
      <c r="I16" s="197"/>
      <c r="J16" s="203" t="s">
        <v>421</v>
      </c>
      <c r="K16" s="199" t="s">
        <v>279</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280</v>
      </c>
      <c r="B17" s="196"/>
      <c r="C17" s="172"/>
      <c r="D17" s="174">
        <v>0.13833333333333334</v>
      </c>
      <c r="E17" s="173"/>
      <c r="F17" s="174">
        <f>SLOPE('In Process Calc.'!$Y$3:$Y$193,'In Process Calc.'!$U$3:$U$193)</f>
        <v>0</v>
      </c>
      <c r="G17" s="173"/>
      <c r="H17" s="174" t="e">
        <f>RSQ('In Process Calc.'!$Y$3:$Y$193,'In Process Calc.'!$U$3:$U$193)</f>
        <v>#DIV/0!</v>
      </c>
      <c r="I17" s="197"/>
      <c r="J17" s="203" t="s">
        <v>421</v>
      </c>
      <c r="K17" s="199" t="s">
        <v>280</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281</v>
      </c>
      <c r="B18" s="196"/>
      <c r="C18" s="172"/>
      <c r="D18" s="174">
        <v>0.15</v>
      </c>
      <c r="E18" s="173"/>
      <c r="F18" s="174">
        <f>SLOPE('In Process Calc.'!$AA$3:$AA$193,'In Process Calc.'!$U$3:$U$193)</f>
        <v>0</v>
      </c>
      <c r="G18" s="173"/>
      <c r="H18" s="174" t="e">
        <f>RSQ('In Process Calc.'!$AA$3:$AA$193,'In Process Calc.'!$U$3:$U$193)</f>
        <v>#DIV/0!</v>
      </c>
      <c r="I18" s="197"/>
      <c r="J18" s="203" t="s">
        <v>421</v>
      </c>
      <c r="K18" s="199" t="s">
        <v>281</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282</v>
      </c>
      <c r="B19" s="196"/>
      <c r="C19" s="172"/>
      <c r="D19" s="174">
        <v>0.16666666666666666</v>
      </c>
      <c r="E19" s="173"/>
      <c r="F19" s="174">
        <f>SLOPE('In Process Calc.'!$AB$3:$AB$193,'In Process Calc.'!$U$3:$U$193)</f>
        <v>0</v>
      </c>
      <c r="G19" s="173"/>
      <c r="H19" s="174" t="e">
        <f>RSQ('In Process Calc.'!$AB$3:$AB$193,'In Process Calc.'!$U$3:$U$193)</f>
        <v>#DIV/0!</v>
      </c>
      <c r="I19" s="197"/>
      <c r="J19" s="203" t="s">
        <v>421</v>
      </c>
      <c r="K19" s="199" t="s">
        <v>282</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283</v>
      </c>
      <c r="B20" s="196"/>
      <c r="C20" s="172"/>
      <c r="D20" s="174">
        <v>3.833333333333333E-2</v>
      </c>
      <c r="E20" s="173"/>
      <c r="F20" s="174">
        <f>SLOPE('In Process Calc.'!$AC$3:$AC$193,'In Process Calc.'!$U$3:$U$193)</f>
        <v>0</v>
      </c>
      <c r="G20" s="173"/>
      <c r="H20" s="174" t="e">
        <f>RSQ('In Process Calc.'!$AC$3:$AC$193,'In Process Calc.'!$U$3:$U$193)</f>
        <v>#DIV/0!</v>
      </c>
      <c r="I20" s="197"/>
      <c r="J20" s="203" t="s">
        <v>421</v>
      </c>
      <c r="K20" s="199" t="s">
        <v>283</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86</v>
      </c>
      <c r="B21" s="196"/>
      <c r="C21" s="172"/>
      <c r="D21" s="174"/>
      <c r="E21" s="173"/>
      <c r="F21" s="174">
        <f>SLOPE('In Process Calc.'!$AD$3:$AD$193,'In Process Calc.'!$U$3:$U$193)</f>
        <v>0</v>
      </c>
      <c r="G21" s="173"/>
      <c r="H21" s="174" t="e">
        <f>RSQ('In Process Calc.'!$AD$3:$AD$193,'In Process Calc.'!$U$3:$U$193)</f>
        <v>#DIV/0!</v>
      </c>
      <c r="I21" s="197"/>
      <c r="J21" s="203" t="s">
        <v>421</v>
      </c>
      <c r="K21" s="199" t="s">
        <v>86</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284</v>
      </c>
      <c r="B22" s="196"/>
      <c r="C22" s="172"/>
      <c r="D22" s="174">
        <v>7.166666666666667E-2</v>
      </c>
      <c r="E22" s="173"/>
      <c r="F22" s="174">
        <f>SLOPE('In Process Calc.'!$AE$3:$AE$193,'In Process Calc.'!$U$3:$U$193)</f>
        <v>0</v>
      </c>
      <c r="G22" s="173"/>
      <c r="H22" s="174" t="e">
        <f>RSQ('In Process Calc.'!$AE$3:$AE$193,'In Process Calc.'!$U$3:$U$193)</f>
        <v>#DIV/0!</v>
      </c>
      <c r="I22" s="197"/>
      <c r="J22" s="203" t="s">
        <v>421</v>
      </c>
      <c r="K22" s="199" t="s">
        <v>284</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6" customHeight="1">
      <c r="A23" s="195" t="s">
        <v>371</v>
      </c>
      <c r="B23" s="196"/>
      <c r="C23" s="172"/>
      <c r="D23" s="173"/>
      <c r="E23" s="173"/>
      <c r="F23" s="174">
        <f>SLOPE('In Process Calc.'!$AF$3:$AF$193,'In Process Calc.'!$U$3:$U$193)</f>
        <v>0</v>
      </c>
      <c r="G23" s="173"/>
      <c r="H23" s="174" t="e">
        <f>RSQ('In Process Calc.'!$AF$3:$AF$193,'In Process Calc.'!$U$3:$U$193)</f>
        <v>#DIV/0!</v>
      </c>
      <c r="I23" s="197"/>
      <c r="J23" s="203" t="s">
        <v>421</v>
      </c>
      <c r="K23" s="199" t="s">
        <v>371</v>
      </c>
      <c r="L23" s="174" cm="1">
        <f t="array" ref="L23">IF($J23="Yes", SLOPE(IF('In Process Calc.'!$A$3:$A$193&lt;=NS,'In Process Calc.'!$P$3:$P$193),IF('In Process Calc.'!$A$3:$A$193&lt;=NS,'In Process Calc.'!$U$3:$U$193)),$F23)</f>
        <v>0.23579844753686588</v>
      </c>
      <c r="M23" s="173"/>
      <c r="N23" s="174" cm="1">
        <f t="array" ref="N23">IF($J23="Yes", RSQ(IF('In Process Calc.'!$A$3:$A$193&lt;=NS,'In Process Calc.'!$P$3:$P$193),IF('In Process Calc.'!$A$3:$A$193&lt;=NS,'In Process Calc.'!$U$3:$U$193)),$H23)</f>
        <v>0.59611415010454871</v>
      </c>
      <c r="O23" s="197"/>
      <c r="P23" s="174" cm="1">
        <f t="array" ref="P23">IF($J23="Yes", SLOPE(IF('In Process Calc.'!$A$3:$A$193&gt;NS, 'In Process Calc.'!$P$3:$P$193),IF('In Process Calc.'!$A$3:$A$193&gt;NS,'In Process Calc.'!$U$3:$U$193)), $F23)</f>
        <v>0.4815295752575024</v>
      </c>
      <c r="Q23" s="173"/>
      <c r="R23" s="176" cm="1">
        <f t="array" ref="R23">IF($J23="Yes", RSQ(IF('In Process Calc.'!$A$3:$A$193&gt;NS, 'In Process Calc.'!$P$3:$P$193),IF('In Process Calc.'!$A$3:$A$193&gt;NS,'In Process Calc.'!$U$3:$U$193)), $H23)</f>
        <v>0.40927431900722455</v>
      </c>
    </row>
    <row r="24" spans="1:24">
      <c r="A24" s="195" t="s">
        <v>285</v>
      </c>
      <c r="B24" s="196"/>
      <c r="C24" s="172"/>
      <c r="D24" s="174">
        <v>8.3333333333333329E-2</v>
      </c>
      <c r="E24" s="173"/>
      <c r="F24" s="174">
        <f>SLOPE('In Process Calc.'!$AG$3:$AG$193,'In Process Calc.'!$U$3:$U$193)</f>
        <v>0</v>
      </c>
      <c r="G24" s="173"/>
      <c r="H24" s="174" t="e">
        <f>RSQ('In Process Calc.'!$AG$3:$AG$193,'In Process Calc.'!$U$3:$U$193)</f>
        <v>#DIV/0!</v>
      </c>
      <c r="I24" s="197"/>
      <c r="J24" s="203" t="s">
        <v>421</v>
      </c>
      <c r="K24" s="199" t="s">
        <v>285</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3.5" thickBot="1">
      <c r="A25" s="195" t="s">
        <v>286</v>
      </c>
      <c r="B25" s="196"/>
      <c r="C25" s="172"/>
      <c r="D25" s="174">
        <v>0.15</v>
      </c>
      <c r="E25" s="173"/>
      <c r="F25" s="174">
        <f>SLOPE('In Process Calc.'!$AH$3:$AH$193,'In Process Calc.'!$U$3:$U$193)</f>
        <v>0</v>
      </c>
      <c r="G25" s="173"/>
      <c r="H25" s="174" t="e">
        <f>RSQ('In Process Calc.'!$AH$3:$AH$193,'In Process Calc.'!$U$3:$U$193)</f>
        <v>#DIV/0!</v>
      </c>
      <c r="I25" s="197"/>
      <c r="J25" s="203" t="s">
        <v>420</v>
      </c>
      <c r="K25" s="199" t="s">
        <v>286</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372</v>
      </c>
      <c r="B26" s="196"/>
      <c r="C26" s="172"/>
      <c r="D26" s="173"/>
      <c r="E26" s="173"/>
      <c r="F26" s="174">
        <f>SLOPE('In Process Calc.'!$AI$3:$AI$193,'In Process Calc.'!$U$3:$U$193)</f>
        <v>0</v>
      </c>
      <c r="G26" s="173"/>
      <c r="H26" s="174" t="e">
        <f>RSQ('In Process Calc.'!$AI$3:$AI$193,'In Process Calc.'!$U$3:$U$193)</f>
        <v>#DIV/0!</v>
      </c>
      <c r="I26" s="197"/>
      <c r="J26" s="203" t="s">
        <v>421</v>
      </c>
      <c r="K26" s="199" t="s">
        <v>372</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4" t="s">
        <v>424</v>
      </c>
      <c r="U26" s="545"/>
      <c r="V26" s="546"/>
      <c r="W26" s="553" t="s">
        <v>417</v>
      </c>
      <c r="X26" s="555" t="s">
        <v>418</v>
      </c>
    </row>
    <row r="27" spans="1:24">
      <c r="A27" s="195" t="s">
        <v>287</v>
      </c>
      <c r="B27" s="196"/>
      <c r="C27" s="172"/>
      <c r="D27" s="174">
        <v>7.0000000000000007E-2</v>
      </c>
      <c r="E27" s="173"/>
      <c r="F27" s="174">
        <f>SLOPE('In Process Calc.'!$AJ$3:$AJ$193,'In Process Calc.'!$U$3:$U$193)</f>
        <v>0</v>
      </c>
      <c r="G27" s="173"/>
      <c r="H27" s="174" t="e">
        <f>RSQ('In Process Calc.'!$AJ$3:$AJ$193,'In Process Calc.'!$U$3:$U$193)</f>
        <v>#DIV/0!</v>
      </c>
      <c r="I27" s="197"/>
      <c r="J27" s="203" t="s">
        <v>420</v>
      </c>
      <c r="K27" s="199" t="s">
        <v>287</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7"/>
      <c r="U27" s="548"/>
      <c r="V27" s="549"/>
      <c r="W27" s="554"/>
      <c r="X27" s="556"/>
    </row>
    <row r="28" spans="1:24" ht="15.75" thickBot="1">
      <c r="A28" s="188" t="s">
        <v>288</v>
      </c>
      <c r="B28" s="189"/>
      <c r="C28" s="200"/>
      <c r="D28" s="178">
        <v>0.15</v>
      </c>
      <c r="E28" s="179"/>
      <c r="F28" s="178">
        <f>SLOPE('In Process Calc.'!$AK$3:$AK$193,'In Process Calc.'!$U$3:$U$193)</f>
        <v>0</v>
      </c>
      <c r="G28" s="179"/>
      <c r="H28" s="178" t="e">
        <f>RSQ('In Process Calc.'!$AK$3:$AK$193,'In Process Calc.'!$U$3:$U$193)</f>
        <v>#DIV/0!</v>
      </c>
      <c r="I28" s="201"/>
      <c r="J28" s="204" t="s">
        <v>421</v>
      </c>
      <c r="K28" s="202" t="s">
        <v>288</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0"/>
      <c r="U28" s="551"/>
      <c r="V28" s="552"/>
      <c r="W28" s="71">
        <v>11</v>
      </c>
      <c r="X28" s="70">
        <f>VLOOKUP(W28,'In Process Calc.'!A3:B93,2)</f>
        <v>10.90625</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P37" sqref="P37"/>
    </sheetView>
  </sheetViews>
  <sheetFormatPr defaultColWidth="8.7109375" defaultRowHeight="12.75"/>
  <cols>
    <col min="1" max="1" width="16.7109375" style="8" customWidth="1"/>
    <col min="2" max="3" width="18.85546875" style="58" customWidth="1"/>
    <col min="4" max="4" width="6.42578125" style="58" customWidth="1"/>
    <col min="5" max="5" width="18.28515625" style="58" customWidth="1"/>
    <col min="6" max="6" width="9.28515625" style="9" customWidth="1"/>
    <col min="7" max="16" width="9.28515625" style="1" customWidth="1"/>
    <col min="17" max="18" width="9.7109375" style="1" bestFit="1" customWidth="1"/>
    <col min="19" max="21" width="9.42578125" style="1" customWidth="1"/>
    <col min="22" max="16384" width="8.710937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1"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21.116666666697711</v>
      </c>
      <c r="G3" s="146">
        <f>'In Process Calc.'!$C5</f>
        <v>48.383333333360497</v>
      </c>
      <c r="H3" s="146">
        <f>'In Process Calc.'!$C6</f>
        <v>70.883333333360497</v>
      </c>
      <c r="I3" s="146">
        <f>'In Process Calc.'!$C7</f>
        <v>95.366666666697711</v>
      </c>
      <c r="J3" s="146">
        <f>'In Process Calc.'!$C8</f>
        <v>115.80000000010477</v>
      </c>
      <c r="K3" s="146">
        <f>'In Process Calc.'!$C9</f>
        <v>141</v>
      </c>
      <c r="L3" s="146">
        <f>'In Process Calc.'!$C10</f>
        <v>164.65000000008149</v>
      </c>
      <c r="M3" s="146">
        <f>'In Process Calc.'!$C11</f>
        <v>189.03333333326736</v>
      </c>
      <c r="N3" s="146">
        <f>'In Process Calc.'!$C12</f>
        <v>212.98333333327901</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0.10372627004177613</v>
      </c>
      <c r="C4" s="234" cm="1">
        <f t="array" ref="C4">-SLOPE(IF('In Process Calc.'!$A$3:$A$93&gt;NS, 'In Process Calc.'!$N$3:$N$93),IF('In Process Calc.'!$A$3:$A$93&gt;NS, 'In Process Calc.'!$T$3:$T$93))*C$15/22.53</f>
        <v>5.0749735519001457E-2</v>
      </c>
      <c r="D4" s="148"/>
      <c r="E4" s="149" t="s">
        <v>401</v>
      </c>
      <c r="F4" s="236">
        <f>'Post Process Calc.'!$E4/22.53</f>
        <v>-0.9829350208038562</v>
      </c>
      <c r="G4" s="236">
        <f>'Post Process Calc.'!$E5/22.53</f>
        <v>-0.1302718507350458</v>
      </c>
      <c r="H4" s="236">
        <f>'Post Process Calc.'!$E6/22.53</f>
        <v>0.1042436275172724</v>
      </c>
      <c r="I4" s="236">
        <f>'Post Process Calc.'!$E7/22.53</f>
        <v>0.14818446266380073</v>
      </c>
      <c r="J4" s="236">
        <f>'Post Process Calc.'!$E8/22.53</f>
        <v>0.14666213569319167</v>
      </c>
      <c r="K4" s="236">
        <f>'Post Process Calc.'!$E9/22.53</f>
        <v>0.11828123737424368</v>
      </c>
      <c r="L4" s="236">
        <f>'Post Process Calc.'!$E10/22.53</f>
        <v>9.6167512807193573E-2</v>
      </c>
      <c r="M4" s="236">
        <f>'Post Process Calc.'!$E11/22.53</f>
        <v>8.738196072208454E-2</v>
      </c>
      <c r="N4" s="236">
        <f>'Post Process Calc.'!$E12/22.53</f>
        <v>7.6405376240202993E-2</v>
      </c>
      <c r="O4" s="236">
        <f>'Post Process Calc.'!$E13/22.53</f>
        <v>7.7425809112521754E-2</v>
      </c>
      <c r="P4" s="236">
        <f>'Post Process Calc.'!$E14/22.53</f>
        <v>8.3549283441183342E-2</v>
      </c>
      <c r="Q4" s="236">
        <f>'Post Process Calc.'!$E15/22.53</f>
        <v>8.3470485564021882E-2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9.1251455841074719E-3</v>
      </c>
      <c r="C7" s="234">
        <f>'Stoichiometric Ratios'!$P9*'Specific Rate Tables'!$C$16</f>
        <v>-4.840693897292336E-3</v>
      </c>
      <c r="D7" s="151"/>
      <c r="E7" s="149" t="s">
        <v>67</v>
      </c>
      <c r="F7" s="237">
        <f>-'Post Process Calc.'!$F4</f>
        <v>-0.12311153332894548</v>
      </c>
      <c r="G7" s="237">
        <f>-'Post Process Calc.'!$F5</f>
        <v>1.8627651942847499E-3</v>
      </c>
      <c r="H7" s="237">
        <f>-'Post Process Calc.'!$F6</f>
        <v>2.6847456486202868E-2</v>
      </c>
      <c r="I7" s="237">
        <f>-'Post Process Calc.'!$F7</f>
        <v>2.5371969818058906E-2</v>
      </c>
      <c r="J7" s="237">
        <f>-'Post Process Calc.'!$F8</f>
        <v>2.1232211798841643E-2</v>
      </c>
      <c r="K7" s="237">
        <f>-'Post Process Calc.'!$F9</f>
        <v>1.4166458768869149E-2</v>
      </c>
      <c r="L7" s="237">
        <f>-'Post Process Calc.'!$F10</f>
        <v>9.371292437248541E-3</v>
      </c>
      <c r="M7" s="237">
        <f>-'Post Process Calc.'!$F11</f>
        <v>6.3950624334056429E-3</v>
      </c>
      <c r="N7" s="237">
        <f>-'Post Process Calc.'!$F12</f>
        <v>3.5741959131809398E-3</v>
      </c>
      <c r="O7" s="237">
        <f>-'Post Process Calc.'!$F13</f>
        <v>1.1652344887837774E-3</v>
      </c>
      <c r="P7" s="237">
        <f>-'Post Process Calc.'!$F14</f>
        <v>-1.6700172612508818E-3</v>
      </c>
      <c r="Q7" s="237">
        <f>-'Post Process Calc.'!$F15</f>
        <v>-5.0523542007478387E-3</v>
      </c>
      <c r="R7" s="7"/>
      <c r="S7" s="7"/>
      <c r="T7" s="7"/>
      <c r="U7" s="7"/>
      <c r="V7" s="7"/>
    </row>
    <row r="8" spans="1:22">
      <c r="A8" s="150" t="s">
        <v>68</v>
      </c>
      <c r="B8" s="234">
        <f>'Stoichiometric Ratios'!$L10*'Specific Rate Tables'!$B$16</f>
        <v>1.30205825462798E-3</v>
      </c>
      <c r="C8" s="234">
        <f>'Stoichiometric Ratios'!$P10*'Specific Rate Tables'!$C$16</f>
        <v>-5.9926268740531153E-4</v>
      </c>
      <c r="D8" s="151"/>
      <c r="E8" s="149" t="s">
        <v>68</v>
      </c>
      <c r="F8" s="237">
        <f>-'Post Process Calc.'!$G4</f>
        <v>1.2174255144236338E-2</v>
      </c>
      <c r="G8" s="237">
        <f>-'Post Process Calc.'!$G5</f>
        <v>8.0912620435651898E-3</v>
      </c>
      <c r="H8" s="237">
        <f>-'Post Process Calc.'!$G6</f>
        <v>4.7538692755013543E-3</v>
      </c>
      <c r="I8" s="237">
        <f>-'Post Process Calc.'!$G7</f>
        <v>2.424094763239769E-3</v>
      </c>
      <c r="J8" s="237">
        <f>-'Post Process Calc.'!$G8</f>
        <v>1.4335126007701579E-3</v>
      </c>
      <c r="K8" s="237">
        <f>-'Post Process Calc.'!$G9</f>
        <v>6.2326187671923677E-4</v>
      </c>
      <c r="L8" s="237">
        <f>-'Post Process Calc.'!$G10</f>
        <v>2.1151789644756398E-4</v>
      </c>
      <c r="M8" s="237">
        <f>-'Post Process Calc.'!$G11</f>
        <v>-4.9628592869793582E-5</v>
      </c>
      <c r="N8" s="237">
        <f>-'Post Process Calc.'!$G12</f>
        <v>-2.4671264554532277E-4</v>
      </c>
      <c r="O8" s="237">
        <f>-'Post Process Calc.'!$G13</f>
        <v>-4.9388630130191562E-4</v>
      </c>
      <c r="P8" s="237">
        <f>-'Post Process Calc.'!$G14</f>
        <v>-8.0524652259067236E-4</v>
      </c>
      <c r="Q8" s="237">
        <f>-'Post Process Calc.'!$G15</f>
        <v>-1.1337540677204352E-3</v>
      </c>
      <c r="R8" s="7"/>
      <c r="S8" s="7"/>
      <c r="T8" s="7"/>
      <c r="U8" s="7"/>
      <c r="V8" s="7"/>
    </row>
    <row r="9" spans="1:22">
      <c r="A9" s="150" t="s">
        <v>69</v>
      </c>
      <c r="B9" s="234">
        <f>'Stoichiometric Ratios'!$L11*'Specific Rate Tables'!$B$16</f>
        <v>-7.3143854006285352E-3</v>
      </c>
      <c r="C9" s="234">
        <f>'Stoichiometric Ratios'!$P11*'Specific Rate Tables'!$C$16</f>
        <v>5.0174107400983829E-5</v>
      </c>
      <c r="D9" s="151"/>
      <c r="E9" s="149" t="s">
        <v>69</v>
      </c>
      <c r="F9" s="237">
        <f>-'Post Process Calc.'!$H4</f>
        <v>-1.5656502239925847E-3</v>
      </c>
      <c r="G9" s="237">
        <f>-'Post Process Calc.'!$H5</f>
        <v>5.4315354534614398E-3</v>
      </c>
      <c r="H9" s="237">
        <f>-'Post Process Calc.'!$H6</f>
        <v>1.062236925422217E-3</v>
      </c>
      <c r="I9" s="237">
        <f>-'Post Process Calc.'!$H7</f>
        <v>-2.5607790631026299E-3</v>
      </c>
      <c r="J9" s="237">
        <f>-'Post Process Calc.'!$H8</f>
        <v>-4.1171193990807891E-3</v>
      </c>
      <c r="K9" s="237">
        <f>-'Post Process Calc.'!$H9</f>
        <v>-4.3902918478960426E-3</v>
      </c>
      <c r="L9" s="237">
        <f>-'Post Process Calc.'!$H10</f>
        <v>-4.0691404102983098E-3</v>
      </c>
      <c r="M9" s="237">
        <f>-'Post Process Calc.'!$H11</f>
        <v>-3.8451364505081302E-3</v>
      </c>
      <c r="N9" s="237">
        <f>-'Post Process Calc.'!$H12</f>
        <v>-3.24532621318559E-3</v>
      </c>
      <c r="O9" s="237">
        <f>-'Post Process Calc.'!$H13</f>
        <v>-2.8595167128545669E-3</v>
      </c>
      <c r="P9" s="237">
        <f>-'Post Process Calc.'!$H14</f>
        <v>-2.0517262868168973E-3</v>
      </c>
      <c r="Q9" s="237">
        <f>-'Post Process Calc.'!$H15</f>
        <v>-4.2136038626518224E-4</v>
      </c>
      <c r="R9" s="7"/>
      <c r="S9" s="7"/>
      <c r="T9" s="7"/>
      <c r="U9" s="7"/>
      <c r="V9" s="7"/>
    </row>
    <row r="10" spans="1:22">
      <c r="A10" s="150" t="s">
        <v>396</v>
      </c>
      <c r="B10" s="234">
        <f>'Stoichiometric Ratios'!$L12*'Specific Rate Tables'!$B$16</f>
        <v>2.0334416426138107E-3</v>
      </c>
      <c r="C10" s="234">
        <f>'Stoichiometric Ratios'!$P12*'Specific Rate Tables'!$C$16</f>
        <v>1.1738805845781775E-3</v>
      </c>
      <c r="D10" s="151"/>
      <c r="E10" s="149" t="s">
        <v>70</v>
      </c>
      <c r="F10" s="237">
        <f>-'Post Process Calc.'!$I4</f>
        <v>-7.3584177928993827E-2</v>
      </c>
      <c r="G10" s="237">
        <f>-'Post Process Calc.'!$I5</f>
        <v>5.727602038660763E-3</v>
      </c>
      <c r="H10" s="237">
        <f>-'Post Process Calc.'!$I6</f>
        <v>1.5863210389686681E-2</v>
      </c>
      <c r="I10" s="237">
        <f>-'Post Process Calc.'!$I7</f>
        <v>1.1674545885499031E-2</v>
      </c>
      <c r="J10" s="237">
        <f>-'Post Process Calc.'!$I8</f>
        <v>7.9029694298539364E-3</v>
      </c>
      <c r="K10" s="237">
        <f>-'Post Process Calc.'!$I9</f>
        <v>3.754540503836726E-3</v>
      </c>
      <c r="L10" s="237">
        <f>-'Post Process Calc.'!$I10</f>
        <v>1.4613276959805123E-3</v>
      </c>
      <c r="M10" s="237">
        <f>-'Post Process Calc.'!$I11</f>
        <v>1.2007641469649164E-4</v>
      </c>
      <c r="N10" s="237">
        <f>-'Post Process Calc.'!$I12</f>
        <v>-6.9029737870183029E-4</v>
      </c>
      <c r="O10" s="237">
        <f>-'Post Process Calc.'!$I13</f>
        <v>-1.2484241344287452E-3</v>
      </c>
      <c r="P10" s="237">
        <f>-'Post Process Calc.'!$I14</f>
        <v>-1.5396615856187272E-3</v>
      </c>
      <c r="Q10" s="237">
        <f>-'Post Process Calc.'!$I15</f>
        <v>-1.2920330690850638E-3</v>
      </c>
      <c r="R10" s="7"/>
      <c r="S10" s="7"/>
      <c r="T10" s="7"/>
      <c r="U10" s="7"/>
      <c r="V10" s="7"/>
    </row>
    <row r="11" spans="1:22">
      <c r="A11" s="150" t="s">
        <v>71</v>
      </c>
      <c r="B11" s="234">
        <f>-SUMIF('In Process Calc.'!$A$4:$A$93,"&lt;="&amp;NS,'In Process Calc.'!$AS$4:$AS$93)/COUNTIF('In Process Calc.'!$A$4:$A$93,"&lt;="&amp;NS)*240/25.474</f>
        <v>-0.14687070168979208</v>
      </c>
      <c r="C11" s="234">
        <f>-SUMIF('In Process Calc.'!$A$4:$A$93,"&gt;"&amp;NS,'In Process Calc.'!$AS$4:$AS$93)/COUNTIF('In Process Calc.'!$A$4:$A$93,"&gt;"&amp;NS)*240/25.474</f>
        <v>3.8177497409956165E-3</v>
      </c>
      <c r="D11" s="151"/>
      <c r="E11" s="149" t="s">
        <v>71</v>
      </c>
      <c r="F11" s="236">
        <f>'Post Process Calc.'!$C4*240/25.474</f>
        <v>0.24719365787835879</v>
      </c>
      <c r="G11" s="236">
        <f>'Post Process Calc.'!$C5*240/25.474</f>
        <v>0.24067820277838095</v>
      </c>
      <c r="H11" s="236">
        <f>'Post Process Calc.'!$C6*240/25.474</f>
        <v>0.23093560882313363</v>
      </c>
      <c r="I11" s="236">
        <f>'Post Process Calc.'!$C7*240/25.474</f>
        <v>0.21321406525633346</v>
      </c>
      <c r="J11" s="236">
        <f>'Post Process Calc.'!$C8*240/25.474</f>
        <v>0.19095479953899749</v>
      </c>
      <c r="K11" s="236">
        <f>'Post Process Calc.'!$C9*240/25.474</f>
        <v>0.15406194694627368</v>
      </c>
      <c r="L11" s="236">
        <f>'Post Process Calc.'!$C10*240/25.474</f>
        <v>0.11419868144107187</v>
      </c>
      <c r="M11" s="236">
        <f>'Post Process Calc.'!$C11*240/25.474</f>
        <v>7.5645313489070859E-2</v>
      </c>
      <c r="N11" s="236">
        <f>'Post Process Calc.'!$C12*240/25.474</f>
        <v>4.626612576154273E-2</v>
      </c>
      <c r="O11" s="236">
        <f>'Post Process Calc.'!$C13*240/25.474</f>
        <v>2.5853494607684581E-2</v>
      </c>
      <c r="P11" s="236">
        <f>'Post Process Calc.'!$C14*240/25.474</f>
        <v>1.437110536908612E-2</v>
      </c>
      <c r="Q11" s="236">
        <f>'Post Process Calc.'!$C15*240/25.474</f>
        <v>7.9469634877913885E-3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-1.2783336113545909E-3</v>
      </c>
      <c r="C13" s="234">
        <f>'Stoichiometric Ratios'!$P13*'Specific Rate Tables'!$C$16</f>
        <v>7.0818757155533061E-4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-0.11260218115305266</v>
      </c>
      <c r="G15" s="237">
        <f>-'Post Process Calc.'!$K5</f>
        <v>-9.8048409829188124E-2</v>
      </c>
      <c r="H15" s="237">
        <f>-'Post Process Calc.'!$K6</f>
        <v>-8.6970115367674058E-2</v>
      </c>
      <c r="I15" s="237">
        <f>-'Post Process Calc.'!$K7</f>
        <v>-7.1657987708768633E-2</v>
      </c>
      <c r="J15" s="237">
        <f>-'Post Process Calc.'!$K8</f>
        <v>-6.5145019234047877E-2</v>
      </c>
      <c r="K15" s="237">
        <f>-'Post Process Calc.'!$K9</f>
        <v>-5.2549552900225019E-2</v>
      </c>
      <c r="L15" s="237">
        <f>-'Post Process Calc.'!$K10</f>
        <v>-4.4157204002955426E-2</v>
      </c>
      <c r="M15" s="237">
        <f>-'Post Process Calc.'!$K11</f>
        <v>-4.1801149985527301E-2</v>
      </c>
      <c r="N15" s="237">
        <f>-'Post Process Calc.'!$K12</f>
        <v>-3.791441420650872E-2</v>
      </c>
      <c r="O15" s="237">
        <f>-'Post Process Calc.'!$K13</f>
        <v>-3.9523240928229945E-2</v>
      </c>
      <c r="P15" s="237">
        <f>-'Post Process Calc.'!$K14</f>
        <v>-4.3179612487732548E-2</v>
      </c>
      <c r="Q15" s="237">
        <f>-'Post Process Calc.'!$K15</f>
        <v>-4.2855703956809273E-2</v>
      </c>
      <c r="R15" s="7"/>
      <c r="S15" s="7"/>
      <c r="T15" s="7"/>
      <c r="U15" s="7"/>
      <c r="V15" s="7"/>
    </row>
    <row r="16" spans="1:22">
      <c r="A16" s="150" t="s">
        <v>402</v>
      </c>
      <c r="B16" s="234">
        <f>'Stoichiometric Ratios'!L4*'Specific Rate Tables'!B15</f>
        <v>5.5219119049730375E-3</v>
      </c>
      <c r="C16" s="234">
        <f>'Stoichiometric Ratios'!P4*'Specific Rate Tables'!C15</f>
        <v>-1.2444981953286052E-3</v>
      </c>
      <c r="D16" s="153"/>
      <c r="E16" s="149" t="s">
        <v>76</v>
      </c>
      <c r="F16" s="237">
        <f>-'Post Process Calc.'!$L4</f>
        <v>6.5099020312279739E-3</v>
      </c>
      <c r="G16" s="237">
        <f>-'Post Process Calc.'!$L5</f>
        <v>-3.9564734369251127E-3</v>
      </c>
      <c r="H16" s="237">
        <f>-'Post Process Calc.'!$L6</f>
        <v>4.9202861570126263E-3</v>
      </c>
      <c r="I16" s="237">
        <f>-'Post Process Calc.'!$L7</f>
        <v>8.0897615215411237E-3</v>
      </c>
      <c r="J16" s="237">
        <f>-'Post Process Calc.'!$L8</f>
        <v>7.7113372375799466E-3</v>
      </c>
      <c r="K16" s="237">
        <f>-'Post Process Calc.'!$L9</f>
        <v>5.1343090476070278E-3</v>
      </c>
      <c r="L16" s="237">
        <f>-'Post Process Calc.'!$L10</f>
        <v>2.930538987917751E-3</v>
      </c>
      <c r="M16" s="237">
        <f>-'Post Process Calc.'!$L11</f>
        <v>1.3336973026113314E-3</v>
      </c>
      <c r="N16" s="237">
        <f>-'Post Process Calc.'!$L12</f>
        <v>8.7606768564061542E-5</v>
      </c>
      <c r="O16" s="237">
        <f>-'Post Process Calc.'!$L13</f>
        <v>-8.5858801908902797E-4</v>
      </c>
      <c r="P16" s="237">
        <f>-'Post Process Calc.'!$L14</f>
        <v>-1.4807072490990378E-3</v>
      </c>
      <c r="Q16" s="237">
        <f>-'Post Process Calc.'!$L15</f>
        <v>-1.5029904364080862E-3</v>
      </c>
      <c r="R16" s="7"/>
      <c r="S16" s="7"/>
      <c r="T16" s="7"/>
      <c r="U16" s="7"/>
      <c r="V16" s="7"/>
    </row>
    <row r="17" spans="1:22">
      <c r="A17" s="150" t="s">
        <v>395</v>
      </c>
      <c r="B17" s="234">
        <f>'Stoichiometric Ratios'!$L14*'Specific Rate Tables'!$B$16</f>
        <v>1.7280969878602594E-2</v>
      </c>
      <c r="C17" s="234">
        <f>'Stoichiometric Ratios'!$P14*'Specific Rate Tables'!$C$16</f>
        <v>-2.3520280674198583E-3</v>
      </c>
      <c r="D17" s="153"/>
      <c r="E17" s="149" t="s">
        <v>77</v>
      </c>
      <c r="F17" s="237">
        <f>-'Post Process Calc.'!$M4</f>
        <v>0.37380400607284509</v>
      </c>
      <c r="G17" s="237">
        <f>-'Post Process Calc.'!$M5</f>
        <v>0.1999058935372445</v>
      </c>
      <c r="H17" s="237">
        <f>-'Post Process Calc.'!$M6</f>
        <v>0.10324256382109183</v>
      </c>
      <c r="I17" s="237">
        <f>-'Post Process Calc.'!$M7</f>
        <v>4.7970594474886691E-2</v>
      </c>
      <c r="J17" s="237">
        <f>-'Post Process Calc.'!$M8</f>
        <v>2.7279713004821314E-2</v>
      </c>
      <c r="K17" s="237">
        <f>-'Post Process Calc.'!$M9</f>
        <v>1.1748072469746521E-2</v>
      </c>
      <c r="L17" s="237">
        <f>-'Post Process Calc.'!$M10</f>
        <v>4.4321360983902479E-3</v>
      </c>
      <c r="M17" s="237">
        <f>-'Post Process Calc.'!$M11</f>
        <v>1.9205675361797805E-4</v>
      </c>
      <c r="N17" s="237">
        <f>-'Post Process Calc.'!$M12</f>
        <v>-2.8163690574395223E-3</v>
      </c>
      <c r="O17" s="237">
        <f>-'Post Process Calc.'!$M13</f>
        <v>-6.0019955543282304E-3</v>
      </c>
      <c r="P17" s="237">
        <f>-'Post Process Calc.'!$M14</f>
        <v>-9.8733493066436705E-3</v>
      </c>
      <c r="Q17" s="237">
        <f>-'Post Process Calc.'!$M15</f>
        <v>-1.3538631146859709E-2</v>
      </c>
      <c r="R17" s="7"/>
      <c r="S17" s="7"/>
      <c r="T17" s="7"/>
      <c r="U17" s="7"/>
      <c r="V17" s="7"/>
    </row>
    <row r="18" spans="1:22">
      <c r="A18" s="150" t="s">
        <v>78</v>
      </c>
      <c r="B18" s="234">
        <f>'Stoichiometric Ratios'!$L15*'Specific Rate Tables'!$B$16</f>
        <v>0</v>
      </c>
      <c r="C18" s="234">
        <f>'Stoichiometric Ratios'!$P15*'Specific Rate Tables'!$C$16</f>
        <v>0</v>
      </c>
      <c r="D18" s="153"/>
      <c r="E18" s="149" t="s">
        <v>78</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79</v>
      </c>
      <c r="B19" s="234">
        <f>'Stoichiometric Ratios'!$L16*'Specific Rate Tables'!$B$16</f>
        <v>0</v>
      </c>
      <c r="C19" s="234">
        <f>'Stoichiometric Ratios'!$P16*'Specific Rate Tables'!$C$16</f>
        <v>0</v>
      </c>
      <c r="D19" s="153"/>
      <c r="E19" s="149" t="s">
        <v>79</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80</v>
      </c>
      <c r="B20" s="234">
        <f>'Stoichiometric Ratios'!$L17*'Specific Rate Tables'!$B$16</f>
        <v>0</v>
      </c>
      <c r="C20" s="234">
        <f>'Stoichiometric Ratios'!$P17*'Specific Rate Tables'!$C$16</f>
        <v>0</v>
      </c>
      <c r="D20" s="153"/>
      <c r="E20" s="149" t="s">
        <v>80</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81</v>
      </c>
      <c r="B21" s="234">
        <f>'Stoichiometric Ratios'!L5*'Specific Rate Tables'!B15</f>
        <v>-1.3886122213458625E-2</v>
      </c>
      <c r="C21" s="234">
        <f>'Stoichiometric Ratios'!P5*'Specific Rate Tables'!C15</f>
        <v>2.7832458034420396E-3</v>
      </c>
      <c r="D21" s="153"/>
      <c r="E21" s="149" t="s">
        <v>81</v>
      </c>
      <c r="F21" s="237">
        <f>'Post Process Calc.'!$Q4</f>
        <v>4.3263079253742544E-2</v>
      </c>
      <c r="G21" s="237">
        <f>'Post Process Calc.'!$Q5</f>
        <v>6.4041090526176458E-2</v>
      </c>
      <c r="H21" s="237">
        <f>'Post Process Calc.'!$Q6</f>
        <v>5.1533007128908959E-2</v>
      </c>
      <c r="I21" s="237">
        <f>'Post Process Calc.'!$Q7</f>
        <v>3.2183198605669025E-2</v>
      </c>
      <c r="J21" s="237">
        <f>'Post Process Calc.'!$Q8</f>
        <v>2.1061226621527995E-2</v>
      </c>
      <c r="K21" s="237">
        <f>'Post Process Calc.'!$Q9</f>
        <v>9.741820091299553E-3</v>
      </c>
      <c r="L21" s="237">
        <f>'Post Process Calc.'!$Q10</f>
        <v>3.290574235022793E-3</v>
      </c>
      <c r="M21" s="237">
        <f>'Post Process Calc.'!$Q11</f>
        <v>-8.4527404757693807E-4</v>
      </c>
      <c r="N21" s="237">
        <f>'Post Process Calc.'!$Q12</f>
        <v>-3.5232107501196523E-3</v>
      </c>
      <c r="O21" s="237">
        <f>'Post Process Calc.'!$Q13</f>
        <v>-5.8502441791246553E-3</v>
      </c>
      <c r="P21" s="237">
        <f>'Post Process Calc.'!$Q14</f>
        <v>-7.1231738177513285E-3</v>
      </c>
      <c r="Q21" s="237">
        <f>'Post Process Calc.'!$Q15</f>
        <v>-5.9164468412406714E-3</v>
      </c>
      <c r="R21" s="7"/>
      <c r="S21" s="7"/>
      <c r="T21" s="7"/>
      <c r="U21" s="7"/>
      <c r="V21" s="7"/>
    </row>
    <row r="22" spans="1:22">
      <c r="A22" s="150" t="s">
        <v>82</v>
      </c>
      <c r="B22" s="234">
        <f>'Stoichiometric Ratios'!$L18*'Specific Rate Tables'!$B$16</f>
        <v>0</v>
      </c>
      <c r="C22" s="234">
        <f>'Stoichiometric Ratios'!$P18*'Specific Rate Tables'!$C$16</f>
        <v>0</v>
      </c>
      <c r="D22" s="153"/>
      <c r="E22" s="149" t="s">
        <v>82</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83</v>
      </c>
      <c r="B23" s="234">
        <f>'Stoichiometric Ratios'!$L19*'Specific Rate Tables'!$B$16</f>
        <v>0</v>
      </c>
      <c r="C23" s="234">
        <f>'Stoichiometric Ratios'!$P19*'Specific Rate Tables'!$C$16</f>
        <v>0</v>
      </c>
      <c r="D23" s="153"/>
      <c r="E23" s="149" t="s">
        <v>83</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0</v>
      </c>
      <c r="C25" s="234">
        <f>'Stoichiometric Ratios'!$P20*'Specific Rate Tables'!$C$16</f>
        <v>0</v>
      </c>
      <c r="D25" s="153"/>
      <c r="E25" s="149" t="s">
        <v>85</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86</v>
      </c>
      <c r="B26" s="234">
        <f>'Stoichiometric Ratios'!$L21*'Specific Rate Tables'!$B$16</f>
        <v>0</v>
      </c>
      <c r="C26" s="234">
        <f>'Stoichiometric Ratios'!$P21*'Specific Rate Tables'!$C$16</f>
        <v>0</v>
      </c>
      <c r="D26" s="153"/>
      <c r="E26" s="149" t="s">
        <v>86</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0</v>
      </c>
      <c r="C28" s="234">
        <f>'Stoichiometric Ratios'!$P22*'Specific Rate Tables'!$C$16</f>
        <v>0</v>
      </c>
      <c r="D28" s="153"/>
      <c r="E28" s="149" t="s">
        <v>88</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89</v>
      </c>
      <c r="B29" s="234">
        <f>'Stoichiometric Ratios'!$L23*'Specific Rate Tables'!$B$16</f>
        <v>1.30205825462798E-3</v>
      </c>
      <c r="C29" s="234">
        <f>'Stoichiometric Ratios'!$P23*'Specific Rate Tables'!$C$16</f>
        <v>-5.9926268740531153E-4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0</v>
      </c>
      <c r="C31" s="234">
        <f>'Stoichiometric Ratios'!$P24*'Specific Rate Tables'!$C$16</f>
        <v>0</v>
      </c>
      <c r="D31" s="153"/>
      <c r="E31" s="149" t="s">
        <v>91</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0</v>
      </c>
      <c r="C33" s="234">
        <f>'Stoichiometric Ratios'!$P25*'Specific Rate Tables'!$C$16</f>
        <v>0</v>
      </c>
      <c r="D33" s="153"/>
      <c r="E33" s="149" t="s">
        <v>93</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94</v>
      </c>
      <c r="B34" s="234">
        <f>'Stoichiometric Ratios'!$L27*'Specific Rate Tables'!$B$16</f>
        <v>0</v>
      </c>
      <c r="C34" s="234">
        <f>'Stoichiometric Ratios'!$P27*'Specific Rate Tables'!$C$16</f>
        <v>0</v>
      </c>
      <c r="D34" s="153"/>
      <c r="E34" s="149" t="s">
        <v>94</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95</v>
      </c>
      <c r="B35" s="234">
        <f>'Stoichiometric Ratios'!$L28*'Specific Rate Tables'!$B$16</f>
        <v>0</v>
      </c>
      <c r="C35" s="234">
        <f>'Stoichiometric Ratios'!$P28*'Specific Rate Tables'!$C$16</f>
        <v>0</v>
      </c>
      <c r="D35" s="153"/>
      <c r="E35" s="149" t="s">
        <v>95</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0</v>
      </c>
      <c r="C52" s="234">
        <f>'Stoichiometric Ratios'!$P26*'Specific Rate Tables'!$C$16</f>
        <v>0</v>
      </c>
      <c r="D52" s="153"/>
      <c r="E52" s="149" t="s">
        <v>430</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defaultColWidth="8.85546875" defaultRowHeight="11.25"/>
  <cols>
    <col min="1" max="1" width="7.42578125" style="238" bestFit="1" customWidth="1"/>
    <col min="2" max="2" width="4.140625" style="238" customWidth="1"/>
    <col min="3" max="3" width="7.5703125" style="238" bestFit="1" customWidth="1"/>
    <col min="4" max="4" width="7.28515625" style="238" bestFit="1" customWidth="1"/>
    <col min="5" max="5" width="3.42578125" style="238" bestFit="1" customWidth="1"/>
    <col min="6"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23" width="4.7109375" style="238" bestFit="1" customWidth="1"/>
    <col min="24" max="24" width="2.7109375" style="238" bestFit="1" customWidth="1"/>
    <col min="25" max="36" width="4.7109375" style="238" bestFit="1" customWidth="1"/>
    <col min="37" max="37" width="2.7109375" style="238" bestFit="1" customWidth="1"/>
    <col min="38" max="48" width="4.7109375" style="238" bestFit="1" customWidth="1"/>
    <col min="49" max="50" width="5.42578125" style="238" bestFit="1" customWidth="1"/>
    <col min="51" max="65" width="4.7109375" style="238" bestFit="1" customWidth="1"/>
    <col min="66" max="66" width="4.28515625" style="238" bestFit="1" customWidth="1"/>
    <col min="67" max="67" width="5.85546875" style="238" bestFit="1" customWidth="1"/>
    <col min="68" max="72" width="6.42578125" style="238" bestFit="1" customWidth="1"/>
    <col min="73" max="73" width="7.140625" style="238" bestFit="1" customWidth="1"/>
    <col min="74" max="141" width="6.42578125" style="238" bestFit="1" customWidth="1"/>
    <col min="142" max="142" width="4.7109375" style="238" bestFit="1" customWidth="1"/>
    <col min="143" max="175" width="6.42578125" style="238" bestFit="1" customWidth="1"/>
    <col min="176" max="16384" width="8.85546875" style="238"/>
  </cols>
  <sheetData>
    <row r="1" spans="1:175" s="239" customFormat="1" ht="79.150000000000006"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XB52</v>
      </c>
      <c r="B3" s="238">
        <f>IF(ISBLANK('Measured Data'!A7),"",'Measured Data'!A7)</f>
        <v>0</v>
      </c>
      <c r="C3" s="245">
        <f>IF(ISBLANK('Measured Data'!B7),"",'Measured Data'!B7)</f>
        <v>1.8750000002910383E-2</v>
      </c>
      <c r="D3" s="246">
        <f>IF(ISBLANK('Measured Data'!C7),"",'Measured Data'!C7)</f>
        <v>0.45000000006984919</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2.096774193548423E-3</v>
      </c>
      <c r="J3" s="243">
        <f>IF(ISBLANK('Measured Data'!J7),"",'Measured Data'!J7)</f>
        <v>0.26209677419354843</v>
      </c>
      <c r="K3" s="243">
        <f>IF(ISBLANK('Measured Data'!K7),"",'Measured Data'!K7)</f>
        <v>99.2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329</v>
      </c>
      <c r="S3" s="238" t="str">
        <f>IF(ISBLANK('Measured Data'!S7),"",'Measured Data'!S7)</f>
        <v/>
      </c>
      <c r="T3" s="243">
        <f>IF(ISBLANK('Measured Data'!U7),"",'Measured Data'!U7)</f>
        <v>5.8999999999999997E-2</v>
      </c>
      <c r="U3" s="243">
        <f>IF(ISBLANK('Measured Data'!V7),"",'Measured Data'!V7)</f>
        <v>1.9039999999999999</v>
      </c>
      <c r="V3" s="243">
        <f>IF(ISBLANK('Measured Data'!W7),"",'Measured Data'!W7)</f>
        <v>5.7690000000000001</v>
      </c>
      <c r="W3" s="243">
        <f>IF(ISBLANK('Measured Data'!X7),"",'Measured Data'!X7)</f>
        <v>1.6990000000000001</v>
      </c>
      <c r="X3" s="243">
        <f>IF(ISBLANK('Measured Data'!Y7),"",'Measured Data'!Y7)</f>
        <v>1.016</v>
      </c>
      <c r="Y3" s="243">
        <f>IF(ISBLANK('Measured Data'!Z7),"",'Measured Data'!Z7)</f>
        <v>33.470991807100511</v>
      </c>
      <c r="Z3" s="243">
        <f>IF(ISBLANK('Measured Data'!AA7),"",'Measured Data'!AA7)</f>
        <v>0</v>
      </c>
      <c r="AA3" s="243">
        <f>IF(ISBLANK('Measured Data'!AB7),"",'Measured Data'!AB7)</f>
        <v>2.2559999999999998</v>
      </c>
      <c r="AB3" s="243" t="str">
        <f>IF(ISBLANK('Measured Data'!AC7),"",'Measured Data'!AC7)</f>
        <v/>
      </c>
      <c r="AC3" s="243" t="str">
        <f>IF(ISBLANK('Measured Data'!AD7),"",'Measured Data'!AD7)</f>
        <v/>
      </c>
      <c r="AD3" s="243" t="str">
        <f>IF(ISBLANK('Measured Data'!AE7),"",'Measured Data'!AE7)</f>
        <v/>
      </c>
      <c r="AE3" s="243">
        <f>IF(ISBLANK('Measured Data'!AF7),"",'Measured Data'!AF7)</f>
        <v>0.9991119005328597</v>
      </c>
      <c r="AF3" s="243" t="str">
        <f>IF(ISBLANK('Measured Data'!AG7),"",'Measured Data'!AG7)</f>
        <v/>
      </c>
      <c r="AG3" s="243" t="str">
        <f>IF(ISBLANK('Measured Data'!AH7),"",'Measured Data'!AH7)</f>
        <v/>
      </c>
      <c r="AH3" s="243" t="str">
        <f>IF(ISBLANK('Measured Data'!AI7),"",'Measured Data'!AI7)</f>
        <v/>
      </c>
      <c r="AI3" s="243" t="str">
        <f>IF(ISBLANK('Measured Data'!AJ7),"",'Measured Data'!AJ7)</f>
        <v/>
      </c>
      <c r="AJ3" s="243" t="str">
        <f>IF(ISBLANK('Measured Data'!AK7),"",'Measured Data'!AK7)</f>
        <v/>
      </c>
      <c r="AK3" s="243" t="str">
        <f>IF(ISBLANK('Measured Data'!AL7),"",'Measured Data'!AL7)</f>
        <v/>
      </c>
      <c r="AL3" s="243" t="str">
        <f>IF(ISBLANK('Measured Data'!AM7),"",'Measured Data'!AM7)</f>
        <v/>
      </c>
      <c r="AM3" s="243" t="str">
        <f>IF(ISBLANK('Measured Data'!AN7),"",'Measured Data'!AN7)</f>
        <v/>
      </c>
      <c r="AN3" s="243" t="str">
        <f>IF(ISBLANK('Measured Data'!AO7),"",'Measured Data'!AO7)</f>
        <v/>
      </c>
      <c r="AO3" s="243" t="str">
        <f>IF(ISBLANK('Measured Data'!AP7),"",'Measured Data'!AP7)</f>
        <v/>
      </c>
      <c r="AP3" s="243" t="str">
        <f>IF(ISBLANK('Measured Data'!AQ7),"",'Measured Data'!AQ7)</f>
        <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0.26312174644284919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XB52</v>
      </c>
      <c r="B4" s="238">
        <f>IF(ISBLANK('Measured Data'!A8),"",'Measured Data'!A8)</f>
        <v>1</v>
      </c>
      <c r="C4" s="245">
        <f>IF(ISBLANK('Measured Data'!B8),"",'Measured Data'!B8)</f>
        <v>0.87986111111240461</v>
      </c>
      <c r="D4" s="246">
        <f>IF(ISBLANK('Measured Data'!C8),"",'Measured Data'!C8)</f>
        <v>21.116666666697711</v>
      </c>
      <c r="E4" s="238">
        <f>IF(ISBLANK('Measured Data'!D8),"",'Measured Data'!D8)</f>
        <v>20</v>
      </c>
      <c r="F4" s="238" t="str">
        <f>IF(ISBLANK('Measured Data'!E9),"",'Measured Data'!E9)</f>
        <v/>
      </c>
      <c r="G4" s="238" t="str">
        <f>IF(ISBLANK('Measured Data'!G8),"",'Measured Data'!G8)</f>
        <v/>
      </c>
      <c r="H4" s="243">
        <f>IF(ISBLANK('Measured Data'!H8),"",'Measured Data'!H8)</f>
        <v>0.46319998631477349</v>
      </c>
      <c r="I4" s="243">
        <f>IF(ISBLANK('Measured Data'!I8),"",'Measured Data'!I8)</f>
        <v>2.0470985318967738E-3</v>
      </c>
      <c r="J4" s="243">
        <f>IF(ISBLANK('Measured Data'!J8),"",'Measured Data'!J8)</f>
        <v>0.46524708484667027</v>
      </c>
      <c r="K4" s="243">
        <f>IF(ISBLANK('Measured Data'!K8),"",'Measured Data'!K8)</f>
        <v>99.55999755859375</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324</v>
      </c>
      <c r="S4" s="238" t="str">
        <f>IF(ISBLANK('Measured Data'!S8),"",'Measured Data'!S8)</f>
        <v/>
      </c>
      <c r="T4" s="243">
        <f>IF(ISBLANK('Measured Data'!U8),"",'Measured Data'!U8)</f>
        <v>6.7000000000000004E-2</v>
      </c>
      <c r="U4" s="243">
        <f>IF(ISBLANK('Measured Data'!V8),"",'Measured Data'!V8)</f>
        <v>2.012</v>
      </c>
      <c r="V4" s="243">
        <f>IF(ISBLANK('Measured Data'!W8),"",'Measured Data'!W8)</f>
        <v>5.89</v>
      </c>
      <c r="W4" s="243">
        <f>IF(ISBLANK('Measured Data'!X8),"",'Measured Data'!X8)</f>
        <v>1.825</v>
      </c>
      <c r="X4" s="243">
        <f>IF(ISBLANK('Measured Data'!Y8),"",'Measured Data'!Y8)</f>
        <v>1.115</v>
      </c>
      <c r="Y4" s="243">
        <f>IF(ISBLANK('Measured Data'!Z8),"",'Measured Data'!Z8)</f>
        <v>33.91505139989787</v>
      </c>
      <c r="Z4" s="243">
        <f>IF(ISBLANK('Measured Data'!AA8),"",'Measured Data'!AA8)</f>
        <v>0</v>
      </c>
      <c r="AA4" s="243">
        <f>IF(ISBLANK('Measured Data'!AB8),"",'Measured Data'!AB8)</f>
        <v>2.3919999999999999</v>
      </c>
      <c r="AB4" s="243" t="str">
        <f>IF(ISBLANK('Measured Data'!AC8),"",'Measured Data'!AC8)</f>
        <v/>
      </c>
      <c r="AC4" s="243" t="str">
        <f>IF(ISBLANK('Measured Data'!AD8),"",'Measured Data'!AD8)</f>
        <v/>
      </c>
      <c r="AD4" s="243" t="str">
        <f>IF(ISBLANK('Measured Data'!AE8),"",'Measured Data'!AE8)</f>
        <v/>
      </c>
      <c r="AE4" s="243">
        <f>IF(ISBLANK('Measured Data'!AF8),"",'Measured Data'!AF8)</f>
        <v>1.5541740674955598</v>
      </c>
      <c r="AF4" s="243" t="str">
        <f>IF(ISBLANK('Measured Data'!AG8),"",'Measured Data'!AG8)</f>
        <v/>
      </c>
      <c r="AG4" s="243" t="str">
        <f>IF(ISBLANK('Measured Data'!AH8),"",'Measured Data'!AH8)</f>
        <v/>
      </c>
      <c r="AH4" s="243" t="str">
        <f>IF(ISBLANK('Measured Data'!AI8),"",'Measured Data'!AI8)</f>
        <v/>
      </c>
      <c r="AI4" s="243" t="str">
        <f>IF(ISBLANK('Measured Data'!AJ8),"",'Measured Data'!AJ8)</f>
        <v/>
      </c>
      <c r="AJ4" s="243" t="str">
        <f>IF(ISBLANK('Measured Data'!AK8),"",'Measured Data'!AK8)</f>
        <v/>
      </c>
      <c r="AK4" s="243" t="str">
        <f>IF(ISBLANK('Measured Data'!AL8),"",'Measured Data'!AL8)</f>
        <v/>
      </c>
      <c r="AL4" s="243" t="str">
        <f>IF(ISBLANK('Measured Data'!AM8),"",'Measured Data'!AM8)</f>
        <v/>
      </c>
      <c r="AM4" s="243" t="str">
        <f>IF(ISBLANK('Measured Data'!AN8),"",'Measured Data'!AN8)</f>
        <v/>
      </c>
      <c r="AN4" s="243" t="str">
        <f>IF(ISBLANK('Measured Data'!AO8),"",'Measured Data'!AO8)</f>
        <v/>
      </c>
      <c r="AO4" s="243" t="str">
        <f>IF(ISBLANK('Measured Data'!AP8),"",'Measured Data'!AP8)</f>
        <v/>
      </c>
      <c r="AP4" s="243" t="str">
        <f>IF(ISBLANK('Measured Data'!AQ8),"",'Measured Data'!AQ8)</f>
        <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386.24397372436511</v>
      </c>
      <c r="BV4" s="243">
        <f>IF(ISBLANK('In Process Calc.'!M4),"",'In Process Calc.'!M4)</f>
        <v>0</v>
      </c>
      <c r="BW4" s="243">
        <f>IF(ISBLANK('In Process Calc.'!N4),"",'In Process Calc.'!N4)</f>
        <v>0</v>
      </c>
      <c r="BX4" s="243">
        <f>IF(ISBLANK('In Process Calc.'!O4),"",'In Process Calc.'!O4)</f>
        <v>-1.4475000000000023E-2</v>
      </c>
      <c r="BY4" s="243">
        <f>IF(ISBLANK('In Process Calc.'!P4),"",'In Process Calc.'!P4)</f>
        <v>-0.17880000000000018</v>
      </c>
      <c r="BZ4" s="243">
        <f>IF(ISBLANK('In Process Calc.'!Q4),"",'In Process Calc.'!Q4)</f>
        <v>-0.14578499999999986</v>
      </c>
      <c r="CA4" s="243">
        <f>IF(ISBLANK('In Process Calc.'!R4),"",'In Process Calc.'!R4)</f>
        <v>-0.21643499999999993</v>
      </c>
      <c r="CB4" s="243">
        <f>IF(ISBLANK('In Process Calc.'!S4),"",'In Process Calc.'!S4)</f>
        <v>-0.17484000000000013</v>
      </c>
      <c r="CC4" s="243">
        <f>IF(ISBLANK('In Process Calc.'!T4),"",'In Process Calc.'!T4)</f>
        <v>-9.3651299855319114E-2</v>
      </c>
      <c r="CD4" s="243">
        <f>IF(ISBLANK('In Process Calc.'!U4),"",'In Process Calc.'!U4)</f>
        <v>0</v>
      </c>
      <c r="CE4" s="243">
        <f>IF(ISBLANK('In Process Calc.'!V4),"",'In Process Calc.'!V4)</f>
        <v>-0.22727999999999973</v>
      </c>
      <c r="CF4" s="243">
        <f>IF(ISBLANK('In Process Calc.'!W4),"",'In Process Calc.'!W4)</f>
        <v>0</v>
      </c>
      <c r="CG4" s="243">
        <f>IF(ISBLANK('In Process Calc.'!X4),"",'In Process Calc.'!X4)</f>
        <v>0</v>
      </c>
      <c r="CH4" s="243">
        <f>IF(ISBLANK('In Process Calc.'!Y4),"",'In Process Calc.'!Y4)</f>
        <v>0</v>
      </c>
      <c r="CI4" s="243">
        <f>IF(ISBLANK('In Process Calc.'!Z4),"",'In Process Calc.'!Z4)</f>
        <v>1.0507326820603913</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-1.8146400000000003</v>
      </c>
      <c r="CW4" s="243">
        <f>IF(ISBLANK('In Process Calc.'!AN4),"",'In Process Calc.'!AN4)</f>
        <v>-1.8291150000000003</v>
      </c>
      <c r="CX4" s="243">
        <f>IF(ISBLANK('In Process Calc.'!AO4),"",'In Process Calc.'!AO4)</f>
        <v>-4.6636950000000006</v>
      </c>
      <c r="CY4" s="243">
        <f>IF(ISBLANK('In Process Calc.'!AP4),"",'In Process Calc.'!AP4)</f>
        <v>0</v>
      </c>
      <c r="CZ4" s="243">
        <f>IF(ISBLANK('In Process Calc.'!AQ4),"",'In Process Calc.'!AQ4)</f>
        <v>0</v>
      </c>
      <c r="DA4" s="243">
        <f>IF(ISBLANK('In Process Calc.'!AR4),"",'In Process Calc.'!AR4)</f>
        <v>2.6843772371102317E-2</v>
      </c>
      <c r="DB4" s="243">
        <f>IF(ISBLANK('In Process Calc.'!AS4),"",'In Process Calc.'!AS4)</f>
        <v>2.6834957824069076E-2</v>
      </c>
      <c r="DC4" s="243">
        <f>IF(ISBLANK('In Process Calc.'!AT4),"",'In Process Calc.'!AT4)</f>
        <v>-8.8145470332399431E-6</v>
      </c>
      <c r="DD4" s="243">
        <f>IF(ISBLANK('In Process Calc.'!AU4),"",'In Process Calc.'!AU4)</f>
        <v>0</v>
      </c>
      <c r="DE4" s="243">
        <f>IF(ISBLANK('In Process Calc.'!AV4),"",'In Process Calc.'!AV4)</f>
        <v>-1.0060056117509729E-3</v>
      </c>
      <c r="DF4" s="243">
        <f>IF(ISBLANK('In Process Calc.'!AW4),"",'In Process Calc.'!AW4)</f>
        <v>-1.2426514914063826E-2</v>
      </c>
      <c r="DG4" s="243">
        <f>IF(ISBLANK('In Process Calc.'!AX4),"",'In Process Calc.'!AX4)</f>
        <v>-1.0131988124982052E-2</v>
      </c>
      <c r="DH4" s="243">
        <f>IF(ISBLANK('In Process Calc.'!AY4),"",'In Process Calc.'!AY4)</f>
        <v>-1.5042129504616334E-2</v>
      </c>
      <c r="DI4" s="243">
        <f>IF(ISBLANK('In Process Calc.'!AZ4),"",'In Process Calc.'!AZ4)</f>
        <v>-1.2151296798517442E-2</v>
      </c>
      <c r="DJ4" s="243">
        <f>IF(ISBLANK('In Process Calc.'!BA4),"",'In Process Calc.'!BA4)</f>
        <v>0.1449857625715468</v>
      </c>
      <c r="DK4" s="243">
        <f>IF(ISBLANK('In Process Calc.'!BB4),"",'In Process Calc.'!BB4)</f>
        <v>0</v>
      </c>
      <c r="DL4" s="243">
        <f>IF(ISBLANK('In Process Calc.'!BC4),"",'In Process Calc.'!BC4)</f>
        <v>-1.5795851843783109E-2</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-0.11396531966488727</v>
      </c>
      <c r="ED4" s="243">
        <f>IF(ISBLANK('In Process Calc.'!BU4),"",'In Process Calc.'!BU4)</f>
        <v>-0.11295931405313629</v>
      </c>
      <c r="EE4" s="243">
        <f>IF(ISBLANK('In Process Calc.'!BV4),"",'In Process Calc.'!BV4)</f>
        <v>-0.33016061684804965</v>
      </c>
      <c r="EF4" s="243">
        <f>IF(ISBLANK('In Process Calc.'!BW4),"",'In Process Calc.'!BW4)</f>
        <v>0</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0.46319998631477349</v>
      </c>
      <c r="EL4" s="243">
        <f>IF(ISBLANK('Post Process Calc.'!C4),"",'Post Process Calc.'!C4)</f>
        <v>2.62375468366388E-2</v>
      </c>
      <c r="EM4" s="243">
        <f>IF(ISBLANK('Post Process Calc.'!D4),"",'Post Process Calc.'!D4)</f>
        <v>0</v>
      </c>
      <c r="EN4" s="243">
        <f>IF(ISBLANK('Post Process Calc.'!E4),"",'Post Process Calc.'!E4)</f>
        <v>-22.145526018710882</v>
      </c>
      <c r="EO4" s="243">
        <f>IF(ISBLANK('Post Process Calc.'!F4),"",'Post Process Calc.'!F4)</f>
        <v>0.12311153332894548</v>
      </c>
      <c r="EP4" s="243">
        <f>IF(ISBLANK('Post Process Calc.'!G4),"",'Post Process Calc.'!G4)</f>
        <v>-1.2174255144236338E-2</v>
      </c>
      <c r="EQ4" s="243">
        <f>IF(ISBLANK('Post Process Calc.'!H4),"",'Post Process Calc.'!H4)</f>
        <v>1.5656502239925847E-3</v>
      </c>
      <c r="ER4" s="243">
        <f>IF(ISBLANK('Post Process Calc.'!I4),"",'Post Process Calc.'!I4)</f>
        <v>7.3584177928993827E-2</v>
      </c>
      <c r="ES4" s="243">
        <f>IF(ISBLANK('Post Process Calc.'!J4),"",'Post Process Calc.'!J4)</f>
        <v>-2.9438385667534053E-3</v>
      </c>
      <c r="ET4" s="243">
        <f>IF(ISBLANK('Post Process Calc.'!K4),"",'Post Process Calc.'!K4)</f>
        <v>0.11260218115305266</v>
      </c>
      <c r="EU4" s="243">
        <f>IF(ISBLANK('Post Process Calc.'!L4),"",'Post Process Calc.'!L4)</f>
        <v>-6.5099020312279739E-3</v>
      </c>
      <c r="EV4" s="243">
        <f>IF(ISBLANK('Post Process Calc.'!M4),"",'Post Process Calc.'!M4)</f>
        <v>-0.37380400607284509</v>
      </c>
      <c r="EW4" s="243">
        <f>IF(ISBLANK('Post Process Calc.'!N4),"",'Post Process Calc.'!N4)</f>
        <v>0</v>
      </c>
      <c r="EX4" s="243">
        <f>IF(ISBLANK('Post Process Calc.'!O4),"",'Post Process Calc.'!O4)</f>
        <v>0</v>
      </c>
      <c r="EY4" s="243">
        <f>IF(ISBLANK('Post Process Calc.'!P4),"",'Post Process Calc.'!P4)</f>
        <v>0</v>
      </c>
      <c r="EZ4" s="243">
        <f>IF(ISBLANK('Post Process Calc.'!Q4),"",'Post Process Calc.'!Q4)</f>
        <v>4.3263079253742544E-2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-0.61358370332051748</v>
      </c>
      <c r="FN4" s="243">
        <f>IF(ISBLANK('Post Process Calc.'!AE4),"",'Post Process Calc.'!AE4)</f>
        <v>-0.49047216999157184</v>
      </c>
      <c r="FO4" s="243">
        <f>IF(ISBLANK('Post Process Calc.'!AF4),"",'Post Process Calc.'!AF4)</f>
        <v>-2.9344500471975059</v>
      </c>
      <c r="FP4" s="243">
        <f>IF(ISBLANK('Post Process Calc.'!AG4),"",'Post Process Calc.'!AG4)</f>
        <v>0.38421173382900919</v>
      </c>
      <c r="FQ4" s="243">
        <f>IF(ISBLANK('Post Process Calc.'!AH4),"",'Post Process Calc.'!AH4)</f>
        <v>0</v>
      </c>
      <c r="FR4" s="243">
        <f>IF(ISBLANK('Post Process Calc.'!AI4),"",'Post Process Calc.'!AI4)</f>
        <v>-5.7813285360605017E-2</v>
      </c>
      <c r="FS4" s="243">
        <f>IF(ISBLANK('Post Process Calc.'!AJ4),"",'Post Process Calc.'!AJ4)</f>
        <v>0</v>
      </c>
    </row>
    <row r="5" spans="1:175">
      <c r="A5" s="238" t="str">
        <f>IF('Measured Data'!B9&lt;&gt;0,'Measured Data'!$B$1,"")</f>
        <v>XB52</v>
      </c>
      <c r="B5" s="238">
        <f>IF(ISBLANK('Measured Data'!A9),"",'Measured Data'!A9)</f>
        <v>2</v>
      </c>
      <c r="C5" s="245">
        <f>IF(ISBLANK('Measured Data'!B9),"",'Measured Data'!B9)</f>
        <v>2.015972222223354</v>
      </c>
      <c r="D5" s="246">
        <f>IF(ISBLANK('Measured Data'!C9),"",'Measured Data'!C9)</f>
        <v>48.383333333360497</v>
      </c>
      <c r="E5" s="238">
        <f>IF(ISBLANK('Measured Data'!D9),"",'Measured Data'!D9)</f>
        <v>20</v>
      </c>
      <c r="F5" s="238" t="str">
        <f>IF(ISBLANK('Measured Data'!E10),"",'Measured Data'!E10)</f>
        <v/>
      </c>
      <c r="G5" s="238" t="str">
        <f>IF(ISBLANK('Measured Data'!G9),"",'Measured Data'!G9)</f>
        <v/>
      </c>
      <c r="H5" s="243">
        <f>IF(ISBLANK('Measured Data'!H9),"",'Measured Data'!H9)</f>
        <v>0.81999999999999984</v>
      </c>
      <c r="I5" s="243">
        <f>IF(ISBLANK('Measured Data'!I9),"",'Measured Data'!I9)</f>
        <v>1.0800405268490354E-2</v>
      </c>
      <c r="J5" s="243">
        <f>IF(ISBLANK('Measured Data'!J9),"",'Measured Data'!J9)</f>
        <v>0.83080040526849019</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325</v>
      </c>
      <c r="S5" s="238" t="str">
        <f>IF(ISBLANK('Measured Data'!S9),"",'Measured Data'!S9)</f>
        <v/>
      </c>
      <c r="T5" s="243">
        <f>IF(ISBLANK('Measured Data'!U9),"",'Measured Data'!U9)</f>
        <v>6.6000000000000003E-2</v>
      </c>
      <c r="U5" s="243">
        <f>IF(ISBLANK('Measured Data'!V9),"",'Measured Data'!V9)</f>
        <v>1.772</v>
      </c>
      <c r="V5" s="243">
        <f>IF(ISBLANK('Measured Data'!W9),"",'Measured Data'!W9)</f>
        <v>5.2729999999999997</v>
      </c>
      <c r="W5" s="243">
        <f>IF(ISBLANK('Measured Data'!X9),"",'Measured Data'!X9)</f>
        <v>1.708</v>
      </c>
      <c r="X5" s="243">
        <f>IF(ISBLANK('Measured Data'!Y9),"",'Measured Data'!Y9)</f>
        <v>1.03</v>
      </c>
      <c r="Y5" s="243">
        <f>IF(ISBLANK('Measured Data'!Z9),"",'Measured Data'!Z9)</f>
        <v>32.083305579608783</v>
      </c>
      <c r="Z5" s="243">
        <f>IF(ISBLANK('Measured Data'!AA9),"",'Measured Data'!AA9)</f>
        <v>0.27500000000000002</v>
      </c>
      <c r="AA5" s="243">
        <f>IF(ISBLANK('Measured Data'!AB9),"",'Measured Data'!AB9)</f>
        <v>2.2530000000000001</v>
      </c>
      <c r="AB5" s="243" t="str">
        <f>IF(ISBLANK('Measured Data'!AC9),"",'Measured Data'!AC9)</f>
        <v/>
      </c>
      <c r="AC5" s="243" t="str">
        <f>IF(ISBLANK('Measured Data'!AD9),"",'Measured Data'!AD9)</f>
        <v/>
      </c>
      <c r="AD5" s="243" t="str">
        <f>IF(ISBLANK('Measured Data'!AE9),"",'Measured Data'!AE9)</f>
        <v/>
      </c>
      <c r="AE5" s="243">
        <f>IF(ISBLANK('Measured Data'!AF9),"",'Measured Data'!AF9)</f>
        <v>2.6642984014209592</v>
      </c>
      <c r="AF5" s="243" t="str">
        <f>IF(ISBLANK('Measured Data'!AG9),"",'Measured Data'!AG9)</f>
        <v/>
      </c>
      <c r="AG5" s="243" t="str">
        <f>IF(ISBLANK('Measured Data'!AH9),"",'Measured Data'!AH9)</f>
        <v/>
      </c>
      <c r="AH5" s="243" t="str">
        <f>IF(ISBLANK('Measured Data'!AI9),"",'Measured Data'!AI9)</f>
        <v/>
      </c>
      <c r="AI5" s="243" t="str">
        <f>IF(ISBLANK('Measured Data'!AJ9),"",'Measured Data'!AJ9)</f>
        <v/>
      </c>
      <c r="AJ5" s="243" t="str">
        <f>IF(ISBLANK('Measured Data'!AK9),"",'Measured Data'!AK9)</f>
        <v/>
      </c>
      <c r="AK5" s="243" t="str">
        <f>IF(ISBLANK('Measured Data'!AL9),"",'Measured Data'!AL9)</f>
        <v/>
      </c>
      <c r="AL5" s="243" t="str">
        <f>IF(ISBLANK('Measured Data'!AM9),"",'Measured Data'!AM9)</f>
        <v/>
      </c>
      <c r="AM5" s="243" t="str">
        <f>IF(ISBLANK('Measured Data'!AN9),"",'Measured Data'!AN9)</f>
        <v/>
      </c>
      <c r="AN5" s="243" t="str">
        <f>IF(ISBLANK('Measured Data'!AO9),"",'Measured Data'!AO9)</f>
        <v/>
      </c>
      <c r="AO5" s="243" t="str">
        <f>IF(ISBLANK('Measured Data'!AP9),"",'Measured Data'!AP9)</f>
        <v/>
      </c>
      <c r="AP5" s="243" t="str">
        <f>IF(ISBLANK('Measured Data'!AQ9),"",'Measured Data'!AQ9)</f>
        <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48.38</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1058.9999999999995</v>
      </c>
      <c r="BV5" s="243">
        <f>IF(ISBLANK('In Process Calc.'!M5),"",'In Process Calc.'!M5)</f>
        <v>0</v>
      </c>
      <c r="BW5" s="243">
        <f>IF(ISBLANK('In Process Calc.'!N5),"",'In Process Calc.'!N5)</f>
        <v>0</v>
      </c>
      <c r="BX5" s="243">
        <f>IF(ISBLANK('In Process Calc.'!O5),"",'In Process Calc.'!O5)</f>
        <v>-1.1565000000000013E-2</v>
      </c>
      <c r="BY5" s="243">
        <f>IF(ISBLANK('In Process Calc.'!P5),"",'In Process Calc.'!P5)</f>
        <v>0.30857999999999991</v>
      </c>
      <c r="BZ5" s="243">
        <f>IF(ISBLANK('In Process Calc.'!Q5),"",'In Process Calc.'!Q5)</f>
        <v>1.1179500000000007</v>
      </c>
      <c r="CA5" s="243">
        <f>IF(ISBLANK('In Process Calc.'!R5),"",'In Process Calc.'!R5)</f>
        <v>3.3825000000000272E-2</v>
      </c>
      <c r="CB5" s="243">
        <f>IF(ISBLANK('In Process Calc.'!S5),"",'In Process Calc.'!S5)</f>
        <v>3.8099999999999523E-3</v>
      </c>
      <c r="CC5" s="243">
        <f>IF(ISBLANK('In Process Calc.'!T5),"",'In Process Calc.'!T5)</f>
        <v>2.0986998078639494</v>
      </c>
      <c r="CD5" s="243">
        <f>IF(ISBLANK('In Process Calc.'!U5),"",'In Process Calc.'!U5)</f>
        <v>-0.52387499999999998</v>
      </c>
      <c r="CE5" s="243">
        <f>IF(ISBLANK('In Process Calc.'!V5),"",'In Process Calc.'!V5)</f>
        <v>7.3394999999999516E-2</v>
      </c>
      <c r="CF5" s="243">
        <f>IF(ISBLANK('In Process Calc.'!W5),"",'In Process Calc.'!W5)</f>
        <v>0</v>
      </c>
      <c r="CG5" s="243">
        <f>IF(ISBLANK('In Process Calc.'!X5),"",'In Process Calc.'!X5)</f>
        <v>0</v>
      </c>
      <c r="CH5" s="243">
        <f>IF(ISBLANK('In Process Calc.'!Y5),"",'In Process Calc.'!Y5)</f>
        <v>0</v>
      </c>
      <c r="CI5" s="243">
        <f>IF(ISBLANK('In Process Calc.'!Z5),"",'In Process Calc.'!Z5)</f>
        <v>3.1422069271758435</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2.5257450000000006</v>
      </c>
      <c r="CW5" s="243">
        <f>IF(ISBLANK('In Process Calc.'!AN5),"",'In Process Calc.'!AN5)</f>
        <v>2.5141800000000005</v>
      </c>
      <c r="CX5" s="243">
        <f>IF(ISBLANK('In Process Calc.'!AO5),"",'In Process Calc.'!AO5)</f>
        <v>4.2637350000000005</v>
      </c>
      <c r="CY5" s="243">
        <f>IF(ISBLANK('In Process Calc.'!AP5),"",'In Process Calc.'!AP5)</f>
        <v>0</v>
      </c>
      <c r="CZ5" s="243">
        <f>IF(ISBLANK('In Process Calc.'!AQ5),"",'In Process Calc.'!AQ5)</f>
        <v>0</v>
      </c>
      <c r="DA5" s="243">
        <f>IF(ISBLANK('In Process Calc.'!AR5),"",'In Process Calc.'!AR5)</f>
        <v>2.0129527055972703E-2</v>
      </c>
      <c r="DB5" s="243">
        <f>IF(ISBLANK('In Process Calc.'!AS5),"",'In Process Calc.'!AS5)</f>
        <v>2.062754228994701E-2</v>
      </c>
      <c r="DC5" s="243">
        <f>IF(ISBLANK('In Process Calc.'!AT5),"",'In Process Calc.'!AT5)</f>
        <v>4.980152339743066E-4</v>
      </c>
      <c r="DD5" s="243">
        <f>IF(ISBLANK('In Process Calc.'!AU5),"",'In Process Calc.'!AU5)</f>
        <v>0</v>
      </c>
      <c r="DE5" s="243">
        <f>IF(ISBLANK('In Process Calc.'!AV5),"",'In Process Calc.'!AV5)</f>
        <v>8.7070084020148564E-5</v>
      </c>
      <c r="DF5" s="243">
        <f>IF(ISBLANK('In Process Calc.'!AW5),"",'In Process Calc.'!AW5)</f>
        <v>1.4582892628776586E-2</v>
      </c>
      <c r="DG5" s="243">
        <f>IF(ISBLANK('In Process Calc.'!AX5),"",'In Process Calc.'!AX5)</f>
        <v>3.7812203652646773E-2</v>
      </c>
      <c r="DH5" s="243">
        <f>IF(ISBLANK('In Process Calc.'!AY5),"",'In Process Calc.'!AY5)</f>
        <v>7.4880272257327567E-3</v>
      </c>
      <c r="DI5" s="243">
        <f>IF(ISBLANK('In Process Calc.'!AZ5),"",'In Process Calc.'!AZ5)</f>
        <v>5.3453850550513726E-3</v>
      </c>
      <c r="DJ5" s="243">
        <f>IF(ISBLANK('In Process Calc.'!BA5),"",'In Process Calc.'!BA5)</f>
        <v>5.2687416642327865E-2</v>
      </c>
      <c r="DK5" s="243">
        <f>IF(ISBLANK('In Process Calc.'!BB5),"",'In Process Calc.'!BB5)</f>
        <v>-1.5674859197957105E-2</v>
      </c>
      <c r="DL5" s="243">
        <f>IF(ISBLANK('In Process Calc.'!BC5),"",'In Process Calc.'!BC5)</f>
        <v>8.9964939906384926E-3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0.12452323577992842</v>
      </c>
      <c r="ED5" s="243">
        <f>IF(ISBLANK('In Process Calc.'!BU5),"",'In Process Calc.'!BU5)</f>
        <v>0.12443616569590828</v>
      </c>
      <c r="EE5" s="243">
        <f>IF(ISBLANK('In Process Calc.'!BV5),"",'In Process Calc.'!BV5)</f>
        <v>0.26763997383195326</v>
      </c>
      <c r="EF5" s="243">
        <f>IF(ISBLANK('In Process Calc.'!BW5),"",'In Process Calc.'!BW5)</f>
        <v>0.34601426982173872</v>
      </c>
      <c r="EG5" s="243">
        <f>IF(ISBLANK('In Process Calc.'!BX5),"",'In Process Calc.'!BX5)</f>
        <v>1.0852781281738566</v>
      </c>
      <c r="EH5" s="243">
        <f>IF(ISBLANK('In Process Calc.'!BY5),"",'In Process Calc.'!BY5)</f>
        <v>0</v>
      </c>
      <c r="EI5" s="243">
        <f>IF(ISBLANK('In Process Calc.'!BZ5),"",'In Process Calc.'!BZ5)</f>
        <v>-0.29750669508749994</v>
      </c>
      <c r="EJ5" s="243">
        <f>IF(ISBLANK('In Process Calc.'!CA5),"",'In Process Calc.'!CA5)</f>
        <v>0</v>
      </c>
      <c r="EK5" s="243">
        <f>IF(ISBLANK('Post Process Calc.'!A5),"",'Post Process Calc.'!A5)</f>
        <v>0.81999999999999984</v>
      </c>
      <c r="EL5" s="243">
        <f>IF(ISBLANK('Post Process Calc.'!C5),"",'Post Process Calc.'!C5)</f>
        <v>2.5545985573235321E-2</v>
      </c>
      <c r="EM5" s="243">
        <f>IF(ISBLANK('Post Process Calc.'!D5),"",'Post Process Calc.'!D5)</f>
        <v>0</v>
      </c>
      <c r="EN5" s="243">
        <f>IF(ISBLANK('Post Process Calc.'!E5),"",'Post Process Calc.'!E5)</f>
        <v>-2.9350247970605818</v>
      </c>
      <c r="EO5" s="243">
        <f>IF(ISBLANK('Post Process Calc.'!F5),"",'Post Process Calc.'!F5)</f>
        <v>-1.8627651942847499E-3</v>
      </c>
      <c r="EP5" s="243">
        <f>IF(ISBLANK('Post Process Calc.'!G5),"",'Post Process Calc.'!G5)</f>
        <v>-8.0912620435651898E-3</v>
      </c>
      <c r="EQ5" s="243">
        <f>IF(ISBLANK('Post Process Calc.'!H5),"",'Post Process Calc.'!H5)</f>
        <v>-5.4315354534614398E-3</v>
      </c>
      <c r="ER5" s="243">
        <f>IF(ISBLANK('Post Process Calc.'!I5),"",'Post Process Calc.'!I5)</f>
        <v>-5.727602038660763E-3</v>
      </c>
      <c r="ES5" s="243">
        <f>IF(ISBLANK('Post Process Calc.'!J5),"",'Post Process Calc.'!J5)</f>
        <v>4.2247286694923961E-3</v>
      </c>
      <c r="ET5" s="243">
        <f>IF(ISBLANK('Post Process Calc.'!K5),"",'Post Process Calc.'!K5)</f>
        <v>9.8048409829188124E-2</v>
      </c>
      <c r="EU5" s="243">
        <f>IF(ISBLANK('Post Process Calc.'!L5),"",'Post Process Calc.'!L5)</f>
        <v>3.9564734369251127E-3</v>
      </c>
      <c r="EV5" s="243">
        <f>IF(ISBLANK('Post Process Calc.'!M5),"",'Post Process Calc.'!M5)</f>
        <v>-0.1999058935372445</v>
      </c>
      <c r="EW5" s="243">
        <f>IF(ISBLANK('Post Process Calc.'!N5),"",'Post Process Calc.'!N5)</f>
        <v>0</v>
      </c>
      <c r="EX5" s="243">
        <f>IF(ISBLANK('Post Process Calc.'!O5),"",'Post Process Calc.'!O5)</f>
        <v>0</v>
      </c>
      <c r="EY5" s="243">
        <f>IF(ISBLANK('Post Process Calc.'!P5),"",'Post Process Calc.'!P5)</f>
        <v>0</v>
      </c>
      <c r="EZ5" s="243">
        <f>IF(ISBLANK('Post Process Calc.'!Q5),"",'Post Process Calc.'!Q5)</f>
        <v>6.4041090526176458E-2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-0.34687445850781834</v>
      </c>
      <c r="FN5" s="243">
        <f>IF(ISBLANK('Post Process Calc.'!AE5),"",'Post Process Calc.'!AE5)</f>
        <v>-0.34873722370210308</v>
      </c>
      <c r="FO5" s="243">
        <f>IF(ISBLANK('Post Process Calc.'!AF5),"",'Post Process Calc.'!AF5)</f>
        <v>-1.2886116861448376</v>
      </c>
      <c r="FP5" s="243">
        <f>IF(ISBLANK('Post Process Calc.'!AG5),"",'Post Process Calc.'!AG5)</f>
        <v>0.65315787005361514</v>
      </c>
      <c r="FQ5" s="243">
        <f>IF(ISBLANK('Post Process Calc.'!AH5),"",'Post Process Calc.'!AH5)</f>
        <v>0</v>
      </c>
      <c r="FR5" s="243">
        <f>IF(ISBLANK('Post Process Calc.'!AI5),"",'Post Process Calc.'!AI5)</f>
        <v>4.0352244812718076E-2</v>
      </c>
      <c r="FS5" s="243">
        <f>IF(ISBLANK('Post Process Calc.'!AJ5),"",'Post Process Calc.'!AJ5)</f>
        <v>0</v>
      </c>
    </row>
    <row r="6" spans="1:175">
      <c r="A6" s="238" t="str">
        <f>IF('Measured Data'!B10&lt;&gt;0,'Measured Data'!$B$1,"")</f>
        <v>XB52</v>
      </c>
      <c r="B6" s="238">
        <f>IF(ISBLANK('Measured Data'!A10),"",'Measured Data'!A10)</f>
        <v>3</v>
      </c>
      <c r="C6" s="245">
        <f>IF(ISBLANK('Measured Data'!B10),"",'Measured Data'!B10)</f>
        <v>2.953472222223354</v>
      </c>
      <c r="D6" s="246">
        <f>IF(ISBLANK('Measured Data'!C10),"",'Measured Data'!C10)</f>
        <v>70.883333333360497</v>
      </c>
      <c r="E6" s="238">
        <f>IF(ISBLANK('Measured Data'!D10),"",'Measured Data'!D10)</f>
        <v>20</v>
      </c>
      <c r="F6" s="238" t="e">
        <f>IF(ISBLANK('Measured Data'!#REF!),"",'Measured Data'!#REF!)</f>
        <v>#REF!</v>
      </c>
      <c r="G6" s="238" t="str">
        <f>IF(ISBLANK('Measured Data'!G10),"",'Measured Data'!G10)</f>
        <v/>
      </c>
      <c r="H6" s="243">
        <f>IF(ISBLANK('Measured Data'!H10),"",'Measured Data'!H10)</f>
        <v>1.4616999460220337</v>
      </c>
      <c r="I6" s="243">
        <f>IF(ISBLANK('Measured Data'!I10),"",'Measured Data'!I10)</f>
        <v>1.0747341887436646E-2</v>
      </c>
      <c r="J6" s="243">
        <f>IF(ISBLANK('Measured Data'!J10),"",'Measured Data'!J10)</f>
        <v>1.4724472879094703</v>
      </c>
      <c r="K6" s="243">
        <f>IF(ISBLANK('Measured Data'!K10),"",'Measured Data'!K10)</f>
        <v>99.270103454589844</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327</v>
      </c>
      <c r="S6" s="238" t="str">
        <f>IF(ISBLANK('Measured Data'!S10),"",'Measured Data'!S10)</f>
        <v/>
      </c>
      <c r="T6" s="243">
        <f>IF(ISBLANK('Measured Data'!U10),"",'Measured Data'!U10)</f>
        <v>0.10299999999999999</v>
      </c>
      <c r="U6" s="243">
        <f>IF(ISBLANK('Measured Data'!V10),"",'Measured Data'!V10)</f>
        <v>1.6379999999999999</v>
      </c>
      <c r="V6" s="243">
        <f>IF(ISBLANK('Measured Data'!W10),"",'Measured Data'!W10)</f>
        <v>4.3479999999999999</v>
      </c>
      <c r="W6" s="243">
        <f>IF(ISBLANK('Measured Data'!X10),"",'Measured Data'!X10)</f>
        <v>1.671</v>
      </c>
      <c r="X6" s="243">
        <f>IF(ISBLANK('Measured Data'!Y10),"",'Measured Data'!Y10)</f>
        <v>0.94299999999999995</v>
      </c>
      <c r="Y6" s="243">
        <f>IF(ISBLANK('Measured Data'!Z10),"",'Measured Data'!Z10)</f>
        <v>28.75285863362863</v>
      </c>
      <c r="Z6" s="243">
        <f>IF(ISBLANK('Measured Data'!AA10),"",'Measured Data'!AA10)</f>
        <v>0.36599999999999999</v>
      </c>
      <c r="AA6" s="243">
        <f>IF(ISBLANK('Measured Data'!AB10),"",'Measured Data'!AB10)</f>
        <v>2.2280000000000002</v>
      </c>
      <c r="AB6" s="243" t="str">
        <f>IF(ISBLANK('Measured Data'!AC10),"",'Measured Data'!AC10)</f>
        <v/>
      </c>
      <c r="AC6" s="243" t="str">
        <f>IF(ISBLANK('Measured Data'!AD10),"",'Measured Data'!AD10)</f>
        <v/>
      </c>
      <c r="AD6" s="243" t="str">
        <f>IF(ISBLANK('Measured Data'!AE10),"",'Measured Data'!AE10)</f>
        <v/>
      </c>
      <c r="AE6" s="243">
        <f>IF(ISBLANK('Measured Data'!AF10),"",'Measured Data'!AF10)</f>
        <v>3.8854351687388986</v>
      </c>
      <c r="AF6" s="243" t="str">
        <f>IF(ISBLANK('Measured Data'!AG10),"",'Measured Data'!AG10)</f>
        <v/>
      </c>
      <c r="AG6" s="243" t="str">
        <f>IF(ISBLANK('Measured Data'!AH10),"",'Measured Data'!AH10)</f>
        <v/>
      </c>
      <c r="AH6" s="243" t="str">
        <f>IF(ISBLANK('Measured Data'!AI10),"",'Measured Data'!AI10)</f>
        <v/>
      </c>
      <c r="AI6" s="243" t="str">
        <f>IF(ISBLANK('Measured Data'!AJ10),"",'Measured Data'!AJ10)</f>
        <v/>
      </c>
      <c r="AJ6" s="243" t="str">
        <f>IF(ISBLANK('Measured Data'!AK10),"",'Measured Data'!AK10)</f>
        <v/>
      </c>
      <c r="AK6" s="243" t="str">
        <f>IF(ISBLANK('Measured Data'!AL10),"",'Measured Data'!AL10)</f>
        <v/>
      </c>
      <c r="AL6" s="243" t="str">
        <f>IF(ISBLANK('Measured Data'!AM10),"",'Measured Data'!AM10)</f>
        <v/>
      </c>
      <c r="AM6" s="243" t="str">
        <f>IF(ISBLANK('Measured Data'!AN10),"",'Measured Data'!AN10)</f>
        <v/>
      </c>
      <c r="AN6" s="243" t="str">
        <f>IF(ISBLANK('Measured Data'!AO10),"",'Measured Data'!AO10)</f>
        <v/>
      </c>
      <c r="AO6" s="243" t="str">
        <f>IF(ISBLANK('Measured Data'!AP10),"",'Measured Data'!AP10)</f>
        <v/>
      </c>
      <c r="AP6" s="243" t="str">
        <f>IF(ISBLANK('Measured Data'!AQ10),"",'Measured Data'!AQ10)</f>
        <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2.95</v>
      </c>
      <c r="BO6" s="238">
        <f>IF(ISBLANK('In Process Calc.'!C6),"",ROUND('In Process Calc.'!C6,2))</f>
        <v>70.88</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2239.049098737335</v>
      </c>
      <c r="BV6" s="243">
        <f>IF(ISBLANK('In Process Calc.'!M6),"",'In Process Calc.'!M6)</f>
        <v>0</v>
      </c>
      <c r="BW6" s="243">
        <f>IF(ISBLANK('In Process Calc.'!N6),"",'In Process Calc.'!N6)</f>
        <v>0</v>
      </c>
      <c r="BX6" s="243">
        <f>IF(ISBLANK('In Process Calc.'!O6),"",'In Process Calc.'!O6)</f>
        <v>-7.9062999999999994E-2</v>
      </c>
      <c r="BY6" s="243">
        <f>IF(ISBLANK('In Process Calc.'!P6),"",'In Process Calc.'!P6)</f>
        <v>0.6113519999999999</v>
      </c>
      <c r="BZ6" s="243">
        <f>IF(ISBLANK('In Process Calc.'!Q6),"",'In Process Calc.'!Q6)</f>
        <v>3.0061669999999996</v>
      </c>
      <c r="CA6" s="243">
        <f>IF(ISBLANK('In Process Calc.'!R6),"",'In Process Calc.'!R6)</f>
        <v>0.15276899999999977</v>
      </c>
      <c r="CB6" s="243">
        <f>IF(ISBLANK('In Process Calc.'!S6),"",'In Process Calc.'!S6)</f>
        <v>0.19689200000000007</v>
      </c>
      <c r="CC6" s="243">
        <f>IF(ISBLANK('In Process Calc.'!T6),"",'In Process Calc.'!T6)</f>
        <v>5.7751611128562113</v>
      </c>
      <c r="CD6" s="243">
        <f>IF(ISBLANK('In Process Calc.'!U6),"",'In Process Calc.'!U6)</f>
        <v>-0.686616</v>
      </c>
      <c r="CE6" s="243">
        <f>IF(ISBLANK('In Process Calc.'!V6),"",'In Process Calc.'!V6)</f>
        <v>0.1856319999999996</v>
      </c>
      <c r="CF6" s="243">
        <f>IF(ISBLANK('In Process Calc.'!W6),"",'In Process Calc.'!W6)</f>
        <v>0</v>
      </c>
      <c r="CG6" s="243">
        <f>IF(ISBLANK('In Process Calc.'!X6),"",'In Process Calc.'!X6)</f>
        <v>0</v>
      </c>
      <c r="CH6" s="243">
        <f>IF(ISBLANK('In Process Calc.'!Y6),"",'In Process Calc.'!Y6)</f>
        <v>0</v>
      </c>
      <c r="CI6" s="243">
        <f>IF(ISBLANK('In Process Calc.'!Z6),"",'In Process Calc.'!Z6)</f>
        <v>5.3557948490230913</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7.7376319999999978</v>
      </c>
      <c r="CW6" s="243">
        <f>IF(ISBLANK('In Process Calc.'!AN6),"",'In Process Calc.'!AN6)</f>
        <v>7.6585689999999982</v>
      </c>
      <c r="CX6" s="243">
        <f>IF(ISBLANK('In Process Calc.'!AO6),"",'In Process Calc.'!AO6)</f>
        <v>15.217476999999995</v>
      </c>
      <c r="CY6" s="243">
        <f>IF(ISBLANK('In Process Calc.'!AP6),"",'In Process Calc.'!AP6)</f>
        <v>0</v>
      </c>
      <c r="CZ6" s="243">
        <f>IF(ISBLANK('In Process Calc.'!AQ6),"",'In Process Calc.'!AQ6)</f>
        <v>0</v>
      </c>
      <c r="DA6" s="243">
        <f>IF(ISBLANK('In Process Calc.'!AR6),"",'In Process Calc.'!AR6)</f>
        <v>2.4369698596641922E-2</v>
      </c>
      <c r="DB6" s="243">
        <f>IF(ISBLANK('In Process Calc.'!AS6),"",'In Process Calc.'!AS6)</f>
        <v>2.4361174541124284E-2</v>
      </c>
      <c r="DC6" s="243">
        <f>IF(ISBLANK('In Process Calc.'!AT6),"",'In Process Calc.'!AT6)</f>
        <v>-8.5240555176368779E-6</v>
      </c>
      <c r="DD6" s="243">
        <f>IF(ISBLANK('In Process Calc.'!AU6),"",'In Process Calc.'!AU6)</f>
        <v>0</v>
      </c>
      <c r="DE6" s="243">
        <f>IF(ISBLANK('In Process Calc.'!AV6),"",'In Process Calc.'!AV6)</f>
        <v>-1.3939300641271639E-3</v>
      </c>
      <c r="DF6" s="243">
        <f>IF(ISBLANK('In Process Calc.'!AW6),"",'In Process Calc.'!AW6)</f>
        <v>6.2526740551706681E-3</v>
      </c>
      <c r="DG6" s="243">
        <f>IF(ISBLANK('In Process Calc.'!AX6),"",'In Process Calc.'!AX6)</f>
        <v>3.8994376779993484E-2</v>
      </c>
      <c r="DH6" s="243">
        <f>IF(ISBLANK('In Process Calc.'!AY6),"",'In Process Calc.'!AY6)</f>
        <v>2.4563634114720544E-3</v>
      </c>
      <c r="DI6" s="243">
        <f>IF(ISBLANK('In Process Calc.'!AZ6),"",'In Process Calc.'!AZ6)</f>
        <v>3.9874189552549892E-3</v>
      </c>
      <c r="DJ6" s="243">
        <f>IF(ISBLANK('In Process Calc.'!BA6),"",'In Process Calc.'!BA6)</f>
        <v>0.10113035026121092</v>
      </c>
      <c r="DK6" s="243">
        <f>IF(ISBLANK('In Process Calc.'!BB6),"",'In Process Calc.'!BB6)</f>
        <v>-3.3608339886532766E-3</v>
      </c>
      <c r="DL6" s="243">
        <f>IF(ISBLANK('In Process Calc.'!BC6),"",'In Process Calc.'!BC6)</f>
        <v>2.3178542861631551E-3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0.10364548839212612</v>
      </c>
      <c r="ED6" s="243">
        <f>IF(ISBLANK('In Process Calc.'!BU6),"",'In Process Calc.'!BU6)</f>
        <v>0.10503941845625328</v>
      </c>
      <c r="EE6" s="243">
        <f>IF(ISBLANK('In Process Calc.'!BV6),"",'In Process Calc.'!BV6)</f>
        <v>0.217846830123584</v>
      </c>
      <c r="EF6" s="243">
        <f>IF(ISBLANK('In Process Calc.'!BW6),"",'In Process Calc.'!BW6)</f>
        <v>0.23883279025923188</v>
      </c>
      <c r="EG6" s="243">
        <f>IF(ISBLANK('In Process Calc.'!BX6),"",'In Process Calc.'!BX6)</f>
        <v>0.33900074264965052</v>
      </c>
      <c r="EH6" s="243">
        <f>IF(ISBLANK('In Process Calc.'!BY6),"",'In Process Calc.'!BY6)</f>
        <v>0</v>
      </c>
      <c r="EI6" s="243">
        <f>IF(ISBLANK('In Process Calc.'!BZ6),"",'In Process Calc.'!BZ6)</f>
        <v>-3.3232694042614648E-2</v>
      </c>
      <c r="EJ6" s="243">
        <f>IF(ISBLANK('In Process Calc.'!CA6),"",'In Process Calc.'!CA6)</f>
        <v>0</v>
      </c>
      <c r="EK6" s="243">
        <f>IF(ISBLANK('Post Process Calc.'!A6),"",'Post Process Calc.'!A6)</f>
        <v>1.4616999460220337</v>
      </c>
      <c r="EL6" s="243">
        <f>IF(ISBLANK('Post Process Calc.'!C6),"",'Post Process Calc.'!C6)</f>
        <v>2.4511890413168775E-2</v>
      </c>
      <c r="EM6" s="243">
        <f>IF(ISBLANK('Post Process Calc.'!D6),"",'Post Process Calc.'!D6)</f>
        <v>0</v>
      </c>
      <c r="EN6" s="243">
        <f>IF(ISBLANK('Post Process Calc.'!E6),"",'Post Process Calc.'!E6)</f>
        <v>2.3486089279641473</v>
      </c>
      <c r="EO6" s="243">
        <f>IF(ISBLANK('Post Process Calc.'!F6),"",'Post Process Calc.'!F6)</f>
        <v>-2.6847456486202868E-2</v>
      </c>
      <c r="EP6" s="243">
        <f>IF(ISBLANK('Post Process Calc.'!G6),"",'Post Process Calc.'!G6)</f>
        <v>-4.7538692755013543E-3</v>
      </c>
      <c r="EQ6" s="243">
        <f>IF(ISBLANK('Post Process Calc.'!H6),"",'Post Process Calc.'!H6)</f>
        <v>-1.062236925422217E-3</v>
      </c>
      <c r="ER6" s="243">
        <f>IF(ISBLANK('Post Process Calc.'!I6),"",'Post Process Calc.'!I6)</f>
        <v>-1.5863210389686681E-2</v>
      </c>
      <c r="ES6" s="243">
        <f>IF(ISBLANK('Post Process Calc.'!J6),"",'Post Process Calc.'!J6)</f>
        <v>4.502982344180971E-3</v>
      </c>
      <c r="ET6" s="243">
        <f>IF(ISBLANK('Post Process Calc.'!K6),"",'Post Process Calc.'!K6)</f>
        <v>8.6970115367674058E-2</v>
      </c>
      <c r="EU6" s="243">
        <f>IF(ISBLANK('Post Process Calc.'!L6),"",'Post Process Calc.'!L6)</f>
        <v>-4.9202861570126263E-3</v>
      </c>
      <c r="EV6" s="243">
        <f>IF(ISBLANK('Post Process Calc.'!M6),"",'Post Process Calc.'!M6)</f>
        <v>-0.10324256382109183</v>
      </c>
      <c r="EW6" s="243">
        <f>IF(ISBLANK('Post Process Calc.'!N6),"",'Post Process Calc.'!N6)</f>
        <v>0</v>
      </c>
      <c r="EX6" s="243">
        <f>IF(ISBLANK('Post Process Calc.'!O6),"",'Post Process Calc.'!O6)</f>
        <v>0</v>
      </c>
      <c r="EY6" s="243">
        <f>IF(ISBLANK('Post Process Calc.'!P6),"",'Post Process Calc.'!P6)</f>
        <v>0</v>
      </c>
      <c r="EZ6" s="243">
        <f>IF(ISBLANK('Post Process Calc.'!Q6),"",'Post Process Calc.'!Q6)</f>
        <v>5.1533007128908959E-2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-0.18445809115277201</v>
      </c>
      <c r="FN6" s="243">
        <f>IF(ISBLANK('Post Process Calc.'!AE6),"",'Post Process Calc.'!AE6)</f>
        <v>-0.21130554763897488</v>
      </c>
      <c r="FO6" s="243">
        <f>IF(ISBLANK('Post Process Calc.'!AF6),"",'Post Process Calc.'!AF6)</f>
        <v>-0.55471494879952321</v>
      </c>
      <c r="FP6" s="243">
        <f>IF(ISBLANK('Post Process Calc.'!AG6),"",'Post Process Calc.'!AG6)</f>
        <v>0.59253695261928185</v>
      </c>
      <c r="FQ6" s="243">
        <f>IF(ISBLANK('Post Process Calc.'!AH6),"",'Post Process Calc.'!AH6)</f>
        <v>0</v>
      </c>
      <c r="FR6" s="243">
        <f>IF(ISBLANK('Post Process Calc.'!AI6),"",'Post Process Calc.'!AI6)</f>
        <v>-5.6574446707488769E-2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3.97</v>
      </c>
      <c r="BO7" s="238">
        <f>IF(ISBLANK('In Process Calc.'!C7),"",ROUND('In Process Calc.'!C7,2))</f>
        <v>95.37</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4586.7349957405095</v>
      </c>
      <c r="BV7" s="243">
        <f>IF(ISBLANK('In Process Calc.'!M7),"",'In Process Calc.'!M7)</f>
        <v>0</v>
      </c>
      <c r="BW7" s="243">
        <f>IF(ISBLANK('In Process Calc.'!N7),"",'In Process Calc.'!N7)</f>
        <v>47.362449999999995</v>
      </c>
      <c r="BX7" s="243">
        <f>IF(ISBLANK('In Process Calc.'!O7),"",'In Process Calc.'!O7)</f>
        <v>-0.39761000000000002</v>
      </c>
      <c r="BY7" s="243">
        <f>IF(ISBLANK('In Process Calc.'!P7),"",'In Process Calc.'!P7)</f>
        <v>-7.4980000000000491E-2</v>
      </c>
      <c r="BZ7" s="243">
        <f>IF(ISBLANK('In Process Calc.'!Q7),"",'In Process Calc.'!Q7)</f>
        <v>0.75444199999999917</v>
      </c>
      <c r="CA7" s="243">
        <f>IF(ISBLANK('In Process Calc.'!R7),"",'In Process Calc.'!R7)</f>
        <v>0.23180300000000031</v>
      </c>
      <c r="CB7" s="243">
        <f>IF(ISBLANK('In Process Calc.'!S7),"",'In Process Calc.'!S7)</f>
        <v>0.35433400000000004</v>
      </c>
      <c r="CC7" s="243">
        <f>IF(ISBLANK('In Process Calc.'!T7),"",'In Process Calc.'!T7)</f>
        <v>8.3995945045974914</v>
      </c>
      <c r="CD7" s="243">
        <f>IF(ISBLANK('In Process Calc.'!U7),"",'In Process Calc.'!U7)</f>
        <v>-1.2431480000000001</v>
      </c>
      <c r="CE7" s="243">
        <f>IF(ISBLANK('In Process Calc.'!V7),"",'In Process Calc.'!V7)</f>
        <v>-7.5766770000000001</v>
      </c>
      <c r="CF7" s="243">
        <f>IF(ISBLANK('In Process Calc.'!W7),"",'In Process Calc.'!W7)</f>
        <v>0</v>
      </c>
      <c r="CG7" s="243">
        <f>IF(ISBLANK('In Process Calc.'!X7),"",'In Process Calc.'!X7)</f>
        <v>0</v>
      </c>
      <c r="CH7" s="243">
        <f>IF(ISBLANK('In Process Calc.'!Y7),"",'In Process Calc.'!Y7)</f>
        <v>0</v>
      </c>
      <c r="CI7" s="243">
        <f>IF(ISBLANK('In Process Calc.'!Z7),"",'In Process Calc.'!Z7)</f>
        <v>8.3964253996447624</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-8.3111480000000029</v>
      </c>
      <c r="CW7" s="243">
        <f>IF(ISBLANK('In Process Calc.'!AN7),"",'In Process Calc.'!AN7)</f>
        <v>-8.7087580000000031</v>
      </c>
      <c r="CX7" s="243">
        <f>IF(ISBLANK('In Process Calc.'!AO7),"",'In Process Calc.'!AO7)</f>
        <v>-37.285191000000012</v>
      </c>
      <c r="CY7" s="243">
        <f>IF(ISBLANK('In Process Calc.'!AP7),"",'In Process Calc.'!AP7)</f>
        <v>0</v>
      </c>
      <c r="CZ7" s="243">
        <f>IF(ISBLANK('In Process Calc.'!AQ7),"",'In Process Calc.'!AQ7)</f>
        <v>0</v>
      </c>
      <c r="DA7" s="243">
        <f>IF(ISBLANK('In Process Calc.'!AR7),"",'In Process Calc.'!AR7)</f>
        <v>2.4486552505076642E-2</v>
      </c>
      <c r="DB7" s="243">
        <f>IF(ISBLANK('In Process Calc.'!AS7),"",'In Process Calc.'!AS7)</f>
        <v>2.4872307264792629E-2</v>
      </c>
      <c r="DC7" s="243">
        <f>IF(ISBLANK('In Process Calc.'!AT7),"",'In Process Calc.'!AT7)</f>
        <v>3.8575475971598731E-4</v>
      </c>
      <c r="DD7" s="243">
        <f>IF(ISBLANK('In Process Calc.'!AU7),"",'In Process Calc.'!AU7)</f>
        <v>0.49399415832181015</v>
      </c>
      <c r="DE7" s="243">
        <f>IF(ISBLANK('In Process Calc.'!AV7),"",'In Process Calc.'!AV7)</f>
        <v>-3.3224708002001098E-3</v>
      </c>
      <c r="DF7" s="243">
        <f>IF(ISBLANK('In Process Calc.'!AW7),"",'In Process Calc.'!AW7)</f>
        <v>-7.1584978958927339E-3</v>
      </c>
      <c r="DG7" s="243">
        <f>IF(ISBLANK('In Process Calc.'!AX7),"",'In Process Calc.'!AX7)</f>
        <v>-2.3485672640397155E-2</v>
      </c>
      <c r="DH7" s="243">
        <f>IF(ISBLANK('In Process Calc.'!AY7),"",'In Process Calc.'!AY7)</f>
        <v>8.2433096912862866E-4</v>
      </c>
      <c r="DI7" s="243">
        <f>IF(ISBLANK('In Process Calc.'!AZ7),"",'In Process Calc.'!AZ7)</f>
        <v>1.6421327079680723E-3</v>
      </c>
      <c r="DJ7" s="243">
        <f>IF(ISBLANK('In Process Calc.'!BA7),"",'In Process Calc.'!BA7)</f>
        <v>7.9511007546199414E-2</v>
      </c>
      <c r="DK7" s="243">
        <f>IF(ISBLANK('In Process Calc.'!BB7),"",'In Process Calc.'!BB7)</f>
        <v>-5.8046734685210282E-3</v>
      </c>
      <c r="DL7" s="243">
        <f>IF(ISBLANK('In Process Calc.'!BC7),"",'In Process Calc.'!BC7)</f>
        <v>-8.0961506448437789E-2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-0.1690321973729485</v>
      </c>
      <c r="ED7" s="243">
        <f>IF(ISBLANK('In Process Calc.'!BU7),"",'In Process Calc.'!BU7)</f>
        <v>-0.16570972657274838</v>
      </c>
      <c r="EE7" s="243">
        <f>IF(ISBLANK('In Process Calc.'!BV7),"",'In Process Calc.'!BV7)</f>
        <v>-0.56754186979801646</v>
      </c>
      <c r="EF7" s="243">
        <f>IF(ISBLANK('In Process Calc.'!BW7),"",'In Process Calc.'!BW7)</f>
        <v>1.3150120124322928E-2</v>
      </c>
      <c r="EG7" s="243">
        <f>IF(ISBLANK('In Process Calc.'!BX7),"",'In Process Calc.'!BX7)</f>
        <v>0.49867274933927114</v>
      </c>
      <c r="EH7" s="243">
        <f>IF(ISBLANK('In Process Calc.'!BY7),"",'In Process Calc.'!BY7)</f>
        <v>0</v>
      </c>
      <c r="EI7" s="243">
        <f>IF(ISBLANK('In Process Calc.'!BZ7),"",'In Process Calc.'!BZ7)</f>
        <v>-7.3004652408011003E-2</v>
      </c>
      <c r="EJ7" s="243">
        <f>IF(ISBLANK('In Process Calc.'!CA7),"",'In Process Calc.'!CA7)</f>
        <v>0</v>
      </c>
      <c r="EK7" s="243">
        <f>IF(ISBLANK('Post Process Calc.'!A7),"",'Post Process Calc.'!A7)</f>
        <v>2.7349999977111819</v>
      </c>
      <c r="EL7" s="243">
        <f>IF(ISBLANK('Post Process Calc.'!C7),"",'Post Process Calc.'!C7)</f>
        <v>2.2630896243082663E-2</v>
      </c>
      <c r="EM7" s="243">
        <f>IF(ISBLANK('Post Process Calc.'!D7),"",'Post Process Calc.'!D7)</f>
        <v>0</v>
      </c>
      <c r="EN7" s="243">
        <f>IF(ISBLANK('Post Process Calc.'!E7),"",'Post Process Calc.'!E7)</f>
        <v>3.3385959438154305</v>
      </c>
      <c r="EO7" s="243">
        <f>IF(ISBLANK('Post Process Calc.'!F7),"",'Post Process Calc.'!F7)</f>
        <v>-2.5371969818058906E-2</v>
      </c>
      <c r="EP7" s="243">
        <f>IF(ISBLANK('Post Process Calc.'!G7),"",'Post Process Calc.'!G7)</f>
        <v>-2.424094763239769E-3</v>
      </c>
      <c r="EQ7" s="243">
        <f>IF(ISBLANK('Post Process Calc.'!H7),"",'Post Process Calc.'!H7)</f>
        <v>2.5607790631026299E-3</v>
      </c>
      <c r="ER7" s="243">
        <f>IF(ISBLANK('Post Process Calc.'!I7),"",'Post Process Calc.'!I7)</f>
        <v>-1.1674545885499031E-2</v>
      </c>
      <c r="ES7" s="243">
        <f>IF(ISBLANK('Post Process Calc.'!J7),"",'Post Process Calc.'!J7)</f>
        <v>3.321676135659864E-3</v>
      </c>
      <c r="ET7" s="243">
        <f>IF(ISBLANK('Post Process Calc.'!K7),"",'Post Process Calc.'!K7)</f>
        <v>7.1657987708768633E-2</v>
      </c>
      <c r="EU7" s="243">
        <f>IF(ISBLANK('Post Process Calc.'!L7),"",'Post Process Calc.'!L7)</f>
        <v>-8.0897615215411237E-3</v>
      </c>
      <c r="EV7" s="243">
        <f>IF(ISBLANK('Post Process Calc.'!M7),"",'Post Process Calc.'!M7)</f>
        <v>-4.7970594474886691E-2</v>
      </c>
      <c r="EW7" s="243">
        <f>IF(ISBLANK('Post Process Calc.'!N7),"",'Post Process Calc.'!N7)</f>
        <v>0</v>
      </c>
      <c r="EX7" s="243">
        <f>IF(ISBLANK('Post Process Calc.'!O7),"",'Post Process Calc.'!O7)</f>
        <v>0</v>
      </c>
      <c r="EY7" s="243">
        <f>IF(ISBLANK('Post Process Calc.'!P7),"",'Post Process Calc.'!P7)</f>
        <v>0</v>
      </c>
      <c r="EZ7" s="243">
        <f>IF(ISBLANK('Post Process Calc.'!Q7),"",'Post Process Calc.'!Q7)</f>
        <v>3.2183198605669025E-2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-8.7053760488360749E-2</v>
      </c>
      <c r="FN7" s="243">
        <f>IF(ISBLANK('Post Process Calc.'!AE7),"",'Post Process Calc.'!AE7)</f>
        <v>-0.11242573030641966</v>
      </c>
      <c r="FO7" s="243">
        <f>IF(ISBLANK('Post Process Calc.'!AF7),"",'Post Process Calc.'!AF7)</f>
        <v>-0.2000997159789438</v>
      </c>
      <c r="FP7" s="243">
        <f>IF(ISBLANK('Post Process Calc.'!AG7),"",'Post Process Calc.'!AG7)</f>
        <v>0.44912227700933383</v>
      </c>
      <c r="FQ7" s="243">
        <f>IF(ISBLANK('Post Process Calc.'!AH7),"",'Post Process Calc.'!AH7)</f>
        <v>0</v>
      </c>
      <c r="FR7" s="243">
        <f>IF(ISBLANK('Post Process Calc.'!AI7),"",'Post Process Calc.'!AI7)</f>
        <v>-0.11289406499132262</v>
      </c>
      <c r="FS7" s="243">
        <f>IF(ISBLANK('Post Process Calc.'!AJ7),"",'Post Process Calc.'!AJ7)</f>
        <v>0</v>
      </c>
    </row>
    <row r="8" spans="1:175">
      <c r="A8" s="238" t="str">
        <f>IF('Measured Data'!B11&lt;&gt;0,'Measured Data'!$B$1,"")</f>
        <v>XB52</v>
      </c>
      <c r="B8" s="238">
        <f>IF(ISBLANK('Measured Data'!A11),"",'Measured Data'!A11)</f>
        <v>4</v>
      </c>
      <c r="C8" s="245">
        <f>IF(ISBLANK('Measured Data'!B11),"",'Measured Data'!B11)</f>
        <v>3.9736111111124046</v>
      </c>
      <c r="D8" s="246">
        <f>IF(ISBLANK('Measured Data'!C11),"",'Measured Data'!C11)</f>
        <v>95.366666666697711</v>
      </c>
      <c r="E8" s="238">
        <f>IF(ISBLANK('Measured Data'!D11),"",'Measured Data'!D11)</f>
        <v>20</v>
      </c>
      <c r="F8" s="238" t="str">
        <f>IF(ISBLANK('Measured Data'!E12),"",'Measured Data'!E12)</f>
        <v/>
      </c>
      <c r="G8" s="238" t="str">
        <f>IF(ISBLANK('Measured Data'!G11),"",'Measured Data'!G11)</f>
        <v/>
      </c>
      <c r="H8" s="243">
        <f>IF(ISBLANK('Measured Data'!H11),"",'Measured Data'!H11)</f>
        <v>2.7349999977111819</v>
      </c>
      <c r="I8" s="243">
        <f>IF(ISBLANK('Measured Data'!I11),"",'Measured Data'!I11)</f>
        <v>3.0707600483526498E-2</v>
      </c>
      <c r="J8" s="243">
        <f>IF(ISBLANK('Measured Data'!J11),"",'Measured Data'!J11)</f>
        <v>2.7657075981947083</v>
      </c>
      <c r="K8" s="243">
        <f>IF(ISBLANK('Measured Data'!K11),"",'Measured Data'!K11)</f>
        <v>98.889701843261719</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352</v>
      </c>
      <c r="S8" s="238">
        <f>IF(ISBLANK('Measured Data'!S11),"",'Measured Data'!S11)</f>
        <v>25.45</v>
      </c>
      <c r="T8" s="243">
        <f>IF(ISBLANK('Measured Data'!U11),"",'Measured Data'!U11)</f>
        <v>0.27500000000000002</v>
      </c>
      <c r="U8" s="243">
        <f>IF(ISBLANK('Measured Data'!V11),"",'Measured Data'!V11)</f>
        <v>2.02</v>
      </c>
      <c r="V8" s="243">
        <f>IF(ISBLANK('Measured Data'!W11),"",'Measured Data'!W11)</f>
        <v>5.593</v>
      </c>
      <c r="W8" s="243">
        <f>IF(ISBLANK('Measured Data'!X11),"",'Measured Data'!X11)</f>
        <v>1.6419999999999999</v>
      </c>
      <c r="X8" s="243">
        <f>IF(ISBLANK('Measured Data'!Y11),"",'Measured Data'!Y11)</f>
        <v>0.86599999999999999</v>
      </c>
      <c r="Y8" s="243">
        <f>IF(ISBLANK('Measured Data'!Z11),"",'Measured Data'!Z11)</f>
        <v>32.860409867004151</v>
      </c>
      <c r="Z8" s="243">
        <f>IF(ISBLANK('Measured Data'!AA11),"",'Measured Data'!AA11)</f>
        <v>0.66800000000000004</v>
      </c>
      <c r="AA8" s="243">
        <f>IF(ISBLANK('Measured Data'!AB11),"",'Measured Data'!AB11)</f>
        <v>6.4169999999999998</v>
      </c>
      <c r="AB8" s="243" t="str">
        <f>IF(ISBLANK('Measured Data'!AC11),"",'Measured Data'!AC11)</f>
        <v/>
      </c>
      <c r="AC8" s="243" t="str">
        <f>IF(ISBLANK('Measured Data'!AD11),"",'Measured Data'!AD11)</f>
        <v/>
      </c>
      <c r="AD8" s="243" t="str">
        <f>IF(ISBLANK('Measured Data'!AE11),"",'Measured Data'!AE11)</f>
        <v/>
      </c>
      <c r="AE8" s="243">
        <f>IF(ISBLANK('Measured Data'!AF11),"",'Measured Data'!AF11)</f>
        <v>5.5506216696269988</v>
      </c>
      <c r="AF8" s="243" t="str">
        <f>IF(ISBLANK('Measured Data'!AG11),"",'Measured Data'!AG11)</f>
        <v/>
      </c>
      <c r="AG8" s="243" t="str">
        <f>IF(ISBLANK('Measured Data'!AH11),"",'Measured Data'!AH11)</f>
        <v/>
      </c>
      <c r="AH8" s="243" t="str">
        <f>IF(ISBLANK('Measured Data'!AI11),"",'Measured Data'!AI11)</f>
        <v/>
      </c>
      <c r="AI8" s="243" t="str">
        <f>IF(ISBLANK('Measured Data'!AJ11),"",'Measured Data'!AJ11)</f>
        <v/>
      </c>
      <c r="AJ8" s="243" t="str">
        <f>IF(ISBLANK('Measured Data'!AK11),"",'Measured Data'!AK11)</f>
        <v/>
      </c>
      <c r="AK8" s="243" t="str">
        <f>IF(ISBLANK('Measured Data'!AL11),"",'Measured Data'!AL11)</f>
        <v/>
      </c>
      <c r="AL8" s="243" t="str">
        <f>IF(ISBLANK('Measured Data'!AM11),"",'Measured Data'!AM11)</f>
        <v/>
      </c>
      <c r="AM8" s="243" t="str">
        <f>IF(ISBLANK('Measured Data'!AN11),"",'Measured Data'!AN11)</f>
        <v/>
      </c>
      <c r="AN8" s="243" t="str">
        <f>IF(ISBLANK('Measured Data'!AO11),"",'Measured Data'!AO11)</f>
        <v/>
      </c>
      <c r="AO8" s="243" t="str">
        <f>IF(ISBLANK('Measured Data'!AP11),"",'Measured Data'!AP11)</f>
        <v/>
      </c>
      <c r="AP8" s="243" t="str">
        <f>IF(ISBLANK('Measured Data'!AQ11),"",'Measured Data'!AQ11)</f>
        <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7069.4026378343078</v>
      </c>
      <c r="BV8" s="243">
        <f>IF(ISBLANK('In Process Calc.'!M8),"",'In Process Calc.'!M8)</f>
        <v>0</v>
      </c>
      <c r="BW8" s="243">
        <f>IF(ISBLANK('In Process Calc.'!N8),"",'In Process Calc.'!N8)</f>
        <v>154.21757481481481</v>
      </c>
      <c r="BX8" s="243">
        <f>IF(ISBLANK('In Process Calc.'!O8),"",'In Process Calc.'!O8)</f>
        <v>-1.0074514074074075</v>
      </c>
      <c r="BY8" s="243">
        <f>IF(ISBLANK('In Process Calc.'!P8),"",'In Process Calc.'!P8)</f>
        <v>-0.85278262962962981</v>
      </c>
      <c r="BZ8" s="243">
        <f>IF(ISBLANK('In Process Calc.'!Q8),"",'In Process Calc.'!Q8)</f>
        <v>-0.9669200370370381</v>
      </c>
      <c r="CA8" s="243">
        <f>IF(ISBLANK('In Process Calc.'!R8),"",'In Process Calc.'!R8)</f>
        <v>2.008481481481475E-2</v>
      </c>
      <c r="CB8" s="243">
        <f>IF(ISBLANK('In Process Calc.'!S8),"",'In Process Calc.'!S8)</f>
        <v>0.51104188888888891</v>
      </c>
      <c r="CC8" s="243">
        <f>IF(ISBLANK('In Process Calc.'!T8),"",'In Process Calc.'!T8)</f>
        <v>13.105289423155925</v>
      </c>
      <c r="CD8" s="243">
        <f>IF(ISBLANK('In Process Calc.'!U8),"",'In Process Calc.'!U8)</f>
        <v>-1.8837163703703705</v>
      </c>
      <c r="CE8" s="243">
        <f>IF(ISBLANK('In Process Calc.'!V8),"",'In Process Calc.'!V8)</f>
        <v>-13.325845037037038</v>
      </c>
      <c r="CF8" s="243">
        <f>IF(ISBLANK('In Process Calc.'!W8),"",'In Process Calc.'!W8)</f>
        <v>0</v>
      </c>
      <c r="CG8" s="243">
        <f>IF(ISBLANK('In Process Calc.'!X8),"",'In Process Calc.'!X8)</f>
        <v>0</v>
      </c>
      <c r="CH8" s="243">
        <f>IF(ISBLANK('In Process Calc.'!Y8),"",'In Process Calc.'!Y8)</f>
        <v>0</v>
      </c>
      <c r="CI8" s="243">
        <f>IF(ISBLANK('In Process Calc.'!Z8),"",'In Process Calc.'!Z8)</f>
        <v>11.578185645681208</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-22.403531185185187</v>
      </c>
      <c r="CW8" s="243">
        <f>IF(ISBLANK('In Process Calc.'!AN8),"",'In Process Calc.'!AN8)</f>
        <v>-23.410982592592596</v>
      </c>
      <c r="CX8" s="243">
        <f>IF(ISBLANK('In Process Calc.'!AO8),"",'In Process Calc.'!AO8)</f>
        <v>-78.863238148148156</v>
      </c>
      <c r="CY8" s="243">
        <f>IF(ISBLANK('In Process Calc.'!AP8),"",'In Process Calc.'!AP8)</f>
        <v>0</v>
      </c>
      <c r="CZ8" s="243">
        <f>IF(ISBLANK('In Process Calc.'!AQ8),"",'In Process Calc.'!AQ8)</f>
        <v>0</v>
      </c>
      <c r="DA8" s="243">
        <f>IF(ISBLANK('In Process Calc.'!AR8),"",'In Process Calc.'!AR8)</f>
        <v>1.9190905646858589E-2</v>
      </c>
      <c r="DB8" s="243">
        <f>IF(ISBLANK('In Process Calc.'!AS8),"",'In Process Calc.'!AS8)</f>
        <v>1.9186203612854853E-2</v>
      </c>
      <c r="DC8" s="243">
        <f>IF(ISBLANK('In Process Calc.'!AT8),"",'In Process Calc.'!AT8)</f>
        <v>-4.7020340037357869E-6</v>
      </c>
      <c r="DD8" s="243">
        <f>IF(ISBLANK('In Process Calc.'!AU8),"",'In Process Calc.'!AU8)</f>
        <v>0.82598515541732465</v>
      </c>
      <c r="DE8" s="243">
        <f>IF(ISBLANK('In Process Calc.'!AV8),"",'In Process Calc.'!AV8)</f>
        <v>-4.7140457750650599E-3</v>
      </c>
      <c r="DF8" s="243">
        <f>IF(ISBLANK('In Process Calc.'!AW8),"",'In Process Calc.'!AW8)</f>
        <v>-6.0123782273619215E-3</v>
      </c>
      <c r="DG8" s="243">
        <f>IF(ISBLANK('In Process Calc.'!AX8),"",'In Process Calc.'!AX8)</f>
        <v>-1.3306048653778681E-2</v>
      </c>
      <c r="DH8" s="243">
        <f>IF(ISBLANK('In Process Calc.'!AY8),"",'In Process Calc.'!AY8)</f>
        <v>-1.6365717451355588E-3</v>
      </c>
      <c r="DI8" s="243">
        <f>IF(ISBLANK('In Process Calc.'!AZ8),"",'In Process Calc.'!AZ8)</f>
        <v>1.2113447079242369E-3</v>
      </c>
      <c r="DJ8" s="243">
        <f>IF(ISBLANK('In Process Calc.'!BA8),"",'In Process Calc.'!BA8)</f>
        <v>5.4698722786507108E-2</v>
      </c>
      <c r="DK8" s="243">
        <f>IF(ISBLANK('In Process Calc.'!BB8),"",'In Process Calc.'!BB8)</f>
        <v>-4.9515637726571284E-3</v>
      </c>
      <c r="DL8" s="243">
        <f>IF(ISBLANK('In Process Calc.'!BC8),"",'In Process Calc.'!BC8)</f>
        <v>-4.4440802093695844E-2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-0.11014481266829153</v>
      </c>
      <c r="ED8" s="243">
        <f>IF(ISBLANK('In Process Calc.'!BU8),"",'In Process Calc.'!BU8)</f>
        <v>-0.10543076689322647</v>
      </c>
      <c r="EE8" s="243">
        <f>IF(ISBLANK('In Process Calc.'!BV8),"",'In Process Calc.'!BV8)</f>
        <v>-0.34968064936924309</v>
      </c>
      <c r="EF8" s="243">
        <f>IF(ISBLANK('In Process Calc.'!BW8),"",'In Process Calc.'!BW8)</f>
        <v>7.268068247545445E-3</v>
      </c>
      <c r="EG8" s="243">
        <f>IF(ISBLANK('In Process Calc.'!BX8),"",'In Process Calc.'!BX8)</f>
        <v>0.39469790489112777</v>
      </c>
      <c r="EH8" s="243">
        <f>IF(ISBLANK('In Process Calc.'!BY8),"",'In Process Calc.'!BY8)</f>
        <v>0</v>
      </c>
      <c r="EI8" s="243">
        <f>IF(ISBLANK('In Process Calc.'!BZ8),"",'In Process Calc.'!BZ8)</f>
        <v>-9.0524303318441704E-2</v>
      </c>
      <c r="EJ8" s="243">
        <f>IF(ISBLANK('In Process Calc.'!CA8),"",'In Process Calc.'!CA8)</f>
        <v>0</v>
      </c>
      <c r="EK8" s="243">
        <f>IF(ISBLANK('Post Process Calc.'!A8),"",'Post Process Calc.'!A8)</f>
        <v>4.0441001487731931</v>
      </c>
      <c r="EL8" s="243">
        <f>IF(ISBLANK('Post Process Calc.'!C8),"",'Post Process Calc.'!C8)</f>
        <v>2.0268260681068424E-2</v>
      </c>
      <c r="EM8" s="243">
        <f>IF(ISBLANK('Post Process Calc.'!D8),"",'Post Process Calc.'!D8)</f>
        <v>0</v>
      </c>
      <c r="EN8" s="243">
        <f>IF(ISBLANK('Post Process Calc.'!E8),"",'Post Process Calc.'!E8)</f>
        <v>3.3042979171676086</v>
      </c>
      <c r="EO8" s="243">
        <f>IF(ISBLANK('Post Process Calc.'!F8),"",'Post Process Calc.'!F8)</f>
        <v>-2.1232211798841643E-2</v>
      </c>
      <c r="EP8" s="243">
        <f>IF(ISBLANK('Post Process Calc.'!G8),"",'Post Process Calc.'!G8)</f>
        <v>-1.4335126007701579E-3</v>
      </c>
      <c r="EQ8" s="243">
        <f>IF(ISBLANK('Post Process Calc.'!H8),"",'Post Process Calc.'!H8)</f>
        <v>4.1171193990807891E-3</v>
      </c>
      <c r="ER8" s="243">
        <f>IF(ISBLANK('Post Process Calc.'!I8),"",'Post Process Calc.'!I8)</f>
        <v>-7.9029694298539364E-3</v>
      </c>
      <c r="ES8" s="243">
        <f>IF(ISBLANK('Post Process Calc.'!J8),"",'Post Process Calc.'!J8)</f>
        <v>2.5873804463297555E-3</v>
      </c>
      <c r="ET8" s="243">
        <f>IF(ISBLANK('Post Process Calc.'!K8),"",'Post Process Calc.'!K8)</f>
        <v>6.5145019234047877E-2</v>
      </c>
      <c r="EU8" s="243">
        <f>IF(ISBLANK('Post Process Calc.'!L8),"",'Post Process Calc.'!L8)</f>
        <v>-7.7113372375799466E-3</v>
      </c>
      <c r="EV8" s="243">
        <f>IF(ISBLANK('Post Process Calc.'!M8),"",'Post Process Calc.'!M8)</f>
        <v>-2.7279713004821314E-2</v>
      </c>
      <c r="EW8" s="243">
        <f>IF(ISBLANK('Post Process Calc.'!N8),"",'Post Process Calc.'!N8)</f>
        <v>0</v>
      </c>
      <c r="EX8" s="243">
        <f>IF(ISBLANK('Post Process Calc.'!O8),"",'Post Process Calc.'!O8)</f>
        <v>0</v>
      </c>
      <c r="EY8" s="243">
        <f>IF(ISBLANK('Post Process Calc.'!P8),"",'Post Process Calc.'!P8)</f>
        <v>0</v>
      </c>
      <c r="EZ8" s="243">
        <f>IF(ISBLANK('Post Process Calc.'!Q8),"",'Post Process Calc.'!Q8)</f>
        <v>2.1061226621527995E-2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-4.9326766025046154E-2</v>
      </c>
      <c r="FN8" s="243">
        <f>IF(ISBLANK('Post Process Calc.'!AE8),"",'Post Process Calc.'!AE8)</f>
        <v>-7.0558977823887814E-2</v>
      </c>
      <c r="FO8" s="243">
        <f>IF(ISBLANK('Post Process Calc.'!AF8),"",'Post Process Calc.'!AF8)</f>
        <v>-8.171593745731133E-2</v>
      </c>
      <c r="FP8" s="243">
        <f>IF(ISBLANK('Post Process Calc.'!AG8),"",'Post Process Calc.'!AG8)</f>
        <v>0.32329757315537638</v>
      </c>
      <c r="FQ8" s="243">
        <f>IF(ISBLANK('Post Process Calc.'!AH8),"",'Post Process Calc.'!AH8)</f>
        <v>0</v>
      </c>
      <c r="FR8" s="243">
        <f>IF(ISBLANK('Post Process Calc.'!AI8),"",'Post Process Calc.'!AI8)</f>
        <v>-0.11837186216608922</v>
      </c>
      <c r="FS8" s="243">
        <f>IF(ISBLANK('Post Process Calc.'!AJ8),"",'Post Process Calc.'!AJ8)</f>
        <v>0</v>
      </c>
    </row>
    <row r="9" spans="1:175">
      <c r="A9" s="238" t="str">
        <f>IF('Measured Data'!B12&lt;&gt;0,'Measured Data'!$B$1,"")</f>
        <v>XB52</v>
      </c>
      <c r="B9" s="238">
        <f>IF(ISBLANK('Measured Data'!A12),"",'Measured Data'!A12)</f>
        <v>5</v>
      </c>
      <c r="C9" s="245">
        <f>IF(ISBLANK('Measured Data'!B12),"",'Measured Data'!B12)</f>
        <v>4.8250000000043656</v>
      </c>
      <c r="D9" s="246">
        <f>IF(ISBLANK('Measured Data'!C12),"",'Measured Data'!C12)</f>
        <v>115.80000000010477</v>
      </c>
      <c r="E9" s="238">
        <f>IF(ISBLANK('Measured Data'!D12),"",'Measured Data'!D12)</f>
        <v>35</v>
      </c>
      <c r="F9" s="238" t="str">
        <f>IF(ISBLANK('Measured Data'!E13),"",'Measured Data'!E13)</f>
        <v/>
      </c>
      <c r="G9" s="238" t="str">
        <f>IF(ISBLANK('Measured Data'!G12),"",'Measured Data'!G12)</f>
        <v/>
      </c>
      <c r="H9" s="243">
        <f>IF(ISBLANK('Measured Data'!H12),"",'Measured Data'!H12)</f>
        <v>4.0441001487731931</v>
      </c>
      <c r="I9" s="243">
        <f>IF(ISBLANK('Measured Data'!I12),"",'Measured Data'!I12)</f>
        <v>3.0194454565775963E-2</v>
      </c>
      <c r="J9" s="243">
        <f>IF(ISBLANK('Measured Data'!J12),"",'Measured Data'!J12)</f>
        <v>4.0742946033389691</v>
      </c>
      <c r="K9" s="243">
        <f>IF(ISBLANK('Measured Data'!K12),"",'Measured Data'!K12)</f>
        <v>99.258903503417969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373</v>
      </c>
      <c r="S9" s="238">
        <f>IF(ISBLANK('Measured Data'!S12),"",'Measured Data'!S12)</f>
        <v>82.36</v>
      </c>
      <c r="T9" s="243">
        <f>IF(ISBLANK('Measured Data'!U12),"",'Measured Data'!U12)</f>
        <v>0.59899999999999998</v>
      </c>
      <c r="U9" s="243">
        <f>IF(ISBLANK('Measured Data'!V12),"",'Measured Data'!V12)</f>
        <v>2.423</v>
      </c>
      <c r="V9" s="243">
        <f>IF(ISBLANK('Measured Data'!W12),"",'Measured Data'!W12)</f>
        <v>6.4779999999999998</v>
      </c>
      <c r="W9" s="243">
        <f>IF(ISBLANK('Measured Data'!X12),"",'Measured Data'!X12)</f>
        <v>1.7450000000000001</v>
      </c>
      <c r="X9" s="243">
        <f>IF(ISBLANK('Measured Data'!Y12),"",'Measured Data'!Y12)</f>
        <v>0.77700000000000002</v>
      </c>
      <c r="Y9" s="243">
        <f>IF(ISBLANK('Measured Data'!Z12),"",'Measured Data'!Z12)</f>
        <v>34.192588645396214</v>
      </c>
      <c r="Z9" s="243">
        <f>IF(ISBLANK('Measured Data'!AA12),"",'Measured Data'!AA12)</f>
        <v>1.006</v>
      </c>
      <c r="AA9" s="243">
        <f>IF(ISBLANK('Measured Data'!AB12),"",'Measured Data'!AB12)</f>
        <v>9.4480000000000004</v>
      </c>
      <c r="AB9" s="243" t="str">
        <f>IF(ISBLANK('Measured Data'!AC12),"",'Measured Data'!AC12)</f>
        <v/>
      </c>
      <c r="AC9" s="243" t="str">
        <f>IF(ISBLANK('Measured Data'!AD12),"",'Measured Data'!AD12)</f>
        <v/>
      </c>
      <c r="AD9" s="243" t="str">
        <f>IF(ISBLANK('Measured Data'!AE12),"",'Measured Data'!AE12)</f>
        <v/>
      </c>
      <c r="AE9" s="243">
        <f>IF(ISBLANK('Measured Data'!AF12),"",'Measured Data'!AF12)</f>
        <v>7.215808170515098</v>
      </c>
      <c r="AF9" s="243" t="str">
        <f>IF(ISBLANK('Measured Data'!AG12),"",'Measured Data'!AG12)</f>
        <v/>
      </c>
      <c r="AG9" s="243" t="str">
        <f>IF(ISBLANK('Measured Data'!AH12),"",'Measured Data'!AH12)</f>
        <v/>
      </c>
      <c r="AH9" s="243" t="str">
        <f>IF(ISBLANK('Measured Data'!AI12),"",'Measured Data'!AI12)</f>
        <v/>
      </c>
      <c r="AI9" s="243" t="str">
        <f>IF(ISBLANK('Measured Data'!AJ12),"",'Measured Data'!AJ12)</f>
        <v/>
      </c>
      <c r="AJ9" s="243" t="str">
        <f>IF(ISBLANK('Measured Data'!AK12),"",'Measured Data'!AK12)</f>
        <v/>
      </c>
      <c r="AK9" s="243" t="str">
        <f>IF(ISBLANK('Measured Data'!AL12),"",'Measured Data'!AL12)</f>
        <v/>
      </c>
      <c r="AL9" s="243" t="str">
        <f>IF(ISBLANK('Measured Data'!AM12),"",'Measured Data'!AM12)</f>
        <v/>
      </c>
      <c r="AM9" s="243" t="str">
        <f>IF(ISBLANK('Measured Data'!AN12),"",'Measured Data'!AN12)</f>
        <v/>
      </c>
      <c r="AN9" s="243" t="str">
        <f>IF(ISBLANK('Measured Data'!AO12),"",'Measured Data'!AO12)</f>
        <v/>
      </c>
      <c r="AO9" s="243" t="str">
        <f>IF(ISBLANK('Measured Data'!AP12),"",'Measured Data'!AP12)</f>
        <v/>
      </c>
      <c r="AP9" s="243" t="str">
        <f>IF(ISBLANK('Measured Data'!AQ12),"",'Measured Data'!AQ12)</f>
        <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12168.508298275252</v>
      </c>
      <c r="BV9" s="243">
        <f>IF(ISBLANK('In Process Calc.'!M9),"",'In Process Calc.'!M9)</f>
        <v>0</v>
      </c>
      <c r="BW9" s="243">
        <f>IF(ISBLANK('In Process Calc.'!N9),"",'In Process Calc.'!N9)</f>
        <v>394.08631111111106</v>
      </c>
      <c r="BX9" s="243">
        <f>IF(ISBLANK('In Process Calc.'!O9),"",'In Process Calc.'!O9)</f>
        <v>-2.6060101111111109</v>
      </c>
      <c r="BY9" s="243">
        <f>IF(ISBLANK('In Process Calc.'!P9),"",'In Process Calc.'!P9)</f>
        <v>-1.8050884444444455</v>
      </c>
      <c r="BZ9" s="243">
        <f>IF(ISBLANK('In Process Calc.'!Q9),"",'In Process Calc.'!Q9)</f>
        <v>-1.1663105555555557</v>
      </c>
      <c r="CA9" s="243">
        <f>IF(ISBLANK('In Process Calc.'!R9),"",'In Process Calc.'!R9)</f>
        <v>-0.82472188888888887</v>
      </c>
      <c r="CB9" s="243">
        <f>IF(ISBLANK('In Process Calc.'!S9),"",'In Process Calc.'!S9)</f>
        <v>0.66615333333333338</v>
      </c>
      <c r="CC9" s="243">
        <f>IF(ISBLANK('In Process Calc.'!T9),"",'In Process Calc.'!T9)</f>
        <v>20.413562680083089</v>
      </c>
      <c r="CD9" s="243">
        <f>IF(ISBLANK('In Process Calc.'!U9),"",'In Process Calc.'!U9)</f>
        <v>-3.1779331111111118</v>
      </c>
      <c r="CE9" s="243">
        <f>IF(ISBLANK('In Process Calc.'!V9),"",'In Process Calc.'!V9)</f>
        <v>-20.133170000000003</v>
      </c>
      <c r="CF9" s="243">
        <f>IF(ISBLANK('In Process Calc.'!W9),"",'In Process Calc.'!W9)</f>
        <v>0</v>
      </c>
      <c r="CG9" s="243">
        <f>IF(ISBLANK('In Process Calc.'!X9),"",'In Process Calc.'!X9)</f>
        <v>0</v>
      </c>
      <c r="CH9" s="243">
        <f>IF(ISBLANK('In Process Calc.'!Y9),"",'In Process Calc.'!Y9)</f>
        <v>0</v>
      </c>
      <c r="CI9" s="243">
        <f>IF(ISBLANK('In Process Calc.'!Z9),"",'In Process Calc.'!Z9)</f>
        <v>15.842152654430633</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-38.140436444444447</v>
      </c>
      <c r="CW9" s="243">
        <f>IF(ISBLANK('In Process Calc.'!AN9),"",'In Process Calc.'!AN9)</f>
        <v>-40.746446555555558</v>
      </c>
      <c r="CX9" s="243">
        <f>IF(ISBLANK('In Process Calc.'!AO9),"",'In Process Calc.'!AO9)</f>
        <v>-123.53522566666669</v>
      </c>
      <c r="CY9" s="243">
        <f>IF(ISBLANK('In Process Calc.'!AP9),"",'In Process Calc.'!AP9)</f>
        <v>0</v>
      </c>
      <c r="CZ9" s="243">
        <f>IF(ISBLANK('In Process Calc.'!AQ9),"",'In Process Calc.'!AQ9)</f>
        <v>0</v>
      </c>
      <c r="DA9" s="243">
        <f>IF(ISBLANK('In Process Calc.'!AR9),"",'In Process Calc.'!AR9)</f>
        <v>1.9990550669807563E-2</v>
      </c>
      <c r="DB9" s="243">
        <f>IF(ISBLANK('In Process Calc.'!AS9),"",'In Process Calc.'!AS9)</f>
        <v>2.0124180894227961E-2</v>
      </c>
      <c r="DC9" s="243">
        <f>IF(ISBLANK('In Process Calc.'!AT9),"",'In Process Calc.'!AT9)</f>
        <v>1.3363022442039842E-4</v>
      </c>
      <c r="DD9" s="243">
        <f>IF(ISBLANK('In Process Calc.'!AU9),"",'In Process Calc.'!AU9)</f>
        <v>0.94038218588691924</v>
      </c>
      <c r="DE9" s="243">
        <f>IF(ISBLANK('In Process Calc.'!AV9),"",'In Process Calc.'!AV9)</f>
        <v>-6.2669948208697018E-3</v>
      </c>
      <c r="DF9" s="243">
        <f>IF(ISBLANK('In Process Calc.'!AW9),"",'In Process Calc.'!AW9)</f>
        <v>-3.7334228611692897E-3</v>
      </c>
      <c r="DG9" s="243">
        <f>IF(ISBLANK('In Process Calc.'!AX9),"",'In Process Calc.'!AX9)</f>
        <v>-7.8169124724098143E-4</v>
      </c>
      <c r="DH9" s="243">
        <f>IF(ISBLANK('In Process Calc.'!AY9),"",'In Process Calc.'!AY9)</f>
        <v>-3.3119829909783807E-3</v>
      </c>
      <c r="DI9" s="243">
        <f>IF(ISBLANK('In Process Calc.'!AZ9),"",'In Process Calc.'!AZ9)</f>
        <v>6.0809941901960305E-4</v>
      </c>
      <c r="DJ9" s="243">
        <f>IF(ISBLANK('In Process Calc.'!BA9),"",'In Process Calc.'!BA9)</f>
        <v>5.1606859714009856E-2</v>
      </c>
      <c r="DK9" s="243">
        <f>IF(ISBLANK('In Process Calc.'!BB9),"",'In Process Calc.'!BB9)</f>
        <v>-5.0738515842508941E-3</v>
      </c>
      <c r="DL9" s="243">
        <f>IF(ISBLANK('In Process Calc.'!BC9),"",'In Process Calc.'!BC9)</f>
        <v>-2.6687459264413314E-2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-6.2303114764902703E-2</v>
      </c>
      <c r="ED9" s="243">
        <f>IF(ISBLANK('In Process Calc.'!BU9),"",'In Process Calc.'!BU9)</f>
        <v>-5.6036119944033E-2</v>
      </c>
      <c r="EE9" s="243">
        <f>IF(ISBLANK('In Process Calc.'!BV9),"",'In Process Calc.'!BV9)</f>
        <v>-0.21273417631170571</v>
      </c>
      <c r="EF9" s="243">
        <f>IF(ISBLANK('In Process Calc.'!BW9),"",'In Process Calc.'!BW9)</f>
        <v>3.6485965141176135E-3</v>
      </c>
      <c r="EG9" s="243">
        <f>IF(ISBLANK('In Process Calc.'!BX9),"",'In Process Calc.'!BX9)</f>
        <v>0.37901424292562724</v>
      </c>
      <c r="EH9" s="243">
        <f>IF(ISBLANK('In Process Calc.'!BY9),"",'In Process Calc.'!BY9)</f>
        <v>0</v>
      </c>
      <c r="EI9" s="243">
        <f>IF(ISBLANK('In Process Calc.'!BZ9),"",'In Process Calc.'!BZ9)</f>
        <v>-9.8317386726661876E-2</v>
      </c>
      <c r="EJ9" s="243">
        <f>IF(ISBLANK('In Process Calc.'!CA9),"",'In Process Calc.'!CA9)</f>
        <v>0</v>
      </c>
      <c r="EK9" s="243">
        <f>IF(ISBLANK('Post Process Calc.'!A9),"",'Post Process Calc.'!A9)</f>
        <v>6.7267001701354987</v>
      </c>
      <c r="EL9" s="243">
        <f>IF(ISBLANK('Post Process Calc.'!C9),"",'Post Process Calc.'!C9)</f>
        <v>1.6352391818789065E-2</v>
      </c>
      <c r="EM9" s="243">
        <f>IF(ISBLANK('Post Process Calc.'!D9),"",'Post Process Calc.'!D9)</f>
        <v>0</v>
      </c>
      <c r="EN9" s="243">
        <f>IF(ISBLANK('Post Process Calc.'!E9),"",'Post Process Calc.'!E9)</f>
        <v>2.6648762780417101</v>
      </c>
      <c r="EO9" s="243">
        <f>IF(ISBLANK('Post Process Calc.'!F9),"",'Post Process Calc.'!F9)</f>
        <v>-1.4166458768869149E-2</v>
      </c>
      <c r="EP9" s="243">
        <f>IF(ISBLANK('Post Process Calc.'!G9),"",'Post Process Calc.'!G9)</f>
        <v>-6.2326187671923677E-4</v>
      </c>
      <c r="EQ9" s="243">
        <f>IF(ISBLANK('Post Process Calc.'!H9),"",'Post Process Calc.'!H9)</f>
        <v>4.3902918478960426E-3</v>
      </c>
      <c r="ER9" s="243">
        <f>IF(ISBLANK('Post Process Calc.'!I9),"",'Post Process Calc.'!I9)</f>
        <v>-3.754540503836726E-3</v>
      </c>
      <c r="ES9" s="243">
        <f>IF(ISBLANK('Post Process Calc.'!J9),"",'Post Process Calc.'!J9)</f>
        <v>1.6760986073800876E-3</v>
      </c>
      <c r="ET9" s="243">
        <f>IF(ISBLANK('Post Process Calc.'!K9),"",'Post Process Calc.'!K9)</f>
        <v>5.2549552900225019E-2</v>
      </c>
      <c r="EU9" s="243">
        <f>IF(ISBLANK('Post Process Calc.'!L9),"",'Post Process Calc.'!L9)</f>
        <v>-5.1343090476070278E-3</v>
      </c>
      <c r="EV9" s="243">
        <f>IF(ISBLANK('Post Process Calc.'!M9),"",'Post Process Calc.'!M9)</f>
        <v>-1.1748072469746521E-2</v>
      </c>
      <c r="EW9" s="243">
        <f>IF(ISBLANK('Post Process Calc.'!N9),"",'Post Process Calc.'!N9)</f>
        <v>0</v>
      </c>
      <c r="EX9" s="243">
        <f>IF(ISBLANK('Post Process Calc.'!O9),"",'Post Process Calc.'!O9)</f>
        <v>0</v>
      </c>
      <c r="EY9" s="243">
        <f>IF(ISBLANK('Post Process Calc.'!P9),"",'Post Process Calc.'!P9)</f>
        <v>0</v>
      </c>
      <c r="EZ9" s="243">
        <f>IF(ISBLANK('Post Process Calc.'!Q9),"",'Post Process Calc.'!Q9)</f>
        <v>9.741820091299553E-3</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-2.0286438972970292E-2</v>
      </c>
      <c r="FN9" s="243">
        <f>IF(ISBLANK('Post Process Calc.'!AE9),"",'Post Process Calc.'!AE9)</f>
        <v>-3.4452897741839461E-2</v>
      </c>
      <c r="FO9" s="243">
        <f>IF(ISBLANK('Post Process Calc.'!AF9),"",'Post Process Calc.'!AF9)</f>
        <v>-9.9655701306576583E-3</v>
      </c>
      <c r="FP9" s="243">
        <f>IF(ISBLANK('Post Process Calc.'!AG9),"",'Post Process Calc.'!AG9)</f>
        <v>0.18538350097471215</v>
      </c>
      <c r="FQ9" s="243">
        <f>IF(ISBLANK('Post Process Calc.'!AH9),"",'Post Process Calc.'!AH9)</f>
        <v>0</v>
      </c>
      <c r="FR9" s="243">
        <f>IF(ISBLANK('Post Process Calc.'!AI9),"",'Post Process Calc.'!AI9)</f>
        <v>-9.7704143313178268E-2</v>
      </c>
      <c r="FS9" s="243">
        <f>IF(ISBLANK('Post Process Calc.'!AJ9),"",'Post Process Calc.'!AJ9)</f>
        <v>0</v>
      </c>
    </row>
    <row r="10" spans="1:175">
      <c r="A10" s="238" t="str">
        <f>IF('Measured Data'!B13&lt;&gt;0,'Measured Data'!$B$1,"")</f>
        <v>XB52</v>
      </c>
      <c r="B10" s="238">
        <f>IF(ISBLANK('Measured Data'!A13),"",'Measured Data'!A13)</f>
        <v>6</v>
      </c>
      <c r="C10" s="245">
        <f>IF(ISBLANK('Measured Data'!B13),"",'Measured Data'!B13)</f>
        <v>5.875</v>
      </c>
      <c r="D10" s="246">
        <f>IF(ISBLANK('Measured Data'!C13),"",'Measured Data'!C13)</f>
        <v>141</v>
      </c>
      <c r="E10" s="238">
        <f>IF(ISBLANK('Measured Data'!D13),"",'Measured Data'!D13)</f>
        <v>20</v>
      </c>
      <c r="F10" s="238" t="e">
        <f>IF(ISBLANK('Measured Data'!#REF!),"",'Measured Data'!#REF!)</f>
        <v>#REF!</v>
      </c>
      <c r="G10" s="238" t="str">
        <f>IF(ISBLANK('Measured Data'!G13),"",'Measured Data'!G13)</f>
        <v/>
      </c>
      <c r="H10" s="243">
        <f>IF(ISBLANK('Measured Data'!H13),"",'Measured Data'!H13)</f>
        <v>6.7267001701354987</v>
      </c>
      <c r="I10" s="243">
        <f>IF(ISBLANK('Measured Data'!I13),"",'Measured Data'!I13)</f>
        <v>4.8107793918330088E-2</v>
      </c>
      <c r="J10" s="243">
        <f>IF(ISBLANK('Measured Data'!J13),"",'Measured Data'!J13)</f>
        <v>6.7748079640538288</v>
      </c>
      <c r="K10" s="243">
        <f>IF(ISBLANK('Measured Data'!K13),"",'Measured Data'!K13)</f>
        <v>99.289901733398438</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380</v>
      </c>
      <c r="S10" s="238">
        <f>IF(ISBLANK('Measured Data'!S13),"",'Measured Data'!S13)</f>
        <v>209.2</v>
      </c>
      <c r="T10" s="243">
        <f>IF(ISBLANK('Measured Data'!U13),"",'Measured Data'!U13)</f>
        <v>1.444</v>
      </c>
      <c r="U10" s="243">
        <f>IF(ISBLANK('Measured Data'!V13),"",'Measured Data'!V13)</f>
        <v>2.9140000000000001</v>
      </c>
      <c r="V10" s="243">
        <f>IF(ISBLANK('Measured Data'!W13),"",'Measured Data'!W13)</f>
        <v>6.5449999999999999</v>
      </c>
      <c r="W10" s="243">
        <f>IF(ISBLANK('Measured Data'!X13),"",'Measured Data'!X13)</f>
        <v>2.1829999999999998</v>
      </c>
      <c r="X10" s="243">
        <f>IF(ISBLANK('Measured Data'!Y13),"",'Measured Data'!Y13)</f>
        <v>0.69</v>
      </c>
      <c r="Y10" s="243">
        <f>IF(ISBLANK('Measured Data'!Z13),"",'Measured Data'!Z13)</f>
        <v>33.91505139989787</v>
      </c>
      <c r="Z10" s="243">
        <f>IF(ISBLANK('Measured Data'!AA13),"",'Measured Data'!AA13)</f>
        <v>1.6870000000000001</v>
      </c>
      <c r="AA10" s="243">
        <f>IF(ISBLANK('Measured Data'!AB13),"",'Measured Data'!AB13)</f>
        <v>13.005000000000001</v>
      </c>
      <c r="AB10" s="243" t="str">
        <f>IF(ISBLANK('Measured Data'!AC13),"",'Measured Data'!AC13)</f>
        <v/>
      </c>
      <c r="AC10" s="243" t="str">
        <f>IF(ISBLANK('Measured Data'!AD13),"",'Measured Data'!AD13)</f>
        <v/>
      </c>
      <c r="AD10" s="243" t="str">
        <f>IF(ISBLANK('Measured Data'!AE13),"",'Measured Data'!AE13)</f>
        <v/>
      </c>
      <c r="AE10" s="243">
        <f>IF(ISBLANK('Measured Data'!AF13),"",'Measured Data'!AF13)</f>
        <v>9.4360568383658983</v>
      </c>
      <c r="AF10" s="243" t="str">
        <f>IF(ISBLANK('Measured Data'!AG13),"",'Measured Data'!AG13)</f>
        <v/>
      </c>
      <c r="AG10" s="243" t="str">
        <f>IF(ISBLANK('Measured Data'!AH13),"",'Measured Data'!AH13)</f>
        <v/>
      </c>
      <c r="AH10" s="243" t="str">
        <f>IF(ISBLANK('Measured Data'!AI13),"",'Measured Data'!AI13)</f>
        <v/>
      </c>
      <c r="AI10" s="243" t="str">
        <f>IF(ISBLANK('Measured Data'!AJ13),"",'Measured Data'!AJ13)</f>
        <v/>
      </c>
      <c r="AJ10" s="243" t="str">
        <f>IF(ISBLANK('Measured Data'!AK13),"",'Measured Data'!AK13)</f>
        <v/>
      </c>
      <c r="AK10" s="243" t="str">
        <f>IF(ISBLANK('Measured Data'!AL13),"",'Measured Data'!AL13)</f>
        <v/>
      </c>
      <c r="AL10" s="243" t="str">
        <f>IF(ISBLANK('Measured Data'!AM13),"",'Measured Data'!AM13)</f>
        <v/>
      </c>
      <c r="AM10" s="243" t="str">
        <f>IF(ISBLANK('Measured Data'!AN13),"",'Measured Data'!AN13)</f>
        <v/>
      </c>
      <c r="AN10" s="243" t="str">
        <f>IF(ISBLANK('Measured Data'!AO13),"",'Measured Data'!AO13)</f>
        <v/>
      </c>
      <c r="AO10" s="243" t="str">
        <f>IF(ISBLANK('Measured Data'!AP13),"",'Measured Data'!AP13)</f>
        <v/>
      </c>
      <c r="AP10" s="243" t="str">
        <f>IF(ISBLANK('Measured Data'!AQ13),"",'Measured Data'!AQ13)</f>
        <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164.65</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18352.104561903609</v>
      </c>
      <c r="BV10" s="243">
        <f>IF(ISBLANK('In Process Calc.'!M10),"",'In Process Calc.'!M10)</f>
        <v>0</v>
      </c>
      <c r="BW10" s="243">
        <f>IF(ISBLANK('In Process Calc.'!N10),"",'In Process Calc.'!N10)</f>
        <v>778.13719074074072</v>
      </c>
      <c r="BX10" s="243">
        <f>IF(ISBLANK('In Process Calc.'!O10),"",'In Process Calc.'!O10)</f>
        <v>-5.288907222222222</v>
      </c>
      <c r="BY10" s="243">
        <f>IF(ISBLANK('In Process Calc.'!P10),"",'In Process Calc.'!P10)</f>
        <v>-2.7577387407407414</v>
      </c>
      <c r="BZ10" s="243">
        <f>IF(ISBLANK('In Process Calc.'!Q10),"",'In Process Calc.'!Q10)</f>
        <v>0.56920181481481458</v>
      </c>
      <c r="CA10" s="243">
        <f>IF(ISBLANK('In Process Calc.'!R10),"",'In Process Calc.'!R10)</f>
        <v>-2.0984448888888889</v>
      </c>
      <c r="CB10" s="243">
        <f>IF(ISBLANK('In Process Calc.'!S10),"",'In Process Calc.'!S10)</f>
        <v>0.85311670370370385</v>
      </c>
      <c r="CC10" s="243">
        <f>IF(ISBLANK('In Process Calc.'!T10),"",'In Process Calc.'!T10)</f>
        <v>30.245775927447482</v>
      </c>
      <c r="CD10" s="243">
        <f>IF(ISBLANK('In Process Calc.'!U10),"",'In Process Calc.'!U10)</f>
        <v>-5.0845753333333334</v>
      </c>
      <c r="CE10" s="243">
        <f>IF(ISBLANK('In Process Calc.'!V10),"",'In Process Calc.'!V10)</f>
        <v>-25.480452629629632</v>
      </c>
      <c r="CF10" s="243">
        <f>IF(ISBLANK('In Process Calc.'!W10),"",'In Process Calc.'!W10)</f>
        <v>0</v>
      </c>
      <c r="CG10" s="243">
        <f>IF(ISBLANK('In Process Calc.'!X10),"",'In Process Calc.'!X10)</f>
        <v>0</v>
      </c>
      <c r="CH10" s="243">
        <f>IF(ISBLANK('In Process Calc.'!Y10),"",'In Process Calc.'!Y10)</f>
        <v>0</v>
      </c>
      <c r="CI10" s="243">
        <f>IF(ISBLANK('In Process Calc.'!Z10),"",'In Process Calc.'!Z10)</f>
        <v>18.90216104203671</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-51.223273333333339</v>
      </c>
      <c r="CW10" s="243">
        <f>IF(ISBLANK('In Process Calc.'!AN10),"",'In Process Calc.'!AN10)</f>
        <v>-56.51218055555556</v>
      </c>
      <c r="CX10" s="243">
        <f>IF(ISBLANK('In Process Calc.'!AO10),"",'In Process Calc.'!AO10)</f>
        <v>-154.50312266666668</v>
      </c>
      <c r="CY10" s="243">
        <f>IF(ISBLANK('In Process Calc.'!AP10),"",'In Process Calc.'!AP10)</f>
        <v>0</v>
      </c>
      <c r="CZ10" s="243">
        <f>IF(ISBLANK('In Process Calc.'!AQ10),"",'In Process Calc.'!AQ10)</f>
        <v>0</v>
      </c>
      <c r="DA10" s="243">
        <f>IF(ISBLANK('In Process Calc.'!AR10),"",'In Process Calc.'!AR10)</f>
        <v>1.6586696872070986E-2</v>
      </c>
      <c r="DB10" s="243">
        <f>IF(ISBLANK('In Process Calc.'!AS10),"",'In Process Calc.'!AS10)</f>
        <v>1.675477257443438E-2</v>
      </c>
      <c r="DC10" s="243">
        <f>IF(ISBLANK('In Process Calc.'!AT10),"",'In Process Calc.'!AT10)</f>
        <v>1.6807570236339168E-4</v>
      </c>
      <c r="DD10" s="243">
        <f>IF(ISBLANK('In Process Calc.'!AU10),"",'In Process Calc.'!AU10)</f>
        <v>1.0301667916674555</v>
      </c>
      <c r="DE10" s="243">
        <f>IF(ISBLANK('In Process Calc.'!AV10),"",'In Process Calc.'!AV10)</f>
        <v>-7.1965243563368404E-3</v>
      </c>
      <c r="DF10" s="243">
        <f>IF(ISBLANK('In Process Calc.'!AW10),"",'In Process Calc.'!AW10)</f>
        <v>-2.5553611549152962E-3</v>
      </c>
      <c r="DG10" s="243">
        <f>IF(ISBLANK('In Process Calc.'!AX10),"",'In Process Calc.'!AX10)</f>
        <v>4.6552873728809199E-3</v>
      </c>
      <c r="DH10" s="243">
        <f>IF(ISBLANK('In Process Calc.'!AY10),"",'In Process Calc.'!AY10)</f>
        <v>-3.4165971385053265E-3</v>
      </c>
      <c r="DI10" s="243">
        <f>IF(ISBLANK('In Process Calc.'!AZ10),"",'In Process Calc.'!AZ10)</f>
        <v>5.0150504953802306E-4</v>
      </c>
      <c r="DJ10" s="243">
        <f>IF(ISBLANK('In Process Calc.'!BA10),"",'In Process Calc.'!BA10)</f>
        <v>3.9303993792439866E-2</v>
      </c>
      <c r="DK10" s="243">
        <f>IF(ISBLANK('In Process Calc.'!BB10),"",'In Process Calc.'!BB10)</f>
        <v>-5.1143210577165362E-3</v>
      </c>
      <c r="DL10" s="243">
        <f>IF(ISBLANK('In Process Calc.'!BC10),"",'In Process Calc.'!BC10)</f>
        <v>-1.4343393760787727E-2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-3.5594522195424291E-2</v>
      </c>
      <c r="ED10" s="243">
        <f>IF(ISBLANK('In Process Calc.'!BU10),"",'In Process Calc.'!BU10)</f>
        <v>-2.839799783908745E-2</v>
      </c>
      <c r="EE10" s="243">
        <f>IF(ISBLANK('In Process Calc.'!BV10),"",'In Process Calc.'!BV10)</f>
        <v>-0.12624652285629309</v>
      </c>
      <c r="EF10" s="243">
        <f>IF(ISBLANK('In Process Calc.'!BW10),"",'In Process Calc.'!BW10)</f>
        <v>2.163017978875182E-2</v>
      </c>
      <c r="EG10" s="243">
        <f>IF(ISBLANK('In Process Calc.'!BX10),"",'In Process Calc.'!BX10)</f>
        <v>0.17191979373422511</v>
      </c>
      <c r="EH10" s="243">
        <f>IF(ISBLANK('In Process Calc.'!BY10),"",'In Process Calc.'!BY10)</f>
        <v>0</v>
      </c>
      <c r="EI10" s="243">
        <f>IF(ISBLANK('In Process Calc.'!BZ10),"",'In Process Calc.'!BZ10)</f>
        <v>-0.13012217243684476</v>
      </c>
      <c r="EJ10" s="243">
        <f>IF(ISBLANK('In Process Calc.'!CA10),"",'In Process Calc.'!CA10)</f>
        <v>0</v>
      </c>
      <c r="EK10" s="243">
        <f>IF(ISBLANK('Post Process Calc.'!A10),"",'Post Process Calc.'!A10)</f>
        <v>9.945699555969238</v>
      </c>
      <c r="EL10" s="243">
        <f>IF(ISBLANK('Post Process Calc.'!C10),"",'Post Process Calc.'!C10)</f>
        <v>1.2121238379291103E-2</v>
      </c>
      <c r="EM10" s="243">
        <f>IF(ISBLANK('Post Process Calc.'!D10),"",'Post Process Calc.'!D10)</f>
        <v>0</v>
      </c>
      <c r="EN10" s="243">
        <f>IF(ISBLANK('Post Process Calc.'!E10),"",'Post Process Calc.'!E10)</f>
        <v>2.1666540635460714</v>
      </c>
      <c r="EO10" s="243">
        <f>IF(ISBLANK('Post Process Calc.'!F10),"",'Post Process Calc.'!F10)</f>
        <v>-9.371292437248541E-3</v>
      </c>
      <c r="EP10" s="243">
        <f>IF(ISBLANK('Post Process Calc.'!G10),"",'Post Process Calc.'!G10)</f>
        <v>-2.1151789644756398E-4</v>
      </c>
      <c r="EQ10" s="243">
        <f>IF(ISBLANK('Post Process Calc.'!H10),"",'Post Process Calc.'!H10)</f>
        <v>4.0691404102983098E-3</v>
      </c>
      <c r="ER10" s="243">
        <f>IF(ISBLANK('Post Process Calc.'!I10),"",'Post Process Calc.'!I10)</f>
        <v>-1.4613276959805123E-3</v>
      </c>
      <c r="ES10" s="243">
        <f>IF(ISBLANK('Post Process Calc.'!J10),"",'Post Process Calc.'!J10)</f>
        <v>1.1202908606640974E-3</v>
      </c>
      <c r="ET10" s="243">
        <f>IF(ISBLANK('Post Process Calc.'!K10),"",'Post Process Calc.'!K10)</f>
        <v>4.4157204002955426E-2</v>
      </c>
      <c r="EU10" s="243">
        <f>IF(ISBLANK('Post Process Calc.'!L10),"",'Post Process Calc.'!L10)</f>
        <v>-2.930538987917751E-3</v>
      </c>
      <c r="EV10" s="243">
        <f>IF(ISBLANK('Post Process Calc.'!M10),"",'Post Process Calc.'!M10)</f>
        <v>-4.4321360983902479E-3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3.290574235022793E-3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-6.2176465850440118E-3</v>
      </c>
      <c r="FN10" s="243">
        <f>IF(ISBLANK('Post Process Calc.'!AE10),"",'Post Process Calc.'!AE10)</f>
        <v>-1.5588939022292563E-2</v>
      </c>
      <c r="FO10" s="243">
        <f>IF(ISBLANK('Post Process Calc.'!AF10),"",'Post Process Calc.'!AF10)</f>
        <v>1.7718789302747121E-2</v>
      </c>
      <c r="FP10" s="243">
        <f>IF(ISBLANK('Post Process Calc.'!AG10),"",'Post Process Calc.'!AG10)</f>
        <v>7.451953332014763E-2</v>
      </c>
      <c r="FQ10" s="243">
        <f>IF(ISBLANK('Post Process Calc.'!AH10),"",'Post Process Calc.'!AH10)</f>
        <v>0</v>
      </c>
      <c r="FR10" s="243">
        <f>IF(ISBLANK('Post Process Calc.'!AI10),"",'Post Process Calc.'!AI10)</f>
        <v>-6.6366044999624771E-2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189.03</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23515.852474392137</v>
      </c>
      <c r="BV11" s="243">
        <f>IF(ISBLANK('In Process Calc.'!M11),"",'In Process Calc.'!M11)</f>
        <v>0</v>
      </c>
      <c r="BW11" s="243">
        <f>IF(ISBLANK('In Process Calc.'!N11),"",'In Process Calc.'!N11)</f>
        <v>1424.1058925925927</v>
      </c>
      <c r="BX11" s="243">
        <f>IF(ISBLANK('In Process Calc.'!O11),"",'In Process Calc.'!O11)</f>
        <v>-9.2851067777777772</v>
      </c>
      <c r="BY11" s="243">
        <f>IF(ISBLANK('In Process Calc.'!P11),"",'In Process Calc.'!P11)</f>
        <v>-2.0959375555555564</v>
      </c>
      <c r="BZ11" s="243">
        <f>IF(ISBLANK('In Process Calc.'!Q11),"",'In Process Calc.'!Q11)</f>
        <v>8.9346979629629626</v>
      </c>
      <c r="CA11" s="243">
        <f>IF(ISBLANK('In Process Calc.'!R11),"",'In Process Calc.'!R11)</f>
        <v>-3.5645098888888898</v>
      </c>
      <c r="CB11" s="243">
        <f>IF(ISBLANK('In Process Calc.'!S11),"",'In Process Calc.'!S11)</f>
        <v>1.1783651851851853</v>
      </c>
      <c r="CC11" s="243">
        <f>IF(ISBLANK('In Process Calc.'!T11),"",'In Process Calc.'!T11)</f>
        <v>43.420829621683531</v>
      </c>
      <c r="CD11" s="243">
        <f>IF(ISBLANK('In Process Calc.'!U11),"",'In Process Calc.'!U11)</f>
        <v>-6.6868720740740741</v>
      </c>
      <c r="CE11" s="243">
        <f>IF(ISBLANK('In Process Calc.'!V11),"",'In Process Calc.'!V11)</f>
        <v>-23.68069925925926</v>
      </c>
      <c r="CF11" s="243">
        <f>IF(ISBLANK('In Process Calc.'!W11),"",'In Process Calc.'!W11)</f>
        <v>0</v>
      </c>
      <c r="CG11" s="243">
        <f>IF(ISBLANK('In Process Calc.'!X11),"",'In Process Calc.'!X11)</f>
        <v>0</v>
      </c>
      <c r="CH11" s="243">
        <f>IF(ISBLANK('In Process Calc.'!Y11),"",'In Process Calc.'!Y11)</f>
        <v>0</v>
      </c>
      <c r="CI11" s="243">
        <f>IF(ISBLANK('In Process Calc.'!Z11),"",'In Process Calc.'!Z11)</f>
        <v>22.377306591671598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-38.061684000000007</v>
      </c>
      <c r="CW11" s="243">
        <f>IF(ISBLANK('In Process Calc.'!AN11),"",'In Process Calc.'!AN11)</f>
        <v>-47.346790777777784</v>
      </c>
      <c r="CX11" s="243">
        <f>IF(ISBLANK('In Process Calc.'!AO11),"",'In Process Calc.'!AO11)</f>
        <v>-108.00721825925926</v>
      </c>
      <c r="CY11" s="243">
        <f>IF(ISBLANK('In Process Calc.'!AP11),"",'In Process Calc.'!AP11)</f>
        <v>0</v>
      </c>
      <c r="CZ11" s="243">
        <f>IF(ISBLANK('In Process Calc.'!AQ11),"",'In Process Calc.'!AQ11)</f>
        <v>0</v>
      </c>
      <c r="DA11" s="243">
        <f>IF(ISBLANK('In Process Calc.'!AR11),"",'In Process Calc.'!AR11)</f>
        <v>9.8788492458522156E-3</v>
      </c>
      <c r="DB11" s="243">
        <f>IF(ISBLANK('In Process Calc.'!AS11),"",'In Process Calc.'!AS11)</f>
        <v>9.9429606149002946E-3</v>
      </c>
      <c r="DC11" s="243">
        <f>IF(ISBLANK('In Process Calc.'!AT11),"",'In Process Calc.'!AT11)</f>
        <v>6.4111369048079609E-5</v>
      </c>
      <c r="DD11" s="243">
        <f>IF(ISBLANK('In Process Calc.'!AU11),"",'In Process Calc.'!AU11)</f>
        <v>1.2358131208728869</v>
      </c>
      <c r="DE11" s="243">
        <f>IF(ISBLANK('In Process Calc.'!AV11),"",'In Process Calc.'!AV11)</f>
        <v>-7.6451936916203311E-3</v>
      </c>
      <c r="DF11" s="243">
        <f>IF(ISBLANK('In Process Calc.'!AW11),"",'In Process Calc.'!AW11)</f>
        <v>1.2661024995738097E-3</v>
      </c>
      <c r="DG11" s="243">
        <f>IF(ISBLANK('In Process Calc.'!AX11),"",'In Process Calc.'!AX11)</f>
        <v>1.6004165330078268E-2</v>
      </c>
      <c r="DH11" s="243">
        <f>IF(ISBLANK('In Process Calc.'!AY11),"",'In Process Calc.'!AY11)</f>
        <v>-2.8047525489370041E-3</v>
      </c>
      <c r="DI11" s="243">
        <f>IF(ISBLANK('In Process Calc.'!AZ11),"",'In Process Calc.'!AZ11)</f>
        <v>6.222381050451888E-4</v>
      </c>
      <c r="DJ11" s="243">
        <f>IF(ISBLANK('In Process Calc.'!BA11),"",'In Process Calc.'!BA11)</f>
        <v>3.3393142088633906E-2</v>
      </c>
      <c r="DK11" s="243">
        <f>IF(ISBLANK('In Process Calc.'!BB11),"",'In Process Calc.'!BB11)</f>
        <v>-3.065379684902132E-3</v>
      </c>
      <c r="DL11" s="243">
        <f>IF(ISBLANK('In Process Calc.'!BC11),"",'In Process Calc.'!BC11)</f>
        <v>3.4431371412619914E-3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2.4557410294397355E-2</v>
      </c>
      <c r="ED11" s="243">
        <f>IF(ISBLANK('In Process Calc.'!BU11),"",'In Process Calc.'!BU11)</f>
        <v>3.2202603986017687E-2</v>
      </c>
      <c r="EE11" s="243">
        <f>IF(ISBLANK('In Process Calc.'!BV11),"",'In Process Calc.'!BV11)</f>
        <v>4.3080900959217343E-2</v>
      </c>
      <c r="EF11" s="243">
        <f>IF(ISBLANK('In Process Calc.'!BW11),"",'In Process Calc.'!BW11)</f>
        <v>9.256239065433701E-2</v>
      </c>
      <c r="EG11" s="243">
        <f>IF(ISBLANK('In Process Calc.'!BX11),"",'In Process Calc.'!BX11)</f>
        <v>9.8855764291448153E-3</v>
      </c>
      <c r="EH11" s="243">
        <f>IF(ISBLANK('In Process Calc.'!BY11),"",'In Process Calc.'!BY11)</f>
        <v>0</v>
      </c>
      <c r="EI11" s="243">
        <f>IF(ISBLANK('In Process Calc.'!BZ11),"",'In Process Calc.'!BZ11)</f>
        <v>-9.1796683186201322E-2</v>
      </c>
      <c r="EJ11" s="243">
        <f>IF(ISBLANK('In Process Calc.'!CA11),"",'In Process Calc.'!CA11)</f>
        <v>0</v>
      </c>
      <c r="EK11" s="243">
        <f>IF(ISBLANK('Post Process Calc.'!A11),"",'Post Process Calc.'!A11)</f>
        <v>12.503599984741211</v>
      </c>
      <c r="EL11" s="243">
        <f>IF(ISBLANK('Post Process Calc.'!C11),"",'Post Process Calc.'!C11)</f>
        <v>8.029119649252462E-3</v>
      </c>
      <c r="EM11" s="243">
        <f>IF(ISBLANK('Post Process Calc.'!D11),"",'Post Process Calc.'!D11)</f>
        <v>0</v>
      </c>
      <c r="EN11" s="243">
        <f>IF(ISBLANK('Post Process Calc.'!E11),"",'Post Process Calc.'!E11)</f>
        <v>1.9687155750685648</v>
      </c>
      <c r="EO11" s="243">
        <f>IF(ISBLANK('Post Process Calc.'!F11),"",'Post Process Calc.'!F11)</f>
        <v>-6.3950624334056429E-3</v>
      </c>
      <c r="EP11" s="243">
        <f>IF(ISBLANK('Post Process Calc.'!G11),"",'Post Process Calc.'!G11)</f>
        <v>4.9628592869793582E-5</v>
      </c>
      <c r="EQ11" s="243">
        <f>IF(ISBLANK('Post Process Calc.'!H11),"",'Post Process Calc.'!H11)</f>
        <v>3.8451364505081302E-3</v>
      </c>
      <c r="ER11" s="243">
        <f>IF(ISBLANK('Post Process Calc.'!I11),"",'Post Process Calc.'!I11)</f>
        <v>-1.2007641469649164E-4</v>
      </c>
      <c r="ES11" s="243">
        <f>IF(ISBLANK('Post Process Calc.'!J11),"",'Post Process Calc.'!J11)</f>
        <v>8.0772592898223589E-4</v>
      </c>
      <c r="ET11" s="243">
        <f>IF(ISBLANK('Post Process Calc.'!K11),"",'Post Process Calc.'!K11)</f>
        <v>4.1801149985527301E-2</v>
      </c>
      <c r="EU11" s="243">
        <f>IF(ISBLANK('Post Process Calc.'!L11),"",'Post Process Calc.'!L11)</f>
        <v>-1.3336973026113314E-3</v>
      </c>
      <c r="EV11" s="243">
        <f>IF(ISBLANK('Post Process Calc.'!M11),"",'Post Process Calc.'!M11)</f>
        <v>-1.9205675361797805E-4</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-8.4527404757693807E-4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2.462233707252849E-3</v>
      </c>
      <c r="FN11" s="243">
        <f>IF(ISBLANK('Post Process Calc.'!AE11),"",'Post Process Calc.'!AE11)</f>
        <v>-3.9328287261528013E-3</v>
      </c>
      <c r="FO11" s="243">
        <f>IF(ISBLANK('Post Process Calc.'!AF11),"",'Post Process Calc.'!AF11)</f>
        <v>3.3830859763016127E-2</v>
      </c>
      <c r="FP11" s="243">
        <f>IF(ISBLANK('Post Process Calc.'!AG11),"",'Post Process Calc.'!AG11)</f>
        <v>-2.0221310845983782E-2</v>
      </c>
      <c r="FQ11" s="243">
        <f>IF(ISBLANK('Post Process Calc.'!AH11),"",'Post Process Calc.'!AH11)</f>
        <v>0</v>
      </c>
      <c r="FR11" s="243">
        <f>IF(ISBLANK('Post Process Calc.'!AI11),"",'Post Process Calc.'!AI11)</f>
        <v>-3.1905756254866045E-2</v>
      </c>
      <c r="FS11" s="243">
        <f>IF(ISBLANK('Post Process Calc.'!AJ11),"",'Post Process Calc.'!AJ11)</f>
        <v>0</v>
      </c>
    </row>
    <row r="12" spans="1:175">
      <c r="A12" s="238" t="str">
        <f>IF('Measured Data'!B14&lt;&gt;0,'Measured Data'!$B$1,"")</f>
        <v>XB52</v>
      </c>
      <c r="B12" s="238">
        <f>IF(ISBLANK('Measured Data'!A14),"",'Measured Data'!A14)</f>
        <v>7</v>
      </c>
      <c r="C12" s="245">
        <f>IF(ISBLANK('Measured Data'!B14),"",'Measured Data'!B14)</f>
        <v>6.8604166666700621</v>
      </c>
      <c r="D12" s="246">
        <f>IF(ISBLANK('Measured Data'!C14),"",'Measured Data'!C14)</f>
        <v>164.65000000008149</v>
      </c>
      <c r="E12" s="238">
        <f>IF(ISBLANK('Measured Data'!D14),"",'Measured Data'!D14)</f>
        <v>20</v>
      </c>
      <c r="F12" s="238" t="e">
        <f>IF(ISBLANK('Measured Data'!#REF!),"",'Measured Data'!#REF!)</f>
        <v>#REF!</v>
      </c>
      <c r="G12" s="238" t="str">
        <f>IF(ISBLANK('Measured Data'!G14),"",'Measured Data'!G14)</f>
        <v/>
      </c>
      <c r="H12" s="243">
        <f>IF(ISBLANK('Measured Data'!H14),"",'Measured Data'!H14)</f>
        <v>9.945699555969238</v>
      </c>
      <c r="I12" s="243">
        <f>IF(ISBLANK('Measured Data'!I14),"",'Measured Data'!I14)</f>
        <v>8.0853773553254626E-2</v>
      </c>
      <c r="J12" s="243">
        <f>IF(ISBLANK('Measured Data'!J14),"",'Measured Data'!J14)</f>
        <v>10.026553329522493</v>
      </c>
      <c r="K12" s="243">
        <f>IF(ISBLANK('Measured Data'!K14),"",'Measured Data'!K14)</f>
        <v>99.193603515625</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396</v>
      </c>
      <c r="S12" s="238">
        <f>IF(ISBLANK('Measured Data'!S14),"",'Measured Data'!S14)</f>
        <v>410.45</v>
      </c>
      <c r="T12" s="243">
        <f>IF(ISBLANK('Measured Data'!U14),"",'Measured Data'!U14)</f>
        <v>2.85</v>
      </c>
      <c r="U12" s="243">
        <f>IF(ISBLANK('Measured Data'!V14),"",'Measured Data'!V14)</f>
        <v>3.3980000000000001</v>
      </c>
      <c r="V12" s="243">
        <f>IF(ISBLANK('Measured Data'!W14),"",'Measured Data'!W14)</f>
        <v>5.5880000000000001</v>
      </c>
      <c r="W12" s="243">
        <f>IF(ISBLANK('Measured Data'!X14),"",'Measured Data'!X14)</f>
        <v>2.8410000000000002</v>
      </c>
      <c r="X12" s="243">
        <f>IF(ISBLANK('Measured Data'!Y14),"",'Measured Data'!Y14)</f>
        <v>0.58699999999999997</v>
      </c>
      <c r="Y12" s="243">
        <f>IF(ISBLANK('Measured Data'!Z14),"",'Measured Data'!Z14)</f>
        <v>31.250693843113741</v>
      </c>
      <c r="Z12" s="243">
        <f>IF(ISBLANK('Measured Data'!AA14),"",'Measured Data'!AA14)</f>
        <v>2.6819999999999999</v>
      </c>
      <c r="AA12" s="243">
        <f>IF(ISBLANK('Measured Data'!AB14),"",'Measured Data'!AB14)</f>
        <v>15.743</v>
      </c>
      <c r="AB12" s="243" t="str">
        <f>IF(ISBLANK('Measured Data'!AC14),"",'Measured Data'!AC14)</f>
        <v/>
      </c>
      <c r="AC12" s="243" t="str">
        <f>IF(ISBLANK('Measured Data'!AD14),"",'Measured Data'!AD14)</f>
        <v/>
      </c>
      <c r="AD12" s="243" t="str">
        <f>IF(ISBLANK('Measured Data'!AE14),"",'Measured Data'!AE14)</f>
        <v/>
      </c>
      <c r="AE12" s="243">
        <f>IF(ISBLANK('Measured Data'!AF14),"",'Measured Data'!AF14)</f>
        <v>10.990230905861457</v>
      </c>
      <c r="AF12" s="243" t="str">
        <f>IF(ISBLANK('Measured Data'!AG14),"",'Measured Data'!AG14)</f>
        <v/>
      </c>
      <c r="AG12" s="243" t="str">
        <f>IF(ISBLANK('Measured Data'!AH14),"",'Measured Data'!AH14)</f>
        <v/>
      </c>
      <c r="AH12" s="243" t="str">
        <f>IF(ISBLANK('Measured Data'!AI14),"",'Measured Data'!AI14)</f>
        <v/>
      </c>
      <c r="AI12" s="243" t="str">
        <f>IF(ISBLANK('Measured Data'!AJ14),"",'Measured Data'!AJ14)</f>
        <v/>
      </c>
      <c r="AJ12" s="243" t="str">
        <f>IF(ISBLANK('Measured Data'!AK14),"",'Measured Data'!AK14)</f>
        <v/>
      </c>
      <c r="AK12" s="243" t="str">
        <f>IF(ISBLANK('Measured Data'!AL14),"",'Measured Data'!AL14)</f>
        <v/>
      </c>
      <c r="AL12" s="243" t="str">
        <f>IF(ISBLANK('Measured Data'!AM14),"",'Measured Data'!AM14)</f>
        <v/>
      </c>
      <c r="AM12" s="243" t="str">
        <f>IF(ISBLANK('Measured Data'!AN14),"",'Measured Data'!AN14)</f>
        <v/>
      </c>
      <c r="AN12" s="243" t="str">
        <f>IF(ISBLANK('Measured Data'!AO14),"",'Measured Data'!AO14)</f>
        <v/>
      </c>
      <c r="AO12" s="243" t="str">
        <f>IF(ISBLANK('Measured Data'!AP14),"",'Measured Data'!AP14)</f>
        <v/>
      </c>
      <c r="AP12" s="243" t="str">
        <f>IF(ISBLANK('Measured Data'!AQ14),"",'Measured Data'!AQ14)</f>
        <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8.8699999999999992</v>
      </c>
      <c r="BO12" s="238">
        <f>IF(ISBLANK('In Process Calc.'!C12),"",ROUND('In Process Calc.'!C12,2))</f>
        <v>212.98</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29557.482868931962</v>
      </c>
      <c r="BV12" s="243">
        <f>IF(ISBLANK('In Process Calc.'!M12),"",'In Process Calc.'!M12)</f>
        <v>0</v>
      </c>
      <c r="BW12" s="243">
        <f>IF(ISBLANK('In Process Calc.'!N12),"",'In Process Calc.'!N12)</f>
        <v>2265.8599163888889</v>
      </c>
      <c r="BX12" s="243">
        <f>IF(ISBLANK('In Process Calc.'!O12),"",'In Process Calc.'!O12)</f>
        <v>-12.406041250000001</v>
      </c>
      <c r="BY12" s="243">
        <f>IF(ISBLANK('In Process Calc.'!P12),"",'In Process Calc.'!P12)</f>
        <v>-1.1760944722222231</v>
      </c>
      <c r="BZ12" s="243">
        <f>IF(ISBLANK('In Process Calc.'!Q12),"",'In Process Calc.'!Q12)</f>
        <v>11.163015</v>
      </c>
      <c r="CA12" s="243">
        <f>IF(ISBLANK('In Process Calc.'!R12),"",'In Process Calc.'!R12)</f>
        <v>-2.7720229444444451</v>
      </c>
      <c r="CB12" s="243">
        <f>IF(ISBLANK('In Process Calc.'!S12),"",'In Process Calc.'!S12)</f>
        <v>1.5112030833333334</v>
      </c>
      <c r="CC12" s="243">
        <f>IF(ISBLANK('In Process Calc.'!T12),"",'In Process Calc.'!T12)</f>
        <v>56.427587154105098</v>
      </c>
      <c r="CD12" s="243">
        <f>IF(ISBLANK('In Process Calc.'!U12),"",'In Process Calc.'!U12)</f>
        <v>-6.890430750000001</v>
      </c>
      <c r="CE12" s="243">
        <f>IF(ISBLANK('In Process Calc.'!V12),"",'In Process Calc.'!V12)</f>
        <v>-17.816032222222226</v>
      </c>
      <c r="CF12" s="243">
        <f>IF(ISBLANK('In Process Calc.'!W12),"",'In Process Calc.'!W12)</f>
        <v>0</v>
      </c>
      <c r="CG12" s="243">
        <f>IF(ISBLANK('In Process Calc.'!X12),"",'In Process Calc.'!X12)</f>
        <v>0</v>
      </c>
      <c r="CH12" s="243">
        <f>IF(ISBLANK('In Process Calc.'!Y12),"",'In Process Calc.'!Y12)</f>
        <v>0</v>
      </c>
      <c r="CI12" s="243">
        <f>IF(ISBLANK('In Process Calc.'!Z12),"",'In Process Calc.'!Z12)</f>
        <v>15.320631660746004</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-26.130899638888899</v>
      </c>
      <c r="CW12" s="243">
        <f>IF(ISBLANK('In Process Calc.'!AN12),"",'In Process Calc.'!AN12)</f>
        <v>-38.5369408888889</v>
      </c>
      <c r="CX12" s="243">
        <f>IF(ISBLANK('In Process Calc.'!AO12),"",'In Process Calc.'!AO12)</f>
        <v>-50.739571222222253</v>
      </c>
      <c r="CY12" s="243">
        <f>IF(ISBLANK('In Process Calc.'!AP12),"",'In Process Calc.'!AP12)</f>
        <v>0</v>
      </c>
      <c r="CZ12" s="243">
        <f>IF(ISBLANK('In Process Calc.'!AQ12),"",'In Process Calc.'!AQ12)</f>
        <v>0</v>
      </c>
      <c r="DA12" s="243">
        <f>IF(ISBLANK('In Process Calc.'!AR12),"",'In Process Calc.'!AR12)</f>
        <v>9.3292274104369629E-3</v>
      </c>
      <c r="DB12" s="243">
        <f>IF(ISBLANK('In Process Calc.'!AS12),"",'In Process Calc.'!AS12)</f>
        <v>9.4532237602280769E-3</v>
      </c>
      <c r="DC12" s="243">
        <f>IF(ISBLANK('In Process Calc.'!AT12),"",'In Process Calc.'!AT12)</f>
        <v>1.2399634979111352E-4</v>
      </c>
      <c r="DD12" s="243">
        <f>IF(ISBLANK('In Process Calc.'!AU12),"",'In Process Calc.'!AU12)</f>
        <v>1.2998005834225068</v>
      </c>
      <c r="DE12" s="243">
        <f>IF(ISBLANK('In Process Calc.'!AV12),"",'In Process Calc.'!AV12)</f>
        <v>-4.8192136100789849E-3</v>
      </c>
      <c r="DF12" s="243">
        <f>IF(ISBLANK('In Process Calc.'!AW12),"",'In Process Calc.'!AW12)</f>
        <v>1.4203823713032366E-3</v>
      </c>
      <c r="DG12" s="243">
        <f>IF(ISBLANK('In Process Calc.'!AX12),"",'In Process Calc.'!AX12)</f>
        <v>3.4408719209068745E-3</v>
      </c>
      <c r="DH12" s="243">
        <f>IF(ISBLANK('In Process Calc.'!AY12),"",'In Process Calc.'!AY12)</f>
        <v>1.223724465370523E-3</v>
      </c>
      <c r="DI12" s="243">
        <f>IF(ISBLANK('In Process Calc.'!AZ12),"",'In Process Calc.'!AZ12)</f>
        <v>5.1395405542222655E-4</v>
      </c>
      <c r="DJ12" s="243">
        <f>IF(ISBLANK('In Process Calc.'!BA12),"",'In Process Calc.'!BA12)</f>
        <v>2.9533231743167482E-2</v>
      </c>
      <c r="DK12" s="243">
        <f>IF(ISBLANK('In Process Calc.'!BB12),"",'In Process Calc.'!BB12)</f>
        <v>-3.1432660640688816E-4</v>
      </c>
      <c r="DL12" s="243">
        <f>IF(ISBLANK('In Process Calc.'!BC12),"",'In Process Calc.'!BC12)</f>
        <v>9.0559681579427953E-3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1.7909053182869478E-2</v>
      </c>
      <c r="ED12" s="243">
        <f>IF(ISBLANK('In Process Calc.'!BU12),"",'In Process Calc.'!BU12)</f>
        <v>2.2728266792948461E-2</v>
      </c>
      <c r="EE12" s="243">
        <f>IF(ISBLANK('In Process Calc.'!BV12),"",'In Process Calc.'!BV12)</f>
        <v>5.9514971032904949E-2</v>
      </c>
      <c r="EF12" s="243">
        <f>IF(ISBLANK('In Process Calc.'!BW12),"",'In Process Calc.'!BW12)</f>
        <v>7.5544244895176332E-2</v>
      </c>
      <c r="EG12" s="243">
        <f>IF(ISBLANK('In Process Calc.'!BX12),"",'In Process Calc.'!BX12)</f>
        <v>-0.32321020427967379</v>
      </c>
      <c r="EH12" s="243">
        <f>IF(ISBLANK('In Process Calc.'!BY12),"",'In Process Calc.'!BY12)</f>
        <v>0</v>
      </c>
      <c r="EI12" s="243">
        <f>IF(ISBLANK('In Process Calc.'!BZ12),"",'In Process Calc.'!BZ12)</f>
        <v>-1.0643149694567635E-2</v>
      </c>
      <c r="EJ12" s="243">
        <f>IF(ISBLANK('In Process Calc.'!CA12),"",'In Process Calc.'!CA12)</f>
        <v>0</v>
      </c>
      <c r="EK12" s="243">
        <f>IF(ISBLANK('Post Process Calc.'!A12),"",'Post Process Calc.'!A12)</f>
        <v>15.666299684143066</v>
      </c>
      <c r="EL12" s="243">
        <f>IF(ISBLANK('Post Process Calc.'!C12),"",'Post Process Calc.'!C12)</f>
        <v>4.910763698539748E-3</v>
      </c>
      <c r="EM12" s="243">
        <f>IF(ISBLANK('Post Process Calc.'!D12),"",'Post Process Calc.'!D12)</f>
        <v>0</v>
      </c>
      <c r="EN12" s="243">
        <f>IF(ISBLANK('Post Process Calc.'!E12),"",'Post Process Calc.'!E12)</f>
        <v>1.7214131266917736</v>
      </c>
      <c r="EO12" s="243">
        <f>IF(ISBLANK('Post Process Calc.'!F12),"",'Post Process Calc.'!F12)</f>
        <v>-3.5741959131809398E-3</v>
      </c>
      <c r="EP12" s="243">
        <f>IF(ISBLANK('Post Process Calc.'!G12),"",'Post Process Calc.'!G12)</f>
        <v>2.4671264554532277E-4</v>
      </c>
      <c r="EQ12" s="243">
        <f>IF(ISBLANK('Post Process Calc.'!H12),"",'Post Process Calc.'!H12)</f>
        <v>3.24532621318559E-3</v>
      </c>
      <c r="ER12" s="243">
        <f>IF(ISBLANK('Post Process Calc.'!I12),"",'Post Process Calc.'!I12)</f>
        <v>6.9029737870183029E-4</v>
      </c>
      <c r="ES12" s="243">
        <f>IF(ISBLANK('Post Process Calc.'!J12),"",'Post Process Calc.'!J12)</f>
        <v>5.221405585821348E-4</v>
      </c>
      <c r="ET12" s="243">
        <f>IF(ISBLANK('Post Process Calc.'!K12),"",'Post Process Calc.'!K12)</f>
        <v>3.791441420650872E-2</v>
      </c>
      <c r="EU12" s="243">
        <f>IF(ISBLANK('Post Process Calc.'!L12),"",'Post Process Calc.'!L12)</f>
        <v>-8.7606768564061542E-5</v>
      </c>
      <c r="EV12" s="243">
        <f>IF(ISBLANK('Post Process Calc.'!M12),"",'Post Process Calc.'!M12)</f>
        <v>2.8163690574395223E-3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-3.5232107501196523E-3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8.7623461813881361E-3</v>
      </c>
      <c r="FN12" s="243">
        <f>IF(ISBLANK('Post Process Calc.'!AE12),"",'Post Process Calc.'!AE12)</f>
        <v>5.1881502682071977E-3</v>
      </c>
      <c r="FO12" s="243">
        <f>IF(ISBLANK('Post Process Calc.'!AF12),"",'Post Process Calc.'!AF12)</f>
        <v>4.2219800053510538E-2</v>
      </c>
      <c r="FP12" s="243">
        <f>IF(ISBLANK('Post Process Calc.'!AG12),"",'Post Process Calc.'!AG12)</f>
        <v>-9.2925364240886182E-2</v>
      </c>
      <c r="FQ12" s="243">
        <f>IF(ISBLANK('Post Process Calc.'!AH12),"",'Post Process Calc.'!AH12)</f>
        <v>0</v>
      </c>
      <c r="FR12" s="243">
        <f>IF(ISBLANK('Post Process Calc.'!AI12),"",'Post Process Calc.'!AI12)</f>
        <v>-2.3106454470559167E-3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16.470799310302734</v>
      </c>
      <c r="EL13" s="243">
        <f>IF(ISBLANK('Post Process Calc.'!C13),"",'Post Process Calc.'!C13)</f>
        <v>2.7441330068173207E-3</v>
      </c>
      <c r="EM13" s="243">
        <f>IF(ISBLANK('Post Process Calc.'!D13),"",'Post Process Calc.'!D13)</f>
        <v>0</v>
      </c>
      <c r="EN13" s="243">
        <f>IF(ISBLANK('Post Process Calc.'!E13),"",'Post Process Calc.'!E13)</f>
        <v>1.7444034793051153</v>
      </c>
      <c r="EO13" s="243">
        <f>IF(ISBLANK('Post Process Calc.'!F13),"",'Post Process Calc.'!F13)</f>
        <v>-1.1652344887837774E-3</v>
      </c>
      <c r="EP13" s="243">
        <f>IF(ISBLANK('Post Process Calc.'!G13),"",'Post Process Calc.'!G13)</f>
        <v>4.9388630130191562E-4</v>
      </c>
      <c r="EQ13" s="243">
        <f>IF(ISBLANK('Post Process Calc.'!H13),"",'Post Process Calc.'!H13)</f>
        <v>2.8595167128545669E-3</v>
      </c>
      <c r="ER13" s="243">
        <f>IF(ISBLANK('Post Process Calc.'!I13),"",'Post Process Calc.'!I13)</f>
        <v>1.2484241344287452E-3</v>
      </c>
      <c r="ES13" s="243">
        <f>IF(ISBLANK('Post Process Calc.'!J13),"",'Post Process Calc.'!J13)</f>
        <v>3.1654602679736979E-4</v>
      </c>
      <c r="ET13" s="243">
        <f>IF(ISBLANK('Post Process Calc.'!K13),"",'Post Process Calc.'!K13)</f>
        <v>3.9523240928229945E-2</v>
      </c>
      <c r="EU13" s="243">
        <f>IF(ISBLANK('Post Process Calc.'!L13),"",'Post Process Calc.'!L13)</f>
        <v>8.5858801908902797E-4</v>
      </c>
      <c r="EV13" s="243">
        <f>IF(ISBLANK('Post Process Calc.'!M13),"",'Post Process Calc.'!M13)</f>
        <v>6.0019955543282304E-3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-5.8502441791246553E-3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1.6116821080749359E-2</v>
      </c>
      <c r="FN13" s="243">
        <f>IF(ISBLANK('Post Process Calc.'!AE13),"",'Post Process Calc.'!AE13)</f>
        <v>1.495158659196558E-2</v>
      </c>
      <c r="FO13" s="243">
        <f>IF(ISBLANK('Post Process Calc.'!AF13),"",'Post Process Calc.'!AF13)</f>
        <v>5.5081125289983143E-2</v>
      </c>
      <c r="FP13" s="243">
        <f>IF(ISBLANK('Post Process Calc.'!AG13),"",'Post Process Calc.'!AG13)</f>
        <v>-0.14802035566233257</v>
      </c>
      <c r="FQ13" s="243">
        <f>IF(ISBLANK('Post Process Calc.'!AH13),"",'Post Process Calc.'!AH13)</f>
        <v>0</v>
      </c>
      <c r="FR13" s="243">
        <f>IF(ISBLANK('Post Process Calc.'!AI13),"",'Post Process Calc.'!AI13)</f>
        <v>2.1723623845730001E-2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15.796199662780761</v>
      </c>
      <c r="EL14" s="243">
        <f>IF(ISBLANK('Post Process Calc.'!C14),"",'Post Process Calc.'!C14)</f>
        <v>1.5253730757170826E-3</v>
      </c>
      <c r="EM14" s="243">
        <f>IF(ISBLANK('Post Process Calc.'!D14),"",'Post Process Calc.'!D14)</f>
        <v>0</v>
      </c>
      <c r="EN14" s="243">
        <f>IF(ISBLANK('Post Process Calc.'!E14),"",'Post Process Calc.'!E14)</f>
        <v>1.8823653559298608</v>
      </c>
      <c r="EO14" s="243">
        <f>IF(ISBLANK('Post Process Calc.'!F14),"",'Post Process Calc.'!F14)</f>
        <v>1.6700172612508818E-3</v>
      </c>
      <c r="EP14" s="243">
        <f>IF(ISBLANK('Post Process Calc.'!G14),"",'Post Process Calc.'!G14)</f>
        <v>8.0524652259067236E-4</v>
      </c>
      <c r="EQ14" s="243">
        <f>IF(ISBLANK('Post Process Calc.'!H14),"",'Post Process Calc.'!H14)</f>
        <v>2.0517262868168973E-3</v>
      </c>
      <c r="ER14" s="243">
        <f>IF(ISBLANK('Post Process Calc.'!I14),"",'Post Process Calc.'!I14)</f>
        <v>1.5396615856187272E-3</v>
      </c>
      <c r="ES14" s="243">
        <f>IF(ISBLANK('Post Process Calc.'!J14),"",'Post Process Calc.'!J14)</f>
        <v>9.6771126895991909E-5</v>
      </c>
      <c r="ET14" s="243">
        <f>IF(ISBLANK('Post Process Calc.'!K14),"",'Post Process Calc.'!K14)</f>
        <v>4.3179612487732548E-2</v>
      </c>
      <c r="EU14" s="243">
        <f>IF(ISBLANK('Post Process Calc.'!L14),"",'Post Process Calc.'!L14)</f>
        <v>1.4807072490990378E-3</v>
      </c>
      <c r="EV14" s="243">
        <f>IF(ISBLANK('Post Process Calc.'!M14),"",'Post Process Calc.'!M14)</f>
        <v>9.8733493066436705E-3</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-7.1231738177513285E-3</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2.5424180612525164E-2</v>
      </c>
      <c r="FN14" s="243">
        <f>IF(ISBLANK('Post Process Calc.'!AE14),"",'Post Process Calc.'!AE14)</f>
        <v>2.7094197873776052E-2</v>
      </c>
      <c r="FO14" s="243">
        <f>IF(ISBLANK('Post Process Calc.'!AF14),"",'Post Process Calc.'!AF14)</f>
        <v>7.1834868531479107E-2</v>
      </c>
      <c r="FP14" s="243">
        <f>IF(ISBLANK('Post Process Calc.'!AG14),"",'Post Process Calc.'!AG14)</f>
        <v>-0.16496613580714839</v>
      </c>
      <c r="FQ14" s="243">
        <f>IF(ISBLANK('Post Process Calc.'!AH14),"",'Post Process Calc.'!AH14)</f>
        <v>0</v>
      </c>
      <c r="FR14" s="243">
        <f>IF(ISBLANK('Post Process Calc.'!AI14),"",'Post Process Calc.'!AI14)</f>
        <v>3.4291814210229678E-2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16.004000527954101</v>
      </c>
      <c r="EL15" s="243">
        <f>IF(ISBLANK('Post Process Calc.'!C15),"",'Post Process Calc.'!C15)</f>
        <v>8.4350394953332426E-4</v>
      </c>
      <c r="EM15" s="243">
        <f>IF(ISBLANK('Post Process Calc.'!D15),"",'Post Process Calc.'!D15)</f>
        <v>0</v>
      </c>
      <c r="EN15" s="243">
        <f>IF(ISBLANK('Post Process Calc.'!E15),"",'Post Process Calc.'!E15)</f>
        <v>1.8805900397574131</v>
      </c>
      <c r="EO15" s="243">
        <f>IF(ISBLANK('Post Process Calc.'!F15),"",'Post Process Calc.'!F15)</f>
        <v>5.0523542007478387E-3</v>
      </c>
      <c r="EP15" s="243">
        <f>IF(ISBLANK('Post Process Calc.'!G15),"",'Post Process Calc.'!G15)</f>
        <v>1.1337540677204352E-3</v>
      </c>
      <c r="EQ15" s="243">
        <f>IF(ISBLANK('Post Process Calc.'!H15),"",'Post Process Calc.'!H15)</f>
        <v>4.2136038626518224E-4</v>
      </c>
      <c r="ER15" s="243">
        <f>IF(ISBLANK('Post Process Calc.'!I15),"",'Post Process Calc.'!I15)</f>
        <v>1.2920330690850638E-3</v>
      </c>
      <c r="ES15" s="243">
        <f>IF(ISBLANK('Post Process Calc.'!J15),"",'Post Process Calc.'!J15)</f>
        <v>-1.8027939555403895E-4</v>
      </c>
      <c r="ET15" s="243">
        <f>IF(ISBLANK('Post Process Calc.'!K15),"",'Post Process Calc.'!K15)</f>
        <v>4.2855703956809273E-2</v>
      </c>
      <c r="EU15" s="243">
        <f>IF(ISBLANK('Post Process Calc.'!L15),"",'Post Process Calc.'!L15)</f>
        <v>1.5029904364080862E-3</v>
      </c>
      <c r="EV15" s="243">
        <f>IF(ISBLANK('Post Process Calc.'!M15),"",'Post Process Calc.'!M15)</f>
        <v>1.3538631146859709E-2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-5.9164468412406714E-3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3.4265525596986562E-2</v>
      </c>
      <c r="FN15" s="243">
        <f>IF(ISBLANK('Post Process Calc.'!AE15),"",'Post Process Calc.'!AE15)</f>
        <v>3.9317879797734413E-2</v>
      </c>
      <c r="FO15" s="243">
        <f>IF(ISBLANK('Post Process Calc.'!AF15),"",'Post Process Calc.'!AF15)</f>
        <v>8.449565442683396E-2</v>
      </c>
      <c r="FP15" s="243">
        <f>IF(ISBLANK('Post Process Calc.'!AG15),"",'Post Process Calc.'!AG15)</f>
        <v>-0.13805506140334015</v>
      </c>
      <c r="FQ15" s="243">
        <f>IF(ISBLANK('Post Process Calc.'!AH15),"",'Post Process Calc.'!AH15)</f>
        <v>0</v>
      </c>
      <c r="FR15" s="243">
        <f>IF(ISBLANK('Post Process Calc.'!AI15),"",'Post Process Calc.'!AI15)</f>
        <v>3.5070954333706106E-2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15.927300317382812</v>
      </c>
      <c r="EL16" s="243">
        <f>IF(ISBLANK('Post Process Calc.'!C16),"",'Post Process Calc.'!C16)</f>
        <v>4.5085852626342119E-4</v>
      </c>
      <c r="EM16" s="243">
        <f>IF(ISBLANK('Post Process Calc.'!D16),"",'Post Process Calc.'!D16)</f>
        <v>0</v>
      </c>
      <c r="EN16" s="243">
        <f>IF(ISBLANK('Post Process Calc.'!E16),"",'Post Process Calc.'!E16)</f>
        <v>1.8732600906828103</v>
      </c>
      <c r="EO16" s="243">
        <f>IF(ISBLANK('Post Process Calc.'!F16),"",'Post Process Calc.'!F16)</f>
        <v>9.2845168664395118E-3</v>
      </c>
      <c r="EP16" s="243">
        <f>IF(ISBLANK('Post Process Calc.'!G16),"",'Post Process Calc.'!G16)</f>
        <v>1.5145551849792805E-3</v>
      </c>
      <c r="EQ16" s="243">
        <f>IF(ISBLANK('Post Process Calc.'!H16),"",'Post Process Calc.'!H16)</f>
        <v>-2.1971099744361533E-3</v>
      </c>
      <c r="ER16" s="243">
        <f>IF(ISBLANK('Post Process Calc.'!I16),"",'Post Process Calc.'!I16)</f>
        <v>4.3988780188284834E-4</v>
      </c>
      <c r="ES16" s="243">
        <f>IF(ISBLANK('Post Process Calc.'!J16),"",'Post Process Calc.'!J16)</f>
        <v>-5.2251859398054316E-4</v>
      </c>
      <c r="ET16" s="243">
        <f>IF(ISBLANK('Post Process Calc.'!K16),"",'Post Process Calc.'!K16)</f>
        <v>4.1231543662370175E-2</v>
      </c>
      <c r="EU16" s="243">
        <f>IF(ISBLANK('Post Process Calc.'!L16),"",'Post Process Calc.'!L16)</f>
        <v>7.6880888906818827E-4</v>
      </c>
      <c r="EV16" s="243">
        <f>IF(ISBLANK('Post Process Calc.'!M16),"",'Post Process Calc.'!M16)</f>
        <v>1.7891795965451585E-2</v>
      </c>
      <c r="EW16" s="243">
        <f>IF(ISBLANK('Post Process Calc.'!N16),"",'Post Process Calc.'!N16)</f>
        <v>0</v>
      </c>
      <c r="EX16" s="243">
        <f>IF(ISBLANK('Post Process Calc.'!O16),"",'Post Process Calc.'!O16)</f>
        <v>0</v>
      </c>
      <c r="EY16" s="243">
        <f>IF(ISBLANK('Post Process Calc.'!P16),"",'Post Process Calc.'!P16)</f>
        <v>0</v>
      </c>
      <c r="EZ16" s="243">
        <f>IF(ISBLANK('Post Process Calc.'!Q16),"",'Post Process Calc.'!Q16)</f>
        <v>-1.0711425420801498E-3</v>
      </c>
      <c r="FA16" s="243">
        <f>IF(ISBLANK('Post Process Calc.'!R16),"",'Post Process Calc.'!R16)</f>
        <v>0</v>
      </c>
      <c r="FB16" s="243">
        <f>IF(ISBLANK('Post Process Calc.'!S16),"",'Post Process Calc.'!S16)</f>
        <v>0</v>
      </c>
      <c r="FC16" s="243">
        <f>IF(ISBLANK('Post Process Calc.'!T16),"",'Post Process Calc.'!T16)</f>
        <v>0</v>
      </c>
      <c r="FD16" s="243">
        <f>IF(ISBLANK('Post Process Calc.'!U16),"",'Post Process Calc.'!U16)</f>
        <v>0</v>
      </c>
      <c r="FE16" s="243">
        <f>IF(ISBLANK('Post Process Calc.'!V16),"",'Post Process Calc.'!V16)</f>
        <v>0</v>
      </c>
      <c r="FF16" s="243">
        <f>IF(ISBLANK('Post Process Calc.'!W16),"",'Post Process Calc.'!W16)</f>
        <v>0</v>
      </c>
      <c r="FG16" s="243">
        <f>IF(ISBLANK('Post Process Calc.'!X16),"",'Post Process Calc.'!X16)</f>
        <v>0</v>
      </c>
      <c r="FH16" s="243">
        <f>IF(ISBLANK('Post Process Calc.'!Y16),"",'Post Process Calc.'!Y16)</f>
        <v>0</v>
      </c>
      <c r="FI16" s="243">
        <f>IF(ISBLANK('Post Process Calc.'!Z16),"",'Post Process Calc.'!Z16)</f>
        <v>0</v>
      </c>
      <c r="FJ16" s="243">
        <f>IF(ISBLANK('Post Process Calc.'!AA16),"",'Post Process Calc.'!AA16)</f>
        <v>0</v>
      </c>
      <c r="FK16" s="243">
        <f>IF(ISBLANK('Post Process Calc.'!AB16),"",'Post Process Calc.'!AB16)</f>
        <v>0</v>
      </c>
      <c r="FL16" s="243">
        <f>IF(ISBLANK('Post Process Calc.'!AC16),"",'Post Process Calc.'!AC16)</f>
        <v>0</v>
      </c>
      <c r="FM16" s="243">
        <f>IF(ISBLANK('Post Process Calc.'!AD16),"",'Post Process Calc.'!AD16)</f>
        <v>4.4918877405053285E-2</v>
      </c>
      <c r="FN16" s="243">
        <f>IF(ISBLANK('Post Process Calc.'!AE16),"",'Post Process Calc.'!AE16)</f>
        <v>5.4203394271492809E-2</v>
      </c>
      <c r="FO16" s="243">
        <f>IF(ISBLANK('Post Process Calc.'!AF16),"",'Post Process Calc.'!AF16)</f>
        <v>9.8815737881976146E-2</v>
      </c>
      <c r="FP16" s="243">
        <f>IF(ISBLANK('Post Process Calc.'!AG16),"",'Post Process Calc.'!AG16)</f>
        <v>-2.5978715491501821E-2</v>
      </c>
      <c r="FQ16" s="243">
        <f>IF(ISBLANK('Post Process Calc.'!AH16),"",'Post Process Calc.'!AH16)</f>
        <v>0</v>
      </c>
      <c r="FR16" s="243">
        <f>IF(ISBLANK('Post Process Calc.'!AI16),"",'Post Process Calc.'!AI16)</f>
        <v>1.8646134022137984E-2</v>
      </c>
      <c r="FS16" s="243">
        <f>IF(ISBLANK('Post Process Calc.'!AJ16),"",'Post Process Calc.'!AJ16)</f>
        <v>0</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13.334700448608398</v>
      </c>
      <c r="EL17" s="243">
        <f>IF(ISBLANK('Post Process Calc.'!C17),"",'Post Process Calc.'!C17)</f>
        <v>2.3603367431453538E-4</v>
      </c>
      <c r="EM17" s="243">
        <f>IF(ISBLANK('Post Process Calc.'!D17),"",'Post Process Calc.'!D17)</f>
        <v>0</v>
      </c>
      <c r="EN17" s="243">
        <f>IF(ISBLANK('Post Process Calc.'!E17),"",'Post Process Calc.'!E17)</f>
        <v>2.1672696599436696</v>
      </c>
      <c r="EO17" s="243">
        <f>IF(ISBLANK('Post Process Calc.'!F17),"",'Post Process Calc.'!F17)</f>
        <v>1.7057562992790494E-2</v>
      </c>
      <c r="EP17" s="243">
        <f>IF(ISBLANK('Post Process Calc.'!G17),"",'Post Process Calc.'!G17)</f>
        <v>2.3132511250077438E-3</v>
      </c>
      <c r="EQ17" s="243">
        <f>IF(ISBLANK('Post Process Calc.'!H17),"",'Post Process Calc.'!H17)</f>
        <v>-7.1264018794326969E-3</v>
      </c>
      <c r="ER17" s="243">
        <f>IF(ISBLANK('Post Process Calc.'!I17),"",'Post Process Calc.'!I17)</f>
        <v>-1.4855981652993732E-3</v>
      </c>
      <c r="ES17" s="243">
        <f>IF(ISBLANK('Post Process Calc.'!J17),"",'Post Process Calc.'!J17)</f>
        <v>-1.1087487352377391E-3</v>
      </c>
      <c r="ET17" s="243">
        <f>IF(ISBLANK('Post Process Calc.'!K17),"",'Post Process Calc.'!K17)</f>
        <v>4.396342073006148E-2</v>
      </c>
      <c r="EU17" s="243">
        <f>IF(ISBLANK('Post Process Calc.'!L17),"",'Post Process Calc.'!L17)</f>
        <v>-9.727627145118239E-4</v>
      </c>
      <c r="EV17" s="243">
        <f>IF(ISBLANK('Post Process Calc.'!M17),"",'Post Process Calc.'!M17)</f>
        <v>2.7027592334932272E-2</v>
      </c>
      <c r="EW17" s="243">
        <f>IF(ISBLANK('Post Process Calc.'!N17),"",'Post Process Calc.'!N17)</f>
        <v>0</v>
      </c>
      <c r="EX17" s="243">
        <f>IF(ISBLANK('Post Process Calc.'!O17),"",'Post Process Calc.'!O17)</f>
        <v>0</v>
      </c>
      <c r="EY17" s="243">
        <f>IF(ISBLANK('Post Process Calc.'!P17),"",'Post Process Calc.'!P17)</f>
        <v>0</v>
      </c>
      <c r="EZ17" s="243">
        <f>IF(ISBLANK('Post Process Calc.'!Q17),"",'Post Process Calc.'!Q17)</f>
        <v>1.0867214874817652E-2</v>
      </c>
      <c r="FA17" s="243">
        <f>IF(ISBLANK('Post Process Calc.'!R17),"",'Post Process Calc.'!R17)</f>
        <v>0</v>
      </c>
      <c r="FB17" s="243">
        <f>IF(ISBLANK('Post Process Calc.'!S17),"",'Post Process Calc.'!S17)</f>
        <v>0</v>
      </c>
      <c r="FC17" s="243">
        <f>IF(ISBLANK('Post Process Calc.'!T17),"",'Post Process Calc.'!T17)</f>
        <v>0</v>
      </c>
      <c r="FD17" s="243">
        <f>IF(ISBLANK('Post Process Calc.'!U17),"",'Post Process Calc.'!U17)</f>
        <v>0</v>
      </c>
      <c r="FE17" s="243">
        <f>IF(ISBLANK('Post Process Calc.'!V17),"",'Post Process Calc.'!V17)</f>
        <v>0</v>
      </c>
      <c r="FF17" s="243">
        <f>IF(ISBLANK('Post Process Calc.'!W17),"",'Post Process Calc.'!W17)</f>
        <v>0</v>
      </c>
      <c r="FG17" s="243">
        <f>IF(ISBLANK('Post Process Calc.'!X17),"",'Post Process Calc.'!X17)</f>
        <v>0</v>
      </c>
      <c r="FH17" s="243">
        <f>IF(ISBLANK('Post Process Calc.'!Y17),"",'Post Process Calc.'!Y17)</f>
        <v>0</v>
      </c>
      <c r="FI17" s="243">
        <f>IF(ISBLANK('Post Process Calc.'!Z17),"",'Post Process Calc.'!Z17)</f>
        <v>0</v>
      </c>
      <c r="FJ17" s="243">
        <f>IF(ISBLANK('Post Process Calc.'!AA17),"",'Post Process Calc.'!AA17)</f>
        <v>0</v>
      </c>
      <c r="FK17" s="243">
        <f>IF(ISBLANK('Post Process Calc.'!AB17),"",'Post Process Calc.'!AB17)</f>
        <v>0</v>
      </c>
      <c r="FL17" s="243">
        <f>IF(ISBLANK('Post Process Calc.'!AC17),"",'Post Process Calc.'!AC17)</f>
        <v>0</v>
      </c>
      <c r="FM17" s="243">
        <f>IF(ISBLANK('Post Process Calc.'!AD17),"",'Post Process Calc.'!AD17)</f>
        <v>6.7630023150586999E-2</v>
      </c>
      <c r="FN17" s="243">
        <f>IF(ISBLANK('Post Process Calc.'!AE17),"",'Post Process Calc.'!AE17)</f>
        <v>8.4687586143377513E-2</v>
      </c>
      <c r="FO17" s="243">
        <f>IF(ISBLANK('Post Process Calc.'!AF17),"",'Post Process Calc.'!AF17)</f>
        <v>0.1347043286111074</v>
      </c>
      <c r="FP17" s="243">
        <f>IF(ISBLANK('Post Process Calc.'!AG17),"",'Post Process Calc.'!AG17)</f>
        <v>0.24718765497214429</v>
      </c>
      <c r="FQ17" s="243">
        <f>IF(ISBLANK('Post Process Calc.'!AH17),"",'Post Process Calc.'!AH17)</f>
        <v>0</v>
      </c>
      <c r="FR17" s="243">
        <f>IF(ISBLANK('Post Process Calc.'!AI17),"",'Post Process Calc.'!AI17)</f>
        <v>-2.2126638427083643E-2</v>
      </c>
      <c r="FS17" s="243">
        <f>IF(ISBLANK('Post Process Calc.'!AJ17),"",'Post Process Calc.'!AJ17)</f>
        <v>0</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XB52</v>
      </c>
      <c r="B20" s="238">
        <f>IF(ISBLANK('Measured Data'!A15),"",'Measured Data'!A15)</f>
        <v>8</v>
      </c>
      <c r="C20" s="245">
        <f>IF(ISBLANK('Measured Data'!B15),"",'Measured Data'!B15)</f>
        <v>7.8763888888861402</v>
      </c>
      <c r="D20" s="246">
        <f>IF(ISBLANK('Measured Data'!C15),"",'Measured Data'!C15)</f>
        <v>189.03333333326736</v>
      </c>
      <c r="E20" s="238">
        <f>IF(ISBLANK('Measured Data'!D15),"",'Measured Data'!D15)</f>
        <v>20</v>
      </c>
      <c r="F20" s="238" t="str">
        <f>IF(ISBLANK('Measured Data'!E15),"",'Measured Data'!E15)</f>
        <v/>
      </c>
      <c r="G20" s="238" t="str">
        <f>IF(ISBLANK('Measured Data'!G15),"",'Measured Data'!G15)</f>
        <v/>
      </c>
      <c r="H20" s="238">
        <f>IF(ISBLANK('Measured Data'!H15),"",'Measured Data'!H15)</f>
        <v>12.503599984741211</v>
      </c>
      <c r="I20" s="238">
        <f>IF(ISBLANK('Measured Data'!I15),"",'Measured Data'!I15)</f>
        <v>9.7240433242664182E-2</v>
      </c>
      <c r="J20" s="238">
        <f>IF(ISBLANK('Measured Data'!J15),"",'Measured Data'!J15)</f>
        <v>12.600840417983875</v>
      </c>
      <c r="K20" s="238">
        <f>IF(ISBLANK('Measured Data'!K15),"",'Measured Data'!K15)</f>
        <v>99.228302001953125</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376</v>
      </c>
      <c r="S20" s="238">
        <f>IF(ISBLANK('Measured Data'!S15),"",'Measured Data'!S15)</f>
        <v>741.35</v>
      </c>
      <c r="T20" s="238">
        <f>IF(ISBLANK('Measured Data'!U15),"",'Measured Data'!U15)</f>
        <v>4.8929999999999998</v>
      </c>
      <c r="U20" s="238">
        <f>IF(ISBLANK('Measured Data'!V15),"",'Measured Data'!V15)</f>
        <v>3.0089999999999999</v>
      </c>
      <c r="V20" s="238">
        <f>IF(ISBLANK('Measured Data'!W15),"",'Measured Data'!W15)</f>
        <v>1.1599999999999999</v>
      </c>
      <c r="W20" s="238">
        <f>IF(ISBLANK('Measured Data'!X15),"",'Measured Data'!X15)</f>
        <v>3.5670000000000002</v>
      </c>
      <c r="X20" s="238">
        <f>IF(ISBLANK('Measured Data'!Y15),"",'Measured Data'!Y15)</f>
        <v>0.41</v>
      </c>
      <c r="Y20" s="238">
        <f>IF(ISBLANK('Measured Data'!Z15),"",'Measured Data'!Z15)</f>
        <v>20.260218921379249</v>
      </c>
      <c r="Z20" s="238">
        <f>IF(ISBLANK('Measured Data'!AA15),"",'Measured Data'!AA15)</f>
        <v>3.4809999999999999</v>
      </c>
      <c r="AA20" s="238">
        <f>IF(ISBLANK('Measured Data'!AB15),"",'Measured Data'!AB15)</f>
        <v>14.6</v>
      </c>
      <c r="AB20" s="238" t="str">
        <f>IF(ISBLANK('Measured Data'!AC15),"",'Measured Data'!AC15)</f>
        <v/>
      </c>
      <c r="AC20" s="238" t="str">
        <f>IF(ISBLANK('Measured Data'!AD15),"",'Measured Data'!AD15)</f>
        <v/>
      </c>
      <c r="AD20" s="238" t="str">
        <f>IF(ISBLANK('Measured Data'!AE15),"",'Measured Data'!AE15)</f>
        <v/>
      </c>
      <c r="AE20" s="238">
        <f>IF(ISBLANK('Measured Data'!AF15),"",'Measured Data'!AF15)</f>
        <v>12.655417406749555</v>
      </c>
      <c r="AF20" s="238" t="str">
        <f>IF(ISBLANK('Measured Data'!AG15),"",'Measured Data'!AG15)</f>
        <v/>
      </c>
      <c r="AG20" s="238" t="str">
        <f>IF(ISBLANK('Measured Data'!AH15),"",'Measured Data'!AH15)</f>
        <v/>
      </c>
      <c r="AH20" s="238" t="str">
        <f>IF(ISBLANK('Measured Data'!AI15),"",'Measured Data'!AI15)</f>
        <v/>
      </c>
      <c r="AI20" s="238" t="str">
        <f>IF(ISBLANK('Measured Data'!AJ15),"",'Measured Data'!AJ15)</f>
        <v/>
      </c>
      <c r="AJ20" s="238" t="str">
        <f>IF(ISBLANK('Measured Data'!AK15),"",'Measured Data'!AK15)</f>
        <v/>
      </c>
      <c r="AK20" s="238" t="str">
        <f>IF(ISBLANK('Measured Data'!AL15),"",'Measured Data'!AL15)</f>
        <v/>
      </c>
      <c r="AL20" s="238" t="str">
        <f>IF(ISBLANK('Measured Data'!AM15),"",'Measured Data'!AM15)</f>
        <v/>
      </c>
      <c r="AM20" s="238" t="str">
        <f>IF(ISBLANK('Measured Data'!AN15),"",'Measured Data'!AN15)</f>
        <v/>
      </c>
      <c r="AN20" s="238" t="str">
        <f>IF(ISBLANK('Measured Data'!AO15),"",'Measured Data'!AO15)</f>
        <v/>
      </c>
      <c r="AO20" s="238" t="str">
        <f>IF(ISBLANK('Measured Data'!AP15),"",'Measured Data'!AP15)</f>
        <v/>
      </c>
      <c r="AP20" s="238" t="str">
        <f>IF(ISBLANK('Measured Data'!AQ15),"",'Measured Data'!AQ15)</f>
        <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30178.796459672551</v>
      </c>
      <c r="BV20" s="243">
        <f>IF(ISBLANK('In Process Calc.'!M13),"",'In Process Calc.'!M13)</f>
        <v>0</v>
      </c>
      <c r="BW20" s="243">
        <f>IF(ISBLANK('In Process Calc.'!N13),"",'In Process Calc.'!N13)</f>
        <v>2953.124275277778</v>
      </c>
      <c r="BX20" s="243">
        <f>IF(ISBLANK('In Process Calc.'!O13),"",'In Process Calc.'!O13)</f>
        <v>-13.573730222222224</v>
      </c>
      <c r="BY20" s="243">
        <f>IF(ISBLANK('In Process Calc.'!P13),"",'In Process Calc.'!P13)</f>
        <v>-0.62070363888888924</v>
      </c>
      <c r="BZ20" s="243">
        <f>IF(ISBLANK('In Process Calc.'!Q13),"",'In Process Calc.'!Q13)</f>
        <v>11.163015</v>
      </c>
      <c r="CA20" s="243">
        <f>IF(ISBLANK('In Process Calc.'!R13),"",'In Process Calc.'!R13)</f>
        <v>-1.6656349722222223</v>
      </c>
      <c r="CB20" s="243">
        <f>IF(ISBLANK('In Process Calc.'!S13),"",'In Process Calc.'!S13)</f>
        <v>1.7163440555555556</v>
      </c>
      <c r="CC20" s="243">
        <f>IF(ISBLANK('In Process Calc.'!T13),"",'In Process Calc.'!T13)</f>
        <v>69.74347642302024</v>
      </c>
      <c r="CD20" s="243">
        <f>IF(ISBLANK('In Process Calc.'!U13),"",'In Process Calc.'!U13)</f>
        <v>-6.5160938333333345</v>
      </c>
      <c r="CE20" s="243">
        <f>IF(ISBLANK('In Process Calc.'!V13),"",'In Process Calc.'!V13)</f>
        <v>-12.301161305555556</v>
      </c>
      <c r="CF20" s="243">
        <f>IF(ISBLANK('In Process Calc.'!W13),"",'In Process Calc.'!W13)</f>
        <v>0</v>
      </c>
      <c r="CG20" s="243">
        <f>IF(ISBLANK('In Process Calc.'!X13),"",'In Process Calc.'!X13)</f>
        <v>0</v>
      </c>
      <c r="CH20" s="243">
        <f>IF(ISBLANK('In Process Calc.'!Y13),"",'In Process Calc.'!Y13)</f>
        <v>0</v>
      </c>
      <c r="CI20" s="243">
        <f>IF(ISBLANK('In Process Calc.'!Z13),"",'In Process Calc.'!Z13)</f>
        <v>11.715160597986976</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-17.29681061111112</v>
      </c>
      <c r="CW20" s="243">
        <f>IF(ISBLANK('In Process Calc.'!AN13),"",'In Process Calc.'!AN13)</f>
        <v>-30.870540833333344</v>
      </c>
      <c r="CX20" s="243">
        <f>IF(ISBLANK('In Process Calc.'!AO13),"",'In Process Calc.'!AO13)</f>
        <v>-8.8017224166666779</v>
      </c>
      <c r="CY20" s="243">
        <f>IF(ISBLANK('In Process Calc.'!AP13),"",'In Process Calc.'!AP13)</f>
        <v>0</v>
      </c>
      <c r="CZ20" s="243">
        <f>IF(ISBLANK('In Process Calc.'!AQ13),"",'In Process Calc.'!AQ13)</f>
        <v>0</v>
      </c>
      <c r="DA20" s="243">
        <f>IF(ISBLANK('In Process Calc.'!AR13),"",'In Process Calc.'!AR13)</f>
        <v>8.1449108054569271E-4</v>
      </c>
      <c r="DB20" s="243">
        <f>IF(ISBLANK('In Process Calc.'!AS13),"",'In Process Calc.'!AS13)</f>
        <v>1.2016913337084495E-3</v>
      </c>
      <c r="DC20" s="243">
        <f>IF(ISBLANK('In Process Calc.'!AT13),"",'In Process Calc.'!AT13)</f>
        <v>3.8720025316275685E-4</v>
      </c>
      <c r="DD20" s="243">
        <f>IF(ISBLANK('In Process Calc.'!AU13),"",'In Process Calc.'!AU13)</f>
        <v>0.90094712015670364</v>
      </c>
      <c r="DE20" s="243">
        <f>IF(ISBLANK('In Process Calc.'!AV13),"",'In Process Calc.'!AV13)</f>
        <v>-1.5307443244447878E-3</v>
      </c>
      <c r="DF20" s="243">
        <f>IF(ISBLANK('In Process Calc.'!AW13),"",'In Process Calc.'!AW13)</f>
        <v>7.2807176071529062E-4</v>
      </c>
      <c r="DG20" s="243">
        <f>IF(ISBLANK('In Process Calc.'!AX13),"",'In Process Calc.'!AX13)</f>
        <v>0</v>
      </c>
      <c r="DH20" s="243">
        <f>IF(ISBLANK('In Process Calc.'!AY13),"",'In Process Calc.'!AY13)</f>
        <v>1.4503837489276525E-3</v>
      </c>
      <c r="DI20" s="243">
        <f>IF(ISBLANK('In Process Calc.'!AZ13),"",'In Process Calc.'!AZ13)</f>
        <v>2.689229635719225E-4</v>
      </c>
      <c r="DJ20" s="243">
        <f>IF(ISBLANK('In Process Calc.'!BA13),"",'In Process Calc.'!BA13)</f>
        <v>2.4144522984423475E-2</v>
      </c>
      <c r="DK20" s="243">
        <f>IF(ISBLANK('In Process Calc.'!BB13),"",'In Process Calc.'!BB13)</f>
        <v>4.9072494838001363E-4</v>
      </c>
      <c r="DL20" s="243">
        <f>IF(ISBLANK('In Process Calc.'!BC13),"",'In Process Calc.'!BC13)</f>
        <v>7.2295427605755958E-3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1.1311842088251572E-2</v>
      </c>
      <c r="ED20" s="243">
        <f>IF(ISBLANK('In Process Calc.'!BU13),"",'In Process Calc.'!BU13)</f>
        <v>1.2842586412696359E-2</v>
      </c>
      <c r="EE20" s="243">
        <f>IF(ISBLANK('In Process Calc.'!BV13),"",'In Process Calc.'!BV13)</f>
        <v>4.5792608912877571E-2</v>
      </c>
      <c r="EF20" s="243">
        <f>IF(ISBLANK('In Process Calc.'!BW13),"",'In Process Calc.'!BW13)</f>
        <v>5.0384841886211937E-2</v>
      </c>
      <c r="EG20" s="243">
        <f>IF(ISBLANK('In Process Calc.'!BX13),"",'In Process Calc.'!BX13)</f>
        <v>-0.43541411841224298</v>
      </c>
      <c r="EH20" s="243">
        <f>IF(ISBLANK('In Process Calc.'!BY13),"",'In Process Calc.'!BY13)</f>
        <v>0</v>
      </c>
      <c r="EI20" s="243">
        <f>IF(ISBLANK('In Process Calc.'!BZ13),"",'In Process Calc.'!BZ13)</f>
        <v>2.0324483059640418E-2</v>
      </c>
      <c r="EJ20" s="243">
        <f>IF(ISBLANK('In Process Calc.'!CA13),"",'In Process Calc.'!CA13)</f>
        <v>0</v>
      </c>
      <c r="EK20" s="243">
        <f>IF(ISBLANK('Post Process Calc.'!A20),"",'Post Process Calc.'!A20)</f>
        <v>0.36159999315738678</v>
      </c>
      <c r="EL20" s="243">
        <f>IF(ISBLANK('Post Process Calc.'!C20),"",'Post Process Calc.'!C20)</f>
        <v>0.14168145947515648</v>
      </c>
      <c r="EM20" s="243">
        <f>IF(ISBLANK('Post Process Calc.'!D20),"",'Post Process Calc.'!D20)</f>
        <v>2.3868760813708263E-2</v>
      </c>
      <c r="EN20" s="243">
        <f>IF(ISBLANK('Post Process Calc.'!E20),"",'Post Process Calc.'!E20)</f>
        <v>-4.2635321586077531E-2</v>
      </c>
      <c r="EO20" s="243">
        <f>IF(ISBLANK('Post Process Calc.'!F20),"",'Post Process Calc.'!F20)</f>
        <v>1.5869383937746361E-2</v>
      </c>
      <c r="EP20" s="243">
        <f>IF(ISBLANK('Post Process Calc.'!G20),"",'Post Process Calc.'!G20)</f>
        <v>7.778113486920453E-2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XB52</v>
      </c>
      <c r="B21" s="238">
        <f>IF(ISBLANK('Measured Data'!A16),"",'Measured Data'!A16)</f>
        <v>9</v>
      </c>
      <c r="C21" s="245">
        <f>IF(ISBLANK('Measured Data'!B16),"",'Measured Data'!B16)</f>
        <v>8.8743055555532919</v>
      </c>
      <c r="D21" s="246">
        <f>IF(ISBLANK('Measured Data'!C16),"",'Measured Data'!C16)</f>
        <v>212.98333333327901</v>
      </c>
      <c r="E21" s="238">
        <f>IF(ISBLANK('Measured Data'!D16),"",'Measured Data'!D16)</f>
        <v>20</v>
      </c>
      <c r="F21" s="238" t="str">
        <f>IF(ISBLANK('Measured Data'!E16),"",'Measured Data'!E16)</f>
        <v/>
      </c>
      <c r="G21" s="238" t="str">
        <f>IF(ISBLANK('Measured Data'!G16),"",'Measured Data'!G16)</f>
        <v/>
      </c>
      <c r="H21" s="238">
        <f>IF(ISBLANK('Measured Data'!H16),"",'Measured Data'!H16)</f>
        <v>15.666299684143066</v>
      </c>
      <c r="I21" s="238">
        <f>IF(ISBLANK('Measured Data'!I16),"",'Measured Data'!I16)</f>
        <v>0.13919889284012044</v>
      </c>
      <c r="J21" s="238">
        <f>IF(ISBLANK('Measured Data'!J16),"",'Measured Data'!J16)</f>
        <v>15.805498576983187</v>
      </c>
      <c r="K21" s="238">
        <f>IF(ISBLANK('Measured Data'!K16),"",'Measured Data'!K16)</f>
        <v>99.119300842285156</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371</v>
      </c>
      <c r="S21" s="238">
        <f>IF(ISBLANK('Measured Data'!S16),"",'Measured Data'!S16)</f>
        <v>1180.8699999999999</v>
      </c>
      <c r="T21" s="238">
        <f>IF(ISBLANK('Measured Data'!U16),"",'Measured Data'!U16)</f>
        <v>6.5250000000000004</v>
      </c>
      <c r="U21" s="238">
        <f>IF(ISBLANK('Measured Data'!V16),"",'Measured Data'!V16)</f>
        <v>2.5329999999999999</v>
      </c>
      <c r="V21" s="238">
        <f>IF(ISBLANK('Measured Data'!W16),"",'Measured Data'!W16)</f>
        <v>0</v>
      </c>
      <c r="W21" s="238">
        <f>IF(ISBLANK('Measured Data'!X16),"",'Measured Data'!X16)</f>
        <v>3.1579999999999999</v>
      </c>
      <c r="X21" s="238">
        <f>IF(ISBLANK('Measured Data'!Y16),"",'Measured Data'!Y16)</f>
        <v>0.23699999999999999</v>
      </c>
      <c r="Y21" s="238">
        <f>IF(ISBLANK('Measured Data'!Z16),"",'Measured Data'!Z16)</f>
        <v>9.8803259397411143</v>
      </c>
      <c r="Z21" s="238">
        <f>IF(ISBLANK('Measured Data'!AA16),"",'Measured Data'!AA16)</f>
        <v>3.5910000000000002</v>
      </c>
      <c r="AA21" s="238">
        <f>IF(ISBLANK('Measured Data'!AB16),"",'Measured Data'!AB16)</f>
        <v>11.56</v>
      </c>
      <c r="AB21" s="238" t="str">
        <f>IF(ISBLANK('Measured Data'!AC16),"",'Measured Data'!AC16)</f>
        <v/>
      </c>
      <c r="AC21" s="238" t="str">
        <f>IF(ISBLANK('Measured Data'!AD16),"",'Measured Data'!AD16)</f>
        <v/>
      </c>
      <c r="AD21" s="238" t="str">
        <f>IF(ISBLANK('Measured Data'!AE16),"",'Measured Data'!AE16)</f>
        <v/>
      </c>
      <c r="AE21" s="238">
        <f>IF(ISBLANK('Measured Data'!AF16),"",'Measured Data'!AF16)</f>
        <v>8.9920071047957375</v>
      </c>
      <c r="AF21" s="238" t="str">
        <f>IF(ISBLANK('Measured Data'!AG16),"",'Measured Data'!AG16)</f>
        <v/>
      </c>
      <c r="AG21" s="238" t="str">
        <f>IF(ISBLANK('Measured Data'!AH16),"",'Measured Data'!AH16)</f>
        <v/>
      </c>
      <c r="AH21" s="238" t="str">
        <f>IF(ISBLANK('Measured Data'!AI16),"",'Measured Data'!AI16)</f>
        <v/>
      </c>
      <c r="AI21" s="238" t="str">
        <f>IF(ISBLANK('Measured Data'!AJ16),"",'Measured Data'!AJ16)</f>
        <v/>
      </c>
      <c r="AJ21" s="238" t="str">
        <f>IF(ISBLANK('Measured Data'!AK16),"",'Measured Data'!AK16)</f>
        <v/>
      </c>
      <c r="AK21" s="238" t="str">
        <f>IF(ISBLANK('Measured Data'!AL16),"",'Measured Data'!AL16)</f>
        <v/>
      </c>
      <c r="AL21" s="238" t="str">
        <f>IF(ISBLANK('Measured Data'!AM16),"",'Measured Data'!AM16)</f>
        <v/>
      </c>
      <c r="AM21" s="238" t="str">
        <f>IF(ISBLANK('Measured Data'!AN16),"",'Measured Data'!AN16)</f>
        <v/>
      </c>
      <c r="AN21" s="238" t="str">
        <f>IF(ISBLANK('Measured Data'!AO16),"",'Measured Data'!AO16)</f>
        <v/>
      </c>
      <c r="AO21" s="238" t="str">
        <f>IF(ISBLANK('Measured Data'!AP16),"",'Measured Data'!AP16)</f>
        <v/>
      </c>
      <c r="AP21" s="238" t="str">
        <f>IF(ISBLANK('Measured Data'!AQ16),"",'Measured Data'!AQ16)</f>
        <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261.75</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28768.135541780684</v>
      </c>
      <c r="BV21" s="243">
        <f>IF(ISBLANK('In Process Calc.'!M14),"",'In Process Calc.'!M14)</f>
        <v>0</v>
      </c>
      <c r="BW21" s="243">
        <f>IF(ISBLANK('In Process Calc.'!N14),"",'In Process Calc.'!N14)</f>
        <v>3744.339647222223</v>
      </c>
      <c r="BX21" s="243">
        <f>IF(ISBLANK('In Process Calc.'!O14),"",'In Process Calc.'!O14)</f>
        <v>-11.380338611111114</v>
      </c>
      <c r="BY21" s="243">
        <f>IF(ISBLANK('In Process Calc.'!P14),"",'In Process Calc.'!P14)</f>
        <v>3.3720555555555087E-2</v>
      </c>
      <c r="BZ21" s="243">
        <f>IF(ISBLANK('In Process Calc.'!Q14),"",'In Process Calc.'!Q14)</f>
        <v>11.037007222222222</v>
      </c>
      <c r="CA21" s="243">
        <f>IF(ISBLANK('In Process Calc.'!R14),"",'In Process Calc.'!R14)</f>
        <v>-1.3265433333333343</v>
      </c>
      <c r="CB21" s="243">
        <f>IF(ISBLANK('In Process Calc.'!S14),"",'In Process Calc.'!S14)</f>
        <v>1.8084502777777778</v>
      </c>
      <c r="CC21" s="243">
        <f>IF(ISBLANK('In Process Calc.'!T14),"",'In Process Calc.'!T14)</f>
        <v>85.905125900117042</v>
      </c>
      <c r="CD21" s="243">
        <f>IF(ISBLANK('In Process Calc.'!U14),"",'In Process Calc.'!U14)</f>
        <v>-4.7493813888888905</v>
      </c>
      <c r="CE21" s="243">
        <f>IF(ISBLANK('In Process Calc.'!V14),"",'In Process Calc.'!V14)</f>
        <v>-7.5238444444444479</v>
      </c>
      <c r="CF21" s="243">
        <f>IF(ISBLANK('In Process Calc.'!W14),"",'In Process Calc.'!W14)</f>
        <v>0</v>
      </c>
      <c r="CG21" s="243">
        <f>IF(ISBLANK('In Process Calc.'!X14),"",'In Process Calc.'!X14)</f>
        <v>0</v>
      </c>
      <c r="CH21" s="243">
        <f>IF(ISBLANK('In Process Calc.'!Y14),"",'In Process Calc.'!Y14)</f>
        <v>0</v>
      </c>
      <c r="CI21" s="243">
        <f>IF(ISBLANK('In Process Calc.'!Z14),"",'In Process Calc.'!Z14)</f>
        <v>8.9694654134596412</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-3.9036919444444553</v>
      </c>
      <c r="CW21" s="243">
        <f>IF(ISBLANK('In Process Calc.'!AN14),"",'In Process Calc.'!AN14)</f>
        <v>-15.284030555555569</v>
      </c>
      <c r="CX21" s="243">
        <f>IF(ISBLANK('In Process Calc.'!AO14),"",'In Process Calc.'!AO14)</f>
        <v>22.669767222222205</v>
      </c>
      <c r="CY21" s="243">
        <f>IF(ISBLANK('In Process Calc.'!AP14),"",'In Process Calc.'!AP14)</f>
        <v>0</v>
      </c>
      <c r="CZ21" s="243">
        <f>IF(ISBLANK('In Process Calc.'!AQ14),"",'In Process Calc.'!AQ14)</f>
        <v>0</v>
      </c>
      <c r="DA21" s="243">
        <f>IF(ISBLANK('In Process Calc.'!AR14),"",'In Process Calc.'!AR14)</f>
        <v>-1.989800836565248E-3</v>
      </c>
      <c r="DB21" s="243">
        <f>IF(ISBLANK('In Process Calc.'!AS14),"",'In Process Calc.'!AS14)</f>
        <v>-1.8789030298561901E-3</v>
      </c>
      <c r="DC21" s="243">
        <f>IF(ISBLANK('In Process Calc.'!AT14),"",'In Process Calc.'!AT14)</f>
        <v>1.1089780670905789E-4</v>
      </c>
      <c r="DD21" s="243">
        <f>IF(ISBLANK('In Process Calc.'!AU14),"",'In Process Calc.'!AU14)</f>
        <v>1.1160449609330021</v>
      </c>
      <c r="DE21" s="243">
        <f>IF(ISBLANK('In Process Calc.'!AV14),"",'In Process Calc.'!AV14)</f>
        <v>3.0938777755510466E-3</v>
      </c>
      <c r="DF21" s="243">
        <f>IF(ISBLANK('In Process Calc.'!AW14),"",'In Process Calc.'!AW14)</f>
        <v>9.2309483665295087E-4</v>
      </c>
      <c r="DG21" s="243">
        <f>IF(ISBLANK('In Process Calc.'!AX14),"",'In Process Calc.'!AX14)</f>
        <v>-1.7773965270878063E-4</v>
      </c>
      <c r="DH21" s="243">
        <f>IF(ISBLANK('In Process Calc.'!AY14),"",'In Process Calc.'!AY14)</f>
        <v>4.7830404753944659E-4</v>
      </c>
      <c r="DI21" s="243">
        <f>IF(ISBLANK('In Process Calc.'!AZ14),"",'In Process Calc.'!AZ14)</f>
        <v>1.2991997985209024E-4</v>
      </c>
      <c r="DJ21" s="243">
        <f>IF(ISBLANK('In Process Calc.'!BA14),"",'In Process Calc.'!BA14)</f>
        <v>3.1093867846328657E-2</v>
      </c>
      <c r="DK21" s="243">
        <f>IF(ISBLANK('In Process Calc.'!BB14),"",'In Process Calc.'!BB14)</f>
        <v>2.4920275704379169E-3</v>
      </c>
      <c r="DL21" s="243">
        <f>IF(ISBLANK('In Process Calc.'!BC14),"",'In Process Calc.'!BC14)</f>
        <v>6.7386208593501438E-3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1.8761677844362803E-2</v>
      </c>
      <c r="ED21" s="243">
        <f>IF(ISBLANK('In Process Calc.'!BU14),"",'In Process Calc.'!BU14)</f>
        <v>1.5667800068811757E-2</v>
      </c>
      <c r="EE21" s="243">
        <f>IF(ISBLANK('In Process Calc.'!BV14),"",'In Process Calc.'!BV14)</f>
        <v>6.2955221953946358E-2</v>
      </c>
      <c r="EF21" s="243">
        <f>IF(ISBLANK('In Process Calc.'!BW14),"",'In Process Calc.'!BW14)</f>
        <v>6.3666180564781474E-2</v>
      </c>
      <c r="EG21" s="243">
        <f>IF(ISBLANK('In Process Calc.'!BX14),"",'In Process Calc.'!BX14)</f>
        <v>-1.6613194600599179E-2</v>
      </c>
      <c r="EH21" s="243">
        <f>IF(ISBLANK('In Process Calc.'!BY14),"",'In Process Calc.'!BY14)</f>
        <v>0</v>
      </c>
      <c r="EI21" s="243">
        <f>IF(ISBLANK('In Process Calc.'!BZ14),"",'In Process Calc.'!BZ14)</f>
        <v>8.0145306552210027E-2</v>
      </c>
      <c r="EJ21" s="243">
        <f>IF(ISBLANK('In Process Calc.'!CA14),"",'In Process Calc.'!CA14)</f>
        <v>0</v>
      </c>
      <c r="EK21" s="243">
        <f>IF(ISBLANK('Post Process Calc.'!A21),"",'Post Process Calc.'!A21)</f>
        <v>0.64159999315738669</v>
      </c>
      <c r="EL21" s="243">
        <f>IF(ISBLANK('Post Process Calc.'!C21),"",'Post Process Calc.'!C21)</f>
        <v>9.6502611716234005E-2</v>
      </c>
      <c r="EM21" s="243">
        <f>IF(ISBLANK('Post Process Calc.'!D21),"",'Post Process Calc.'!D21)</f>
        <v>5.6760330276691424E-2</v>
      </c>
      <c r="EN21" s="243">
        <f>IF(ISBLANK('Post Process Calc.'!E21),"",'Post Process Calc.'!E21)</f>
        <v>6.1179004635509874E-3</v>
      </c>
      <c r="EO21" s="243">
        <f>IF(ISBLANK('Post Process Calc.'!F21),"",'Post Process Calc.'!F21)</f>
        <v>-5.0216146734615988E-3</v>
      </c>
      <c r="EP21" s="243">
        <f>IF(ISBLANK('Post Process Calc.'!G21),"",'Post Process Calc.'!G21)</f>
        <v>9.9977312225397602E-3</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11.86</v>
      </c>
      <c r="BO22" s="238">
        <f>IF(ISBLANK('In Process Calc.'!C15),"",ROUND('In Process Calc.'!C15,2))</f>
        <v>284.75</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28435.689399102786</v>
      </c>
      <c r="BV22" s="243">
        <f>IF(ISBLANK('In Process Calc.'!M15),"",'In Process Calc.'!M15)</f>
        <v>0</v>
      </c>
      <c r="BW22" s="243">
        <f>IF(ISBLANK('In Process Calc.'!N15),"",'In Process Calc.'!N15)</f>
        <v>4536.1062666666667</v>
      </c>
      <c r="BX22" s="243">
        <f>IF(ISBLANK('In Process Calc.'!O15),"",'In Process Calc.'!O15)</f>
        <v>-8.7425074444444455</v>
      </c>
      <c r="BY22" s="243">
        <f>IF(ISBLANK('In Process Calc.'!P15),"",'In Process Calc.'!P15)</f>
        <v>0.73322133333333284</v>
      </c>
      <c r="BZ22" s="243">
        <f>IF(ISBLANK('In Process Calc.'!Q15),"",'In Process Calc.'!Q15)</f>
        <v>11.049097</v>
      </c>
      <c r="CA22" s="243">
        <f>IF(ISBLANK('In Process Calc.'!R15),"",'In Process Calc.'!R15)</f>
        <v>-0.4301398888888901</v>
      </c>
      <c r="CB22" s="243">
        <f>IF(ISBLANK('In Process Calc.'!S15),"",'In Process Calc.'!S15)</f>
        <v>1.7905624444444443</v>
      </c>
      <c r="CC22" s="243">
        <f>IF(ISBLANK('In Process Calc.'!T15),"",'In Process Calc.'!T15)</f>
        <v>103.61341164067417</v>
      </c>
      <c r="CD22" s="243">
        <f>IF(ISBLANK('In Process Calc.'!U15),"",'In Process Calc.'!U15)</f>
        <v>-4.4572677777777789</v>
      </c>
      <c r="CE22" s="243">
        <f>IF(ISBLANK('In Process Calc.'!V15),"",'In Process Calc.'!V15)</f>
        <v>-3.1116388888888915</v>
      </c>
      <c r="CF22" s="243">
        <f>IF(ISBLANK('In Process Calc.'!W15),"",'In Process Calc.'!W15)</f>
        <v>0</v>
      </c>
      <c r="CG22" s="243">
        <f>IF(ISBLANK('In Process Calc.'!X15),"",'In Process Calc.'!X15)</f>
        <v>0</v>
      </c>
      <c r="CH22" s="243">
        <f>IF(ISBLANK('In Process Calc.'!Y15),"",'In Process Calc.'!Y15)</f>
        <v>0</v>
      </c>
      <c r="CI22" s="243">
        <f>IF(ISBLANK('In Process Calc.'!Z15),"",'In Process Calc.'!Z15)</f>
        <v>6.0961244326031192</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7.4133824444444345</v>
      </c>
      <c r="CW22" s="243">
        <f>IF(ISBLANK('In Process Calc.'!AN15),"",'In Process Calc.'!AN15)</f>
        <v>-1.329125000000011</v>
      </c>
      <c r="CX22" s="243">
        <f>IF(ISBLANK('In Process Calc.'!AO15),"",'In Process Calc.'!AO15)</f>
        <v>46.001520111111105</v>
      </c>
      <c r="CY22" s="243">
        <f>IF(ISBLANK('In Process Calc.'!AP15),"",'In Process Calc.'!AP15)</f>
        <v>0</v>
      </c>
      <c r="CZ22" s="243">
        <f>IF(ISBLANK('In Process Calc.'!AQ15),"",'In Process Calc.'!AQ15)</f>
        <v>0</v>
      </c>
      <c r="DA22" s="243">
        <f>IF(ISBLANK('In Process Calc.'!AR15),"",'In Process Calc.'!AR15)</f>
        <v>-4.966216774884753E-4</v>
      </c>
      <c r="DB22" s="243">
        <f>IF(ISBLANK('In Process Calc.'!AS15),"",'In Process Calc.'!AS15)</f>
        <v>8.2918680996893392E-5</v>
      </c>
      <c r="DC22" s="243">
        <f>IF(ISBLANK('In Process Calc.'!AT15),"",'In Process Calc.'!AT15)</f>
        <v>5.7954035848536869E-4</v>
      </c>
      <c r="DD22" s="243">
        <f>IF(ISBLANK('In Process Calc.'!AU15),"",'In Process Calc.'!AU15)</f>
        <v>1.1827734368055296</v>
      </c>
      <c r="DE22" s="243">
        <f>IF(ISBLANK('In Process Calc.'!AV15),"",'In Process Calc.'!AV15)</f>
        <v>3.9405003420076544E-3</v>
      </c>
      <c r="DF22" s="243">
        <f>IF(ISBLANK('In Process Calc.'!AW15),"",'In Process Calc.'!AW15)</f>
        <v>1.0449429398285165E-3</v>
      </c>
      <c r="DG22" s="243">
        <f>IF(ISBLANK('In Process Calc.'!AX15),"",'In Process Calc.'!AX15)</f>
        <v>1.8060205698581703E-5</v>
      </c>
      <c r="DH22" s="243">
        <f>IF(ISBLANK('In Process Calc.'!AY15),"",'In Process Calc.'!AY15)</f>
        <v>1.3390842158688208E-3</v>
      </c>
      <c r="DI22" s="243">
        <f>IF(ISBLANK('In Process Calc.'!AZ15),"",'In Process Calc.'!AZ15)</f>
        <v>-2.6721578794918942E-5</v>
      </c>
      <c r="DJ22" s="243">
        <f>IF(ISBLANK('In Process Calc.'!BA15),"",'In Process Calc.'!BA15)</f>
        <v>3.4066597514338048E-2</v>
      </c>
      <c r="DK22" s="243">
        <f>IF(ISBLANK('In Process Calc.'!BB15),"",'In Process Calc.'!BB15)</f>
        <v>4.3637128828946106E-4</v>
      </c>
      <c r="DL22" s="243">
        <f>IF(ISBLANK('In Process Calc.'!BC15),"",'In Process Calc.'!BC15)</f>
        <v>6.5911335495535822E-3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1.693263127592529E-2</v>
      </c>
      <c r="ED22" s="243">
        <f>IF(ISBLANK('In Process Calc.'!BU15),"",'In Process Calc.'!BU15)</f>
        <v>1.2992130933917635E-2</v>
      </c>
      <c r="EE22" s="243">
        <f>IF(ISBLANK('In Process Calc.'!BV15),"",'In Process Calc.'!BV15)</f>
        <v>5.8496931067709375E-2</v>
      </c>
      <c r="EF22" s="243">
        <f>IF(ISBLANK('In Process Calc.'!BW15),"",'In Process Calc.'!BW15)</f>
        <v>5.8657260540478887E-2</v>
      </c>
      <c r="EG22" s="243">
        <f>IF(ISBLANK('In Process Calc.'!BX15),"",'In Process Calc.'!BX15)</f>
        <v>1.3567811579680563E-2</v>
      </c>
      <c r="EH22" s="243">
        <f>IF(ISBLANK('In Process Calc.'!BY15),"",'In Process Calc.'!BY15)</f>
        <v>0</v>
      </c>
      <c r="EI22" s="243">
        <f>IF(ISBLANK('In Process Calc.'!BZ15),"",'In Process Calc.'!BZ15)</f>
        <v>1.2809359317607221E-2</v>
      </c>
      <c r="EJ22" s="243">
        <f>IF(ISBLANK('In Process Calc.'!CA15),"",'In Process Calc.'!CA15)</f>
        <v>0</v>
      </c>
      <c r="EK22" s="243">
        <f>IF(ISBLANK('Post Process Calc.'!A22),"",'Post Process Calc.'!A22)</f>
        <v>1.1408499730110169</v>
      </c>
      <c r="EL22" s="243">
        <f>IF(ISBLANK('Post Process Calc.'!C22),"",'Post Process Calc.'!C22)</f>
        <v>8.8933452765325743E-2</v>
      </c>
      <c r="EM22" s="243">
        <f>IF(ISBLANK('Post Process Calc.'!D22),"",'Post Process Calc.'!D22)</f>
        <v>5.6962083011659413E-2</v>
      </c>
      <c r="EN22" s="243">
        <f>IF(ISBLANK('Post Process Calc.'!E22),"",'Post Process Calc.'!E22)</f>
        <v>-8.8274764218137039E-4</v>
      </c>
      <c r="EO22" s="243">
        <f>IF(ISBLANK('Post Process Calc.'!F22),"",'Post Process Calc.'!F22)</f>
        <v>-3.2568936396333761E-3</v>
      </c>
      <c r="EP22" s="243">
        <f>IF(ISBLANK('Post Process Calc.'!G22),"",'Post Process Calc.'!G22)</f>
        <v>-7.1214510274316793E-3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XB52</v>
      </c>
      <c r="B23" s="238">
        <f>IF(ISBLANK('Measured Data'!A17),"",'Measured Data'!A17)</f>
        <v>10</v>
      </c>
      <c r="C23" s="245">
        <f>IF(ISBLANK('Measured Data'!B17),"",'Measured Data'!B17)</f>
        <v>9.9208333333372138</v>
      </c>
      <c r="D23" s="246">
        <f>IF(ISBLANK('Measured Data'!C17),"",'Measured Data'!C17)</f>
        <v>238.10000000009313</v>
      </c>
      <c r="E23" s="238">
        <f>IF(ISBLANK('Measured Data'!D17),"",'Measured Data'!D17)</f>
        <v>46</v>
      </c>
      <c r="F23" s="238" t="str">
        <f>IF(ISBLANK('Measured Data'!E17),"",'Measured Data'!E17)</f>
        <v/>
      </c>
      <c r="G23" s="238" t="str">
        <f>IF(ISBLANK('Measured Data'!G17),"",'Measured Data'!G17)</f>
        <v/>
      </c>
      <c r="H23" s="238">
        <f>IF(ISBLANK('Measured Data'!H17),"",'Measured Data'!H17)</f>
        <v>16.470799310302734</v>
      </c>
      <c r="I23" s="238">
        <f>IF(ISBLANK('Measured Data'!I17),"",'Measured Data'!I17)</f>
        <v>0.30194314722507087</v>
      </c>
      <c r="J23" s="238">
        <f>IF(ISBLANK('Measured Data'!J17),"",'Measured Data'!J17)</f>
        <v>16.772742457527805</v>
      </c>
      <c r="K23" s="238">
        <f>IF(ISBLANK('Measured Data'!K17),"",'Measured Data'!K17)</f>
        <v>98.199798583984375</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369</v>
      </c>
      <c r="S23" s="238">
        <f>IF(ISBLANK('Measured Data'!S17),"",'Measured Data'!S17)</f>
        <v>1585.31</v>
      </c>
      <c r="T23" s="238">
        <f>IF(ISBLANK('Measured Data'!U17),"",'Measured Data'!U17)</f>
        <v>7.3479999999999999</v>
      </c>
      <c r="U23" s="238">
        <f>IF(ISBLANK('Measured Data'!V17),"",'Measured Data'!V17)</f>
        <v>2.3109999999999999</v>
      </c>
      <c r="V23" s="238">
        <f>IF(ISBLANK('Measured Data'!W17),"",'Measured Data'!W17)</f>
        <v>0</v>
      </c>
      <c r="W23" s="238">
        <f>IF(ISBLANK('Measured Data'!X17),"",'Measured Data'!X17)</f>
        <v>2.6589999999999998</v>
      </c>
      <c r="X23" s="238">
        <f>IF(ISBLANK('Measured Data'!Y17),"",'Measured Data'!Y17)</f>
        <v>0.13400000000000001</v>
      </c>
      <c r="Y23" s="238">
        <f>IF(ISBLANK('Measured Data'!Z17),"",'Measured Data'!Z17)</f>
        <v>5.4952374608672478</v>
      </c>
      <c r="Z23" s="238">
        <f>IF(ISBLANK('Measured Data'!AA17),"",'Measured Data'!AA17)</f>
        <v>3.4980000000000002</v>
      </c>
      <c r="AA23" s="238">
        <f>IF(ISBLANK('Measured Data'!AB17),"",'Measured Data'!AB17)</f>
        <v>8.9469999999999992</v>
      </c>
      <c r="AB23" s="238" t="str">
        <f>IF(ISBLANK('Measured Data'!AC17),"",'Measured Data'!AC17)</f>
        <v/>
      </c>
      <c r="AC23" s="238" t="str">
        <f>IF(ISBLANK('Measured Data'!AD17),"",'Measured Data'!AD17)</f>
        <v/>
      </c>
      <c r="AD23" s="238" t="str">
        <f>IF(ISBLANK('Measured Data'!AE17),"",'Measured Data'!AE17)</f>
        <v/>
      </c>
      <c r="AE23" s="238">
        <f>IF(ISBLANK('Measured Data'!AF17),"",'Measured Data'!AF17)</f>
        <v>7.3268206039076382</v>
      </c>
      <c r="AF23" s="238" t="str">
        <f>IF(ISBLANK('Measured Data'!AG17),"",'Measured Data'!AG17)</f>
        <v/>
      </c>
      <c r="AG23" s="238" t="str">
        <f>IF(ISBLANK('Measured Data'!AH17),"",'Measured Data'!AH17)</f>
        <v/>
      </c>
      <c r="AH23" s="238" t="str">
        <f>IF(ISBLANK('Measured Data'!AI17),"",'Measured Data'!AI17)</f>
        <v/>
      </c>
      <c r="AI23" s="238" t="str">
        <f>IF(ISBLANK('Measured Data'!AJ17),"",'Measured Data'!AJ17)</f>
        <v/>
      </c>
      <c r="AJ23" s="238" t="str">
        <f>IF(ISBLANK('Measured Data'!AK17),"",'Measured Data'!AK17)</f>
        <v/>
      </c>
      <c r="AK23" s="238" t="str">
        <f>IF(ISBLANK('Measured Data'!AL17),"",'Measured Data'!AL17)</f>
        <v/>
      </c>
      <c r="AL23" s="238" t="str">
        <f>IF(ISBLANK('Measured Data'!AM17),"",'Measured Data'!AM17)</f>
        <v/>
      </c>
      <c r="AM23" s="238" t="str">
        <f>IF(ISBLANK('Measured Data'!AN17),"",'Measured Data'!AN17)</f>
        <v/>
      </c>
      <c r="AN23" s="238" t="str">
        <f>IF(ISBLANK('Measured Data'!AO17),"",'Measured Data'!AO17)</f>
        <v/>
      </c>
      <c r="AO23" s="238" t="str">
        <f>IF(ISBLANK('Measured Data'!AP17),"",'Measured Data'!AP17)</f>
        <v/>
      </c>
      <c r="AP23" s="238" t="str">
        <f>IF(ISBLANK('Measured Data'!AQ17),"",'Measured Data'!AQ17)</f>
        <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308.58</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28204.089122047259</v>
      </c>
      <c r="BV23" s="243">
        <f>IF(ISBLANK('In Process Calc.'!M16),"",'In Process Calc.'!M16)</f>
        <v>0</v>
      </c>
      <c r="BW23" s="243">
        <f>IF(ISBLANK('In Process Calc.'!N16),"",'In Process Calc.'!N16)</f>
        <v>5200.0721833333337</v>
      </c>
      <c r="BX23" s="243">
        <f>IF(ISBLANK('In Process Calc.'!O16),"",'In Process Calc.'!O16)</f>
        <v>-5.1722416111111125</v>
      </c>
      <c r="BY23" s="243">
        <f>IF(ISBLANK('In Process Calc.'!P16),"",'In Process Calc.'!P16)</f>
        <v>1.4727088333333325</v>
      </c>
      <c r="BZ23" s="243">
        <f>IF(ISBLANK('In Process Calc.'!Q16),"",'In Process Calc.'!Q16)</f>
        <v>11.035045388888889</v>
      </c>
      <c r="CA23" s="243">
        <f>IF(ISBLANK('In Process Calc.'!R16),"",'In Process Calc.'!R16)</f>
        <v>0.62002944444444363</v>
      </c>
      <c r="CB23" s="243">
        <f>IF(ISBLANK('In Process Calc.'!S16),"",'In Process Calc.'!S16)</f>
        <v>1.6559491111111111</v>
      </c>
      <c r="CC23" s="243">
        <f>IF(ISBLANK('In Process Calc.'!T16),"",'In Process Calc.'!T16)</f>
        <v>120.05977473905473</v>
      </c>
      <c r="CD23" s="243">
        <f>IF(ISBLANK('In Process Calc.'!U16),"",'In Process Calc.'!U16)</f>
        <v>-4.0661893333333348</v>
      </c>
      <c r="CE23" s="243">
        <f>IF(ISBLANK('In Process Calc.'!V16),"",'In Process Calc.'!V16)</f>
        <v>0.1171293888888858</v>
      </c>
      <c r="CF23" s="243">
        <f>IF(ISBLANK('In Process Calc.'!W16),"",'In Process Calc.'!W16)</f>
        <v>0</v>
      </c>
      <c r="CG23" s="243">
        <f>IF(ISBLANK('In Process Calc.'!X16),"",'In Process Calc.'!X16)</f>
        <v>0</v>
      </c>
      <c r="CH23" s="243">
        <f>IF(ISBLANK('In Process Calc.'!Y16),"",'In Process Calc.'!Y16)</f>
        <v>0</v>
      </c>
      <c r="CI23" s="243">
        <f>IF(ISBLANK('In Process Calc.'!Z16),"",'In Process Calc.'!Z16)</f>
        <v>1.6682948490230904</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18.705362888888878</v>
      </c>
      <c r="CW23" s="243">
        <f>IF(ISBLANK('In Process Calc.'!AN16),"",'In Process Calc.'!AN16)</f>
        <v>13.533121277777767</v>
      </c>
      <c r="CX23" s="243">
        <f>IF(ISBLANK('In Process Calc.'!AO16),"",'In Process Calc.'!AO16)</f>
        <v>61.16367211111109</v>
      </c>
      <c r="CY23" s="243">
        <f>IF(ISBLANK('In Process Calc.'!AP16),"",'In Process Calc.'!AP16)</f>
        <v>0</v>
      </c>
      <c r="CZ23" s="243">
        <f>IF(ISBLANK('In Process Calc.'!AQ16),"",'In Process Calc.'!AQ16)</f>
        <v>0</v>
      </c>
      <c r="DA23" s="243">
        <f>IF(ISBLANK('In Process Calc.'!AR16),"",'In Process Calc.'!AR16)</f>
        <v>-3.3714386992780729E-4</v>
      </c>
      <c r="DB23" s="243">
        <f>IF(ISBLANK('In Process Calc.'!AS16),"",'In Process Calc.'!AS16)</f>
        <v>1.1189336595018567E-3</v>
      </c>
      <c r="DC23" s="243">
        <f>IF(ISBLANK('In Process Calc.'!AT16),"",'In Process Calc.'!AT16)</f>
        <v>1.456077529429664E-3</v>
      </c>
      <c r="DD23" s="243">
        <f>IF(ISBLANK('In Process Calc.'!AU16),"",'In Process Calc.'!AU16)</f>
        <v>0.96654477918216797</v>
      </c>
      <c r="DE23" s="243">
        <f>IF(ISBLANK('In Process Calc.'!AV16),"",'In Process Calc.'!AV16)</f>
        <v>5.1972875638332397E-3</v>
      </c>
      <c r="DF23" s="243">
        <f>IF(ISBLANK('In Process Calc.'!AW16),"",'In Process Calc.'!AW16)</f>
        <v>1.0764826393254464E-3</v>
      </c>
      <c r="DG23" s="243">
        <f>IF(ISBLANK('In Process Calc.'!AX16),"",'In Process Calc.'!AX16)</f>
        <v>-2.0455133339864323E-5</v>
      </c>
      <c r="DH23" s="243">
        <f>IF(ISBLANK('In Process Calc.'!AY16),"",'In Process Calc.'!AY16)</f>
        <v>1.5287466734533203E-3</v>
      </c>
      <c r="DI23" s="243">
        <f>IF(ISBLANK('In Process Calc.'!AZ16),"",'In Process Calc.'!AZ16)</f>
        <v>-1.9595857449255431E-4</v>
      </c>
      <c r="DJ23" s="243">
        <f>IF(ISBLANK('In Process Calc.'!BA16),"",'In Process Calc.'!BA16)</f>
        <v>3.6613476096878504E-2</v>
      </c>
      <c r="DK23" s="243">
        <f>IF(ISBLANK('In Process Calc.'!BB16),"",'In Process Calc.'!BB16)</f>
        <v>5.6929854265128955E-4</v>
      </c>
      <c r="DL23" s="243">
        <f>IF(ISBLANK('In Process Calc.'!BC16),"",'In Process Calc.'!BC16)</f>
        <v>4.7001646375800805E-3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1.6633857676298724E-2</v>
      </c>
      <c r="ED23" s="243">
        <f>IF(ISBLANK('In Process Calc.'!BU16),"",'In Process Calc.'!BU16)</f>
        <v>1.1436570112465485E-2</v>
      </c>
      <c r="EE23" s="243">
        <f>IF(ISBLANK('In Process Calc.'!BV16),"",'In Process Calc.'!BV16)</f>
        <v>5.3255489142107745E-2</v>
      </c>
      <c r="EF23" s="243">
        <f>IF(ISBLANK('In Process Calc.'!BW16),"",'In Process Calc.'!BW16)</f>
        <v>5.4513061122422532E-2</v>
      </c>
      <c r="EG23" s="243">
        <f>IF(ISBLANK('In Process Calc.'!BX16),"",'In Process Calc.'!BX16)</f>
        <v>-6.2450093323851992E-2</v>
      </c>
      <c r="EH23" s="243">
        <f>IF(ISBLANK('In Process Calc.'!BY16),"",'In Process Calc.'!BY16)</f>
        <v>0</v>
      </c>
      <c r="EI23" s="243">
        <f>IF(ISBLANK('In Process Calc.'!BZ16),"",'In Process Calc.'!BZ16)</f>
        <v>1.5548879902714982E-2</v>
      </c>
      <c r="EJ23" s="243">
        <f>IF(ISBLANK('In Process Calc.'!CA16),"",'In Process Calc.'!CA16)</f>
        <v>0</v>
      </c>
      <c r="EK23" s="243">
        <f>IF(ISBLANK('Post Process Calc.'!A23),"",'Post Process Calc.'!A23)</f>
        <v>2.0983499718666079</v>
      </c>
      <c r="EL23" s="243">
        <f>IF(ISBLANK('Post Process Calc.'!C23),"",'Post Process Calc.'!C23)</f>
        <v>7.6048059699223167E-2</v>
      </c>
      <c r="EM23" s="243">
        <f>IF(ISBLANK('Post Process Calc.'!D23),"",'Post Process Calc.'!D23)</f>
        <v>3.9844846263097651E-2</v>
      </c>
      <c r="EN23" s="243">
        <f>IF(ISBLANK('Post Process Calc.'!E23),"",'Post Process Calc.'!E23)</f>
        <v>-7.0498276647476691E-3</v>
      </c>
      <c r="EO23" s="243">
        <f>IF(ISBLANK('Post Process Calc.'!F23),"",'Post Process Calc.'!F23)</f>
        <v>1.0290447878109857E-3</v>
      </c>
      <c r="EP23" s="243">
        <f>IF(ISBLANK('Post Process Calc.'!G23),"",'Post Process Calc.'!G23)</f>
        <v>-7.3770227471512129E-3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XB52</v>
      </c>
      <c r="B24" s="238">
        <f>IF(ISBLANK('Measured Data'!A18),"",'Measured Data'!A18)</f>
        <v>11</v>
      </c>
      <c r="C24" s="245">
        <f>IF(ISBLANK('Measured Data'!B18),"",'Measured Data'!B18)</f>
        <v>10.90625</v>
      </c>
      <c r="D24" s="246">
        <f>IF(ISBLANK('Measured Data'!C18),"",'Measured Data'!C18)</f>
        <v>261.75</v>
      </c>
      <c r="E24" s="238">
        <f>IF(ISBLANK('Measured Data'!D18),"",'Measured Data'!D18)</f>
        <v>20</v>
      </c>
      <c r="F24" s="238" t="str">
        <f>IF(ISBLANK('Measured Data'!E18),"",'Measured Data'!E18)</f>
        <v/>
      </c>
      <c r="G24" s="238" t="str">
        <f>IF(ISBLANK('Measured Data'!G18),"",'Measured Data'!G18)</f>
        <v/>
      </c>
      <c r="H24" s="238">
        <f>IF(ISBLANK('Measured Data'!H18),"",'Measured Data'!H18)</f>
        <v>15.796199662780761</v>
      </c>
      <c r="I24" s="238">
        <f>IF(ISBLANK('Measured Data'!I18),"",'Measured Data'!I18)</f>
        <v>0.34595935503624275</v>
      </c>
      <c r="J24" s="238">
        <f>IF(ISBLANK('Measured Data'!J18),"",'Measured Data'!J18)</f>
        <v>16.142159017817004</v>
      </c>
      <c r="K24" s="238">
        <f>IF(ISBLANK('Measured Data'!K18),"",'Measured Data'!K18)</f>
        <v>97.856796264648438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395</v>
      </c>
      <c r="S24" s="238">
        <f>IF(ISBLANK('Measured Data'!S18),"",'Measured Data'!S18)</f>
        <v>2020.63</v>
      </c>
      <c r="T24" s="238">
        <f>IF(ISBLANK('Measured Data'!U18),"",'Measured Data'!U18)</f>
        <v>6.2030000000000003</v>
      </c>
      <c r="U24" s="238">
        <f>IF(ISBLANK('Measured Data'!V18),"",'Measured Data'!V18)</f>
        <v>1.97</v>
      </c>
      <c r="V24" s="238">
        <f>IF(ISBLANK('Measured Data'!W18),"",'Measured Data'!W18)</f>
        <v>6.8000000000000005E-2</v>
      </c>
      <c r="W24" s="238">
        <f>IF(ISBLANK('Measured Data'!X18),"",'Measured Data'!X18)</f>
        <v>2.4900000000000002</v>
      </c>
      <c r="X24" s="238">
        <f>IF(ISBLANK('Measured Data'!Y18),"",'Measured Data'!Y18)</f>
        <v>8.5000000000000006E-2</v>
      </c>
      <c r="Y24" s="238">
        <f>IF(ISBLANK('Measured Data'!Z18),"",'Measured Data'!Z18)</f>
        <v>7.0494460356579856</v>
      </c>
      <c r="Z24" s="238">
        <f>IF(ISBLANK('Measured Data'!AA18),"",'Measured Data'!AA18)</f>
        <v>2.5630000000000002</v>
      </c>
      <c r="AA24" s="238">
        <f>IF(ISBLANK('Measured Data'!AB18),"",'Measured Data'!AB18)</f>
        <v>6.4160000000000004</v>
      </c>
      <c r="AB24" s="238" t="str">
        <f>IF(ISBLANK('Measured Data'!AC18),"",'Measured Data'!AC18)</f>
        <v/>
      </c>
      <c r="AC24" s="238" t="str">
        <f>IF(ISBLANK('Measured Data'!AD18),"",'Measured Data'!AD18)</f>
        <v/>
      </c>
      <c r="AD24" s="238" t="str">
        <f>IF(ISBLANK('Measured Data'!AE18),"",'Measured Data'!AE18)</f>
        <v/>
      </c>
      <c r="AE24" s="238">
        <f>IF(ISBLANK('Measured Data'!AF18),"",'Measured Data'!AF18)</f>
        <v>5.8836589698046184</v>
      </c>
      <c r="AF24" s="238" t="str">
        <f>IF(ISBLANK('Measured Data'!AG18),"",'Measured Data'!AG18)</f>
        <v/>
      </c>
      <c r="AG24" s="238" t="str">
        <f>IF(ISBLANK('Measured Data'!AH18),"",'Measured Data'!AH18)</f>
        <v/>
      </c>
      <c r="AH24" s="238" t="str">
        <f>IF(ISBLANK('Measured Data'!AI18),"",'Measured Data'!AI18)</f>
        <v/>
      </c>
      <c r="AI24" s="238" t="str">
        <f>IF(ISBLANK('Measured Data'!AJ18),"",'Measured Data'!AJ18)</f>
        <v/>
      </c>
      <c r="AJ24" s="238" t="str">
        <f>IF(ISBLANK('Measured Data'!AK18),"",'Measured Data'!AK18)</f>
        <v/>
      </c>
      <c r="AK24" s="238" t="str">
        <f>IF(ISBLANK('Measured Data'!AL18),"",'Measured Data'!AL18)</f>
        <v/>
      </c>
      <c r="AL24" s="238" t="str">
        <f>IF(ISBLANK('Measured Data'!AM18),"",'Measured Data'!AM18)</f>
        <v/>
      </c>
      <c r="AM24" s="238" t="str">
        <f>IF(ISBLANK('Measured Data'!AN18),"",'Measured Data'!AN18)</f>
        <v/>
      </c>
      <c r="AN24" s="238" t="str">
        <f>IF(ISBLANK('Measured Data'!AO18),"",'Measured Data'!AO18)</f>
        <v/>
      </c>
      <c r="AO24" s="238" t="str">
        <f>IF(ISBLANK('Measured Data'!AP18),"",'Measured Data'!AP18)</f>
        <v/>
      </c>
      <c r="AP24" s="238" t="str">
        <f>IF(ISBLANK('Measured Data'!AQ18),"",'Measured Data'!AQ18)</f>
        <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13.87</v>
      </c>
      <c r="BO24" s="238">
        <f>IF(ISBLANK('In Process Calc.'!C17),"",ROUND('In Process Calc.'!C17,2))</f>
        <v>332.93</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23502.324074261476</v>
      </c>
      <c r="BV24" s="243">
        <f>IF(ISBLANK('In Process Calc.'!M17),"",'In Process Calc.'!M17)</f>
        <v>0</v>
      </c>
      <c r="BW24" s="243">
        <f>IF(ISBLANK('In Process Calc.'!N17),"",'In Process Calc.'!N17)</f>
        <v>5452.5130666666673</v>
      </c>
      <c r="BX24" s="243">
        <f>IF(ISBLANK('In Process Calc.'!O17),"",'In Process Calc.'!O17)</f>
        <v>-4.4764016666666677</v>
      </c>
      <c r="BY24" s="243">
        <f>IF(ISBLANK('In Process Calc.'!P17),"",'In Process Calc.'!P17)</f>
        <v>1.3043462222222213</v>
      </c>
      <c r="BZ24" s="243">
        <f>IF(ISBLANK('In Process Calc.'!Q17),"",'In Process Calc.'!Q17)</f>
        <v>11.008195888888888</v>
      </c>
      <c r="CA24" s="243">
        <f>IF(ISBLANK('In Process Calc.'!R17),"",'In Process Calc.'!R17)</f>
        <v>-1.1877874444444463</v>
      </c>
      <c r="CB24" s="243">
        <f>IF(ISBLANK('In Process Calc.'!S17),"",'In Process Calc.'!S17)</f>
        <v>1.2224682222222223</v>
      </c>
      <c r="CC24" s="243">
        <f>IF(ISBLANK('In Process Calc.'!T17),"",'In Process Calc.'!T17)</f>
        <v>133.47772652711561</v>
      </c>
      <c r="CD24" s="243">
        <f>IF(ISBLANK('In Process Calc.'!U17),"",'In Process Calc.'!U17)</f>
        <v>-3.4366242222222239</v>
      </c>
      <c r="CE24" s="243">
        <f>IF(ISBLANK('In Process Calc.'!V17),"",'In Process Calc.'!V17)</f>
        <v>-0.82288044444444775</v>
      </c>
      <c r="CF24" s="243">
        <f>IF(ISBLANK('In Process Calc.'!W17),"",'In Process Calc.'!W17)</f>
        <v>0</v>
      </c>
      <c r="CG24" s="243">
        <f>IF(ISBLANK('In Process Calc.'!X17),"",'In Process Calc.'!X17)</f>
        <v>0</v>
      </c>
      <c r="CH24" s="243">
        <f>IF(ISBLANK('In Process Calc.'!Y17),"",'In Process Calc.'!Y17)</f>
        <v>0</v>
      </c>
      <c r="CI24" s="243">
        <f>IF(ISBLANK('In Process Calc.'!Z17),"",'In Process Calc.'!Z17)</f>
        <v>4.0621299585553583</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16.318395111111098</v>
      </c>
      <c r="CW24" s="243">
        <f>IF(ISBLANK('In Process Calc.'!AN17),"",'In Process Calc.'!AN17)</f>
        <v>11.84199344444443</v>
      </c>
      <c r="CX24" s="243">
        <f>IF(ISBLANK('In Process Calc.'!AO17),"",'In Process Calc.'!AO17)</f>
        <v>46.574202111111077</v>
      </c>
      <c r="CY24" s="243">
        <f>IF(ISBLANK('In Process Calc.'!AP17),"",'In Process Calc.'!AP17)</f>
        <v>0</v>
      </c>
      <c r="CZ24" s="243">
        <f>IF(ISBLANK('In Process Calc.'!AQ17),"",'In Process Calc.'!AQ17)</f>
        <v>0</v>
      </c>
      <c r="DA24" s="243">
        <f>IF(ISBLANK('In Process Calc.'!AR17),"",'In Process Calc.'!AR17)</f>
        <v>-7.3261769943526621E-3</v>
      </c>
      <c r="DB24" s="243">
        <f>IF(ISBLANK('In Process Calc.'!AS17),"",'In Process Calc.'!AS17)</f>
        <v>-2.4175193017752792E-3</v>
      </c>
      <c r="DC24" s="243">
        <f>IF(ISBLANK('In Process Calc.'!AT17),"",'In Process Calc.'!AT17)</f>
        <v>4.9086576925773829E-3</v>
      </c>
      <c r="DD24" s="243">
        <f>IF(ISBLANK('In Process Calc.'!AU17),"",'In Process Calc.'!AU17)</f>
        <v>0.39334730109104238</v>
      </c>
      <c r="DE24" s="243">
        <f>IF(ISBLANK('In Process Calc.'!AV17),"",'In Process Calc.'!AV17)</f>
        <v>1.0842410330863452E-3</v>
      </c>
      <c r="DF24" s="243">
        <f>IF(ISBLANK('In Process Calc.'!AW17),"",'In Process Calc.'!AW17)</f>
        <v>-2.6233856343209686E-4</v>
      </c>
      <c r="DG24" s="243">
        <f>IF(ISBLANK('In Process Calc.'!AX17),"",'In Process Calc.'!AX17)</f>
        <v>-4.1836243880904394E-5</v>
      </c>
      <c r="DH24" s="243">
        <f>IF(ISBLANK('In Process Calc.'!AY17),"",'In Process Calc.'!AY17)</f>
        <v>-2.8168967115056527E-3</v>
      </c>
      <c r="DI24" s="243">
        <f>IF(ISBLANK('In Process Calc.'!AZ17),"",'In Process Calc.'!AZ17)</f>
        <v>-6.7543947504669329E-4</v>
      </c>
      <c r="DJ24" s="243">
        <f>IF(ISBLANK('In Process Calc.'!BA17),"",'In Process Calc.'!BA17)</f>
        <v>3.9810151286534236E-2</v>
      </c>
      <c r="DK24" s="243">
        <f>IF(ISBLANK('In Process Calc.'!BB17),"",'In Process Calc.'!BB17)</f>
        <v>9.8097318487689786E-4</v>
      </c>
      <c r="DL24" s="243">
        <f>IF(ISBLANK('In Process Calc.'!BC17),"",'In Process Calc.'!BC17)</f>
        <v>-1.4647006699484303E-3</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-3.0438761951508317E-3</v>
      </c>
      <c r="ED24" s="243">
        <f>IF(ISBLANK('In Process Calc.'!BU17),"",'In Process Calc.'!BU17)</f>
        <v>-4.1281172282371771E-3</v>
      </c>
      <c r="EE24" s="243">
        <f>IF(ISBLANK('In Process Calc.'!BV17),"",'In Process Calc.'!BV17)</f>
        <v>-1.6227514378517594E-2</v>
      </c>
      <c r="EF24" s="243">
        <f>IF(ISBLANK('In Process Calc.'!BW17),"",'In Process Calc.'!BW17)</f>
        <v>8.1575890236435262E-3</v>
      </c>
      <c r="EG24" s="243">
        <f>IF(ISBLANK('In Process Calc.'!BX17),"",'In Process Calc.'!BX17)</f>
        <v>0.13952379489100789</v>
      </c>
      <c r="EH24" s="243">
        <f>IF(ISBLANK('In Process Calc.'!BY17),"",'In Process Calc.'!BY17)</f>
        <v>0</v>
      </c>
      <c r="EI24" s="243">
        <f>IF(ISBLANK('In Process Calc.'!BZ17),"",'In Process Calc.'!BZ17)</f>
        <v>2.464128251652014E-2</v>
      </c>
      <c r="EJ24" s="243">
        <f>IF(ISBLANK('In Process Calc.'!CA17),"",'In Process Calc.'!CA17)</f>
        <v>0</v>
      </c>
      <c r="EK24" s="243">
        <f>IF(ISBLANK('Post Process Calc.'!A24),"",'Post Process Calc.'!A24)</f>
        <v>3.3895500732421873</v>
      </c>
      <c r="EL24" s="243">
        <f>IF(ISBLANK('Post Process Calc.'!C24),"",'Post Process Calc.'!C24)</f>
        <v>6.751274483686158E-2</v>
      </c>
      <c r="EM24" s="243">
        <f>IF(ISBLANK('Post Process Calc.'!D24),"",'Post Process Calc.'!D24)</f>
        <v>2.5972966531969826E-2</v>
      </c>
      <c r="EN24" s="243">
        <f>IF(ISBLANK('Post Process Calc.'!E24),"",'Post Process Calc.'!E24)</f>
        <v>-8.0374712413070325E-3</v>
      </c>
      <c r="EO24" s="243">
        <f>IF(ISBLANK('Post Process Calc.'!F24),"",'Post Process Calc.'!F24)</f>
        <v>3.4329040275665854E-3</v>
      </c>
      <c r="EP24" s="243">
        <f>IF(ISBLANK('Post Process Calc.'!G24),"",'Post Process Calc.'!G24)</f>
        <v>-5.1594592978489069E-3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XB52</v>
      </c>
      <c r="B25" s="238">
        <f>IF(ISBLANK('Measured Data'!A19),"",'Measured Data'!A19)</f>
        <v>12</v>
      </c>
      <c r="C25" s="245">
        <f>IF(ISBLANK('Measured Data'!B19),"",'Measured Data'!B19)</f>
        <v>11.864583333335759</v>
      </c>
      <c r="D25" s="246">
        <f>IF(ISBLANK('Measured Data'!C19),"",'Measured Data'!C19)</f>
        <v>284.75000000005821</v>
      </c>
      <c r="E25" s="238">
        <f>IF(ISBLANK('Measured Data'!D19),"",'Measured Data'!D19)</f>
        <v>20</v>
      </c>
      <c r="F25" s="238" t="str">
        <f>IF(ISBLANK('Measured Data'!E19),"",'Measured Data'!E19)</f>
        <v/>
      </c>
      <c r="G25" s="238" t="str">
        <f>IF(ISBLANK('Measured Data'!G19),"",'Measured Data'!G19)</f>
        <v/>
      </c>
      <c r="H25" s="238">
        <f>IF(ISBLANK('Measured Data'!H19),"",'Measured Data'!H19)</f>
        <v>16.004000527954101</v>
      </c>
      <c r="I25" s="238">
        <f>IF(ISBLANK('Measured Data'!I19),"",'Measured Data'!I19)</f>
        <v>0.569086624144024</v>
      </c>
      <c r="J25" s="238">
        <f>IF(ISBLANK('Measured Data'!J19),"",'Measured Data'!J19)</f>
        <v>16.573087152098125</v>
      </c>
      <c r="K25" s="238">
        <f>IF(ISBLANK('Measured Data'!K19),"",'Measured Data'!K19)</f>
        <v>96.566200256347656</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403</v>
      </c>
      <c r="S25" s="238">
        <f>IF(ISBLANK('Measured Data'!S19),"",'Measured Data'!S19)</f>
        <v>2508.6</v>
      </c>
      <c r="T25" s="238">
        <f>IF(ISBLANK('Measured Data'!U19),"",'Measured Data'!U19)</f>
        <v>4.8979999999999997</v>
      </c>
      <c r="U25" s="238">
        <f>IF(ISBLANK('Measured Data'!V19),"",'Measured Data'!V19)</f>
        <v>1.6319999999999999</v>
      </c>
      <c r="V25" s="238">
        <f>IF(ISBLANK('Measured Data'!W19),"",'Measured Data'!W19)</f>
        <v>6.3E-2</v>
      </c>
      <c r="W25" s="238">
        <f>IF(ISBLANK('Measured Data'!X19),"",'Measured Data'!X19)</f>
        <v>2.056</v>
      </c>
      <c r="X25" s="238">
        <f>IF(ISBLANK('Measured Data'!Y19),"",'Measured Data'!Y19)</f>
        <v>9.7000000000000003E-2</v>
      </c>
      <c r="Y25" s="238">
        <f>IF(ISBLANK('Measured Data'!Z19),"",'Measured Data'!Z19)</f>
        <v>8.6591620595483914</v>
      </c>
      <c r="Z25" s="238">
        <f>IF(ISBLANK('Measured Data'!AA19),"",'Measured Data'!AA19)</f>
        <v>2.4649999999999999</v>
      </c>
      <c r="AA25" s="238">
        <f>IF(ISBLANK('Measured Data'!AB19),"",'Measured Data'!AB19)</f>
        <v>4.1349999999999998</v>
      </c>
      <c r="AB25" s="238" t="str">
        <f>IF(ISBLANK('Measured Data'!AC19),"",'Measured Data'!AC19)</f>
        <v/>
      </c>
      <c r="AC25" s="238" t="str">
        <f>IF(ISBLANK('Measured Data'!AD19),"",'Measured Data'!AD19)</f>
        <v/>
      </c>
      <c r="AD25" s="238" t="str">
        <f>IF(ISBLANK('Measured Data'!AE19),"",'Measured Data'!AE19)</f>
        <v/>
      </c>
      <c r="AE25" s="238">
        <f>IF(ISBLANK('Measured Data'!AF19),"",'Measured Data'!AF19)</f>
        <v>4.4404973357015995</v>
      </c>
      <c r="AF25" s="238" t="str">
        <f>IF(ISBLANK('Measured Data'!AG19),"",'Measured Data'!AG19)</f>
        <v/>
      </c>
      <c r="AG25" s="238" t="str">
        <f>IF(ISBLANK('Measured Data'!AH19),"",'Measured Data'!AH19)</f>
        <v/>
      </c>
      <c r="AH25" s="238" t="str">
        <f>IF(ISBLANK('Measured Data'!AI19),"",'Measured Data'!AI19)</f>
        <v/>
      </c>
      <c r="AI25" s="238" t="str">
        <f>IF(ISBLANK('Measured Data'!AJ19),"",'Measured Data'!AJ19)</f>
        <v/>
      </c>
      <c r="AJ25" s="238" t="str">
        <f>IF(ISBLANK('Measured Data'!AK19),"",'Measured Data'!AK19)</f>
        <v/>
      </c>
      <c r="AK25" s="238" t="str">
        <f>IF(ISBLANK('Measured Data'!AL19),"",'Measured Data'!AL19)</f>
        <v/>
      </c>
      <c r="AL25" s="238" t="str">
        <f>IF(ISBLANK('Measured Data'!AM19),"",'Measured Data'!AM19)</f>
        <v/>
      </c>
      <c r="AM25" s="238" t="str">
        <f>IF(ISBLANK('Measured Data'!AN19),"",'Measured Data'!AN19)</f>
        <v/>
      </c>
      <c r="AN25" s="238" t="str">
        <f>IF(ISBLANK('Measured Data'!AO19),"",'Measured Data'!AO19)</f>
        <v/>
      </c>
      <c r="AO25" s="238" t="str">
        <f>IF(ISBLANK('Measured Data'!AP19),"",'Measured Data'!AP19)</f>
        <v/>
      </c>
      <c r="AP25" s="238" t="str">
        <f>IF(ISBLANK('Measured Data'!AQ19),"",'Measured Data'!AQ19)</f>
        <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5.3854001594543455</v>
      </c>
      <c r="EL25" s="243">
        <f>IF(ISBLANK('Post Process Calc.'!C25),"",'Post Process Calc.'!C25)</f>
        <v>5.7172683262818207E-2</v>
      </c>
      <c r="EM25" s="243">
        <f>IF(ISBLANK('Post Process Calc.'!D25),"",'Post Process Calc.'!D25)</f>
        <v>1.4386234443646301E-2</v>
      </c>
      <c r="EN25" s="243">
        <f>IF(ISBLANK('Post Process Calc.'!E25),"",'Post Process Calc.'!E25)</f>
        <v>-6.3188815405761751E-3</v>
      </c>
      <c r="EO25" s="243">
        <f>IF(ISBLANK('Post Process Calc.'!F25),"",'Post Process Calc.'!F25)</f>
        <v>4.2852971946348148E-3</v>
      </c>
      <c r="EP25" s="243">
        <f>IF(ISBLANK('Post Process Calc.'!G25),"",'Post Process Calc.'!G25)</f>
        <v>-2.9030930592888636E-3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8.3361998630523679</v>
      </c>
      <c r="EL26" s="243">
        <f>IF(ISBLANK('Post Process Calc.'!C26),"",'Post Process Calc.'!C26)</f>
        <v>4.7569789983488348E-2</v>
      </c>
      <c r="EM26" s="243">
        <f>IF(ISBLANK('Post Process Calc.'!D26),"",'Post Process Calc.'!D26)</f>
        <v>6.0691215806835492E-3</v>
      </c>
      <c r="EN26" s="243">
        <f>IF(ISBLANK('Post Process Calc.'!E26),"",'Post Process Calc.'!E26)</f>
        <v>-3.9333998407575371E-3</v>
      </c>
      <c r="EO26" s="243">
        <f>IF(ISBLANK('Post Process Calc.'!F26),"",'Post Process Calc.'!F26)</f>
        <v>4.2286911415685743E-3</v>
      </c>
      <c r="EP26" s="243">
        <f>IF(ISBLANK('Post Process Calc.'!G26),"",'Post Process Calc.'!G26)</f>
        <v>-1.2864779853748109E-3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11.224649770355224</v>
      </c>
      <c r="EL27" s="243">
        <f>IF(ISBLANK('Post Process Calc.'!C27),"",'Post Process Calc.'!C27)</f>
        <v>4.2933421169757249E-2</v>
      </c>
      <c r="EM27" s="243">
        <f>IF(ISBLANK('Post Process Calc.'!D27),"",'Post Process Calc.'!D27)</f>
        <v>1.0503141586855438E-3</v>
      </c>
      <c r="EN27" s="243">
        <f>IF(ISBLANK('Post Process Calc.'!E27),"",'Post Process Calc.'!E27)</f>
        <v>-2.0974193157728346E-3</v>
      </c>
      <c r="EO27" s="243">
        <f>IF(ISBLANK('Post Process Calc.'!F27),"",'Post Process Calc.'!F27)</f>
        <v>3.992106310231283E-3</v>
      </c>
      <c r="EP27" s="243">
        <f>IF(ISBLANK('Post Process Calc.'!G27),"",'Post Process Calc.'!G27)</f>
        <v>-3.7844230722389063E-4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14.084949834442138</v>
      </c>
      <c r="EL28" s="243">
        <f>IF(ISBLANK('Post Process Calc.'!C28),"",'Post Process Calc.'!C28)</f>
        <v>3.9759826158421149E-2</v>
      </c>
      <c r="EM28" s="243">
        <f>IF(ISBLANK('Post Process Calc.'!D28),"",'Post Process Calc.'!D28)</f>
        <v>-2.352584080629559E-3</v>
      </c>
      <c r="EN28" s="243">
        <f>IF(ISBLANK('Post Process Calc.'!E28),"",'Post Process Calc.'!E28)</f>
        <v>-6.5328513771699837E-4</v>
      </c>
      <c r="EO28" s="243">
        <f>IF(ISBLANK('Post Process Calc.'!F28),"",'Post Process Calc.'!F28)</f>
        <v>3.5677549154578773E-3</v>
      </c>
      <c r="EP28" s="243">
        <f>IF(ISBLANK('Post Process Calc.'!G28),"",'Post Process Calc.'!G28)</f>
        <v>1.800795084200868E-4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XB52</v>
      </c>
      <c r="B29" s="238">
        <f>IF(ISBLANK('Measured Data'!A20),"",'Measured Data'!A20)</f>
        <v>13</v>
      </c>
      <c r="C29" s="245">
        <f>IF(ISBLANK('Measured Data'!B20),"",'Measured Data'!B20)</f>
        <v>12.857638888890506</v>
      </c>
      <c r="D29" s="246">
        <f>IF(ISBLANK('Measured Data'!C20),"",'Measured Data'!C20)</f>
        <v>308.58333333337214</v>
      </c>
      <c r="E29" s="238">
        <f>IF(ISBLANK('Measured Data'!D20),"",'Measured Data'!D20)</f>
        <v>20</v>
      </c>
      <c r="F29" s="238" t="str">
        <f>IF(ISBLANK('Measured Data'!E20),"",'Measured Data'!E20)</f>
        <v/>
      </c>
      <c r="G29" s="238" t="str">
        <f>IF(ISBLANK('Measured Data'!G20),"",'Measured Data'!G20)</f>
        <v/>
      </c>
      <c r="H29" s="238">
        <f>IF(ISBLANK('Measured Data'!H20),"",'Measured Data'!H20)</f>
        <v>15.927300317382812</v>
      </c>
      <c r="I29" s="238">
        <f>IF(ISBLANK('Measured Data'!I20),"",'Measured Data'!I20)</f>
        <v>1.1258860445321801</v>
      </c>
      <c r="J29" s="238">
        <f>IF(ISBLANK('Measured Data'!J20),"",'Measured Data'!J20)</f>
        <v>17.053186361914992</v>
      </c>
      <c r="K29" s="238">
        <f>IF(ISBLANK('Measured Data'!K20),"",'Measured Data'!K20)</f>
        <v>93.397796630859375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421</v>
      </c>
      <c r="S29" s="238">
        <f>IF(ISBLANK('Measured Data'!S20),"",'Measured Data'!S20)</f>
        <v>2885.1</v>
      </c>
      <c r="T29" s="238">
        <f>IF(ISBLANK('Measured Data'!U20),"",'Measured Data'!U20)</f>
        <v>2.9329999999999998</v>
      </c>
      <c r="U29" s="238">
        <f>IF(ISBLANK('Measured Data'!V20),"",'Measured Data'!V20)</f>
        <v>1.2270000000000001</v>
      </c>
      <c r="V29" s="238">
        <f>IF(ISBLANK('Measured Data'!W20),"",'Measured Data'!W20)</f>
        <v>7.0999999999999994E-2</v>
      </c>
      <c r="W29" s="238">
        <f>IF(ISBLANK('Measured Data'!X20),"",'Measured Data'!X20)</f>
        <v>1.48</v>
      </c>
      <c r="X29" s="238">
        <f>IF(ISBLANK('Measured Data'!Y20),"",'Measured Data'!Y20)</f>
        <v>0.17199999999999999</v>
      </c>
      <c r="Y29" s="238">
        <f>IF(ISBLANK('Measured Data'!Z20),"",'Measured Data'!Z20)</f>
        <v>12.988743089322586</v>
      </c>
      <c r="Z29" s="238">
        <f>IF(ISBLANK('Measured Data'!AA20),"",'Measured Data'!AA20)</f>
        <v>2.2559999999999998</v>
      </c>
      <c r="AA29" s="238">
        <f>IF(ISBLANK('Measured Data'!AB20),"",'Measured Data'!AB20)</f>
        <v>2.3570000000000002</v>
      </c>
      <c r="AB29" s="238" t="str">
        <f>IF(ISBLANK('Measured Data'!AC20),"",'Measured Data'!AC20)</f>
        <v/>
      </c>
      <c r="AC29" s="238" t="str">
        <f>IF(ISBLANK('Measured Data'!AD20),"",'Measured Data'!AD20)</f>
        <v/>
      </c>
      <c r="AD29" s="238" t="str">
        <f>IF(ISBLANK('Measured Data'!AE20),"",'Measured Data'!AE20)</f>
        <v/>
      </c>
      <c r="AE29" s="238">
        <f>IF(ISBLANK('Measured Data'!AF20),"",'Measured Data'!AF20)</f>
        <v>1.9982238010657194</v>
      </c>
      <c r="AF29" s="238" t="str">
        <f>IF(ISBLANK('Measured Data'!AG20),"",'Measured Data'!AG20)</f>
        <v/>
      </c>
      <c r="AG29" s="238" t="str">
        <f>IF(ISBLANK('Measured Data'!AH20),"",'Measured Data'!AH20)</f>
        <v/>
      </c>
      <c r="AH29" s="238" t="str">
        <f>IF(ISBLANK('Measured Data'!AI20),"",'Measured Data'!AI20)</f>
        <v/>
      </c>
      <c r="AI29" s="238" t="str">
        <f>IF(ISBLANK('Measured Data'!AJ20),"",'Measured Data'!AJ20)</f>
        <v/>
      </c>
      <c r="AJ29" s="238" t="str">
        <f>IF(ISBLANK('Measured Data'!AK20),"",'Measured Data'!AK20)</f>
        <v/>
      </c>
      <c r="AK29" s="238" t="str">
        <f>IF(ISBLANK('Measured Data'!AL20),"",'Measured Data'!AL20)</f>
        <v/>
      </c>
      <c r="AL29" s="238" t="str">
        <f>IF(ISBLANK('Measured Data'!AM20),"",'Measured Data'!AM20)</f>
        <v/>
      </c>
      <c r="AM29" s="238" t="str">
        <f>IF(ISBLANK('Measured Data'!AN20),"",'Measured Data'!AN20)</f>
        <v/>
      </c>
      <c r="AN29" s="238" t="str">
        <f>IF(ISBLANK('Measured Data'!AO20),"",'Measured Data'!AO20)</f>
        <v/>
      </c>
      <c r="AO29" s="238" t="str">
        <f>IF(ISBLANK('Measured Data'!AP20),"",'Measured Data'!AP20)</f>
        <v/>
      </c>
      <c r="AP29" s="238" t="str">
        <f>IF(ISBLANK('Measured Data'!AQ20),"",'Measured Data'!AQ20)</f>
        <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16.0685494972229</v>
      </c>
      <c r="EL29" s="243">
        <f>IF(ISBLANK('Post Process Calc.'!C29),"",'Post Process Calc.'!C29)</f>
        <v>3.8905966759615829E-2</v>
      </c>
      <c r="EM29" s="243">
        <f>IF(ISBLANK('Post Process Calc.'!D29),"",'Post Process Calc.'!D29)</f>
        <v>-4.8190449396288615E-3</v>
      </c>
      <c r="EN29" s="243">
        <f>IF(ISBLANK('Post Process Calc.'!E29),"",'Post Process Calc.'!E29)</f>
        <v>4.1782871129268488E-4</v>
      </c>
      <c r="EO29" s="243">
        <f>IF(ISBLANK('Post Process Calc.'!F29),"",'Post Process Calc.'!F29)</f>
        <v>3.1241600509410244E-3</v>
      </c>
      <c r="EP29" s="243">
        <f>IF(ISBLANK('Post Process Calc.'!G29),"",'Post Process Calc.'!G29)</f>
        <v>5.3545626630083806E-4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XB52</v>
      </c>
      <c r="B30" s="238">
        <f>IF(ISBLANK('Measured Data'!A21),"",'Measured Data'!A21)</f>
        <v>14</v>
      </c>
      <c r="C30" s="245">
        <f>IF(ISBLANK('Measured Data'!B21),"",'Measured Data'!B21)</f>
        <v>13.872222222220444</v>
      </c>
      <c r="D30" s="246">
        <f>IF(ISBLANK('Measured Data'!C21),"",'Measured Data'!C21)</f>
        <v>332.93333333329065</v>
      </c>
      <c r="E30" s="238">
        <f>IF(ISBLANK('Measured Data'!D21),"",'Measured Data'!D21)</f>
        <v>20</v>
      </c>
      <c r="F30" s="238" t="str">
        <f>IF(ISBLANK('Measured Data'!E21),"",'Measured Data'!E21)</f>
        <v/>
      </c>
      <c r="G30" s="238" t="str">
        <f>IF(ISBLANK('Measured Data'!G21),"",'Measured Data'!G21)</f>
        <v/>
      </c>
      <c r="H30" s="238">
        <f>IF(ISBLANK('Measured Data'!H21),"",'Measured Data'!H21)</f>
        <v>13.334700448608398</v>
      </c>
      <c r="I30" s="238">
        <f>IF(ISBLANK('Measured Data'!I21),"",'Measured Data'!I21)</f>
        <v>2.8771689708698567</v>
      </c>
      <c r="J30" s="238">
        <f>IF(ISBLANK('Measured Data'!J21),"",'Measured Data'!J21)</f>
        <v>16.211869419478255</v>
      </c>
      <c r="K30" s="238">
        <f>IF(ISBLANK('Measured Data'!K21),"",'Measured Data'!K21)</f>
        <v>82.252700805664063</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460</v>
      </c>
      <c r="S30" s="238">
        <f>IF(ISBLANK('Measured Data'!S21),"",'Measured Data'!S21)</f>
        <v>3028.8</v>
      </c>
      <c r="T30" s="238">
        <f>IF(ISBLANK('Measured Data'!U21),"",'Measured Data'!U21)</f>
        <v>2.5499999999999998</v>
      </c>
      <c r="U30" s="238">
        <f>IF(ISBLANK('Measured Data'!V21),"",'Measured Data'!V21)</f>
        <v>1.3220000000000001</v>
      </c>
      <c r="V30" s="238">
        <f>IF(ISBLANK('Measured Data'!W21),"",'Measured Data'!W21)</f>
        <v>8.5999999999999993E-2</v>
      </c>
      <c r="W30" s="238">
        <f>IF(ISBLANK('Measured Data'!X21),"",'Measured Data'!X21)</f>
        <v>2.4860000000000002</v>
      </c>
      <c r="X30" s="238">
        <f>IF(ISBLANK('Measured Data'!Y21),"",'Measured Data'!Y21)</f>
        <v>0.41299999999999998</v>
      </c>
      <c r="Y30" s="238">
        <f>IF(ISBLANK('Measured Data'!Z21),"",'Measured Data'!Z21)</f>
        <v>14.709474011412331</v>
      </c>
      <c r="Z30" s="238">
        <f>IF(ISBLANK('Measured Data'!AA21),"",'Measured Data'!AA21)</f>
        <v>1.909</v>
      </c>
      <c r="AA30" s="238">
        <f>IF(ISBLANK('Measured Data'!AB21),"",'Measured Data'!AB21)</f>
        <v>2.8820000000000001</v>
      </c>
      <c r="AB30" s="238" t="str">
        <f>IF(ISBLANK('Measured Data'!AC21),"",'Measured Data'!AC21)</f>
        <v/>
      </c>
      <c r="AC30" s="238" t="str">
        <f>IF(ISBLANK('Measured Data'!AD21),"",'Measured Data'!AD21)</f>
        <v/>
      </c>
      <c r="AD30" s="238" t="str">
        <f>IF(ISBLANK('Measured Data'!AE21),"",'Measured Data'!AE21)</f>
        <v/>
      </c>
      <c r="AE30" s="238">
        <f>IF(ISBLANK('Measured Data'!AF21),"",'Measured Data'!AF21)</f>
        <v>3.3303730017761985</v>
      </c>
      <c r="AF30" s="238" t="str">
        <f>IF(ISBLANK('Measured Data'!AG21),"",'Measured Data'!AG21)</f>
        <v/>
      </c>
      <c r="AG30" s="238" t="str">
        <f>IF(ISBLANK('Measured Data'!AH21),"",'Measured Data'!AH21)</f>
        <v/>
      </c>
      <c r="AH30" s="238" t="str">
        <f>IF(ISBLANK('Measured Data'!AI21),"",'Measured Data'!AI21)</f>
        <v/>
      </c>
      <c r="AI30" s="238" t="str">
        <f>IF(ISBLANK('Measured Data'!AJ21),"",'Measured Data'!AJ21)</f>
        <v/>
      </c>
      <c r="AJ30" s="238" t="str">
        <f>IF(ISBLANK('Measured Data'!AK21),"",'Measured Data'!AK21)</f>
        <v/>
      </c>
      <c r="AK30" s="238" t="str">
        <f>IF(ISBLANK('Measured Data'!AL21),"",'Measured Data'!AL21)</f>
        <v/>
      </c>
      <c r="AL30" s="238" t="str">
        <f>IF(ISBLANK('Measured Data'!AM21),"",'Measured Data'!AM21)</f>
        <v/>
      </c>
      <c r="AM30" s="238" t="str">
        <f>IF(ISBLANK('Measured Data'!AN21),"",'Measured Data'!AN21)</f>
        <v/>
      </c>
      <c r="AN30" s="238" t="str">
        <f>IF(ISBLANK('Measured Data'!AO21),"",'Measured Data'!AO21)</f>
        <v/>
      </c>
      <c r="AO30" s="238" t="str">
        <f>IF(ISBLANK('Measured Data'!AP21),"",'Measured Data'!AP21)</f>
        <v/>
      </c>
      <c r="AP30" s="238" t="str">
        <f>IF(ISBLANK('Measured Data'!AQ21),"",'Measured Data'!AQ21)</f>
        <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16.133499486541748</v>
      </c>
      <c r="EL30" s="243">
        <f>IF(ISBLANK('Post Process Calc.'!C30),"",'Post Process Calc.'!C30)</f>
        <v>4.1505521235241719E-2</v>
      </c>
      <c r="EM30" s="243">
        <f>IF(ISBLANK('Post Process Calc.'!D30),"",'Post Process Calc.'!D30)</f>
        <v>-6.6933398724203438E-3</v>
      </c>
      <c r="EN30" s="243">
        <f>IF(ISBLANK('Post Process Calc.'!E30),"",'Post Process Calc.'!E30)</f>
        <v>1.2205660087457146E-3</v>
      </c>
      <c r="EO30" s="243">
        <f>IF(ISBLANK('Post Process Calc.'!F30),"",'Post Process Calc.'!F30)</f>
        <v>2.5481701656887615E-3</v>
      </c>
      <c r="EP30" s="243">
        <f>IF(ISBLANK('Post Process Calc.'!G30),"",'Post Process Calc.'!G30)</f>
        <v>7.7561129032786846E-4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15.900100095367431</v>
      </c>
      <c r="EL31" s="243">
        <f>IF(ISBLANK('Post Process Calc.'!C31),"",'Post Process Calc.'!C31)</f>
        <v>4.3242327972520873E-2</v>
      </c>
      <c r="EM31" s="243">
        <f>IF(ISBLANK('Post Process Calc.'!D31),"",'Post Process Calc.'!D31)</f>
        <v>-6.8652389860441717E-3</v>
      </c>
      <c r="EN31" s="243">
        <f>IF(ISBLANK('Post Process Calc.'!E31),"",'Post Process Calc.'!E31)</f>
        <v>1.572698634273976E-3</v>
      </c>
      <c r="EO31" s="243">
        <f>IF(ISBLANK('Post Process Calc.'!F31),"",'Post Process Calc.'!F31)</f>
        <v>1.3377771083031723E-3</v>
      </c>
      <c r="EP31" s="243">
        <f>IF(ISBLANK('Post Process Calc.'!G31),"",'Post Process Calc.'!G31)</f>
        <v>8.0862168860272978E-4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15.965650422668457</v>
      </c>
      <c r="EL32" s="243">
        <f>IF(ISBLANK('Post Process Calc.'!C32),"",'Post Process Calc.'!C32)</f>
        <v>4.2331157586141574E-2</v>
      </c>
      <c r="EM32" s="243">
        <f>IF(ISBLANK('Post Process Calc.'!D32),"",'Post Process Calc.'!D32)</f>
        <v>-4.0334080743014318E-3</v>
      </c>
      <c r="EN32" s="243">
        <f>IF(ISBLANK('Post Process Calc.'!E32),"",'Post Process Calc.'!E32)</f>
        <v>1.2380669007363977E-3</v>
      </c>
      <c r="EO32" s="243">
        <f>IF(ISBLANK('Post Process Calc.'!F32),"",'Post Process Calc.'!F32)</f>
        <v>-7.6082506240339443E-4</v>
      </c>
      <c r="EP32" s="243">
        <f>IF(ISBLANK('Post Process Calc.'!G32),"",'Post Process Calc.'!G32)</f>
        <v>5.2896110643810474E-4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14.631000382995605</v>
      </c>
      <c r="EL33" s="243">
        <f>IF(ISBLANK('Post Process Calc.'!C33),"",'Post Process Calc.'!C33)</f>
        <v>4.2853546043707065E-2</v>
      </c>
      <c r="EM33" s="243">
        <f>IF(ISBLANK('Post Process Calc.'!D33),"",'Post Process Calc.'!D33)</f>
        <v>3.5479888088676306E-3</v>
      </c>
      <c r="EN33" s="243">
        <f>IF(ISBLANK('Post Process Calc.'!E33),"",'Post Process Calc.'!E33)</f>
        <v>8.3067224887842001E-5</v>
      </c>
      <c r="EO33" s="243">
        <f>IF(ISBLANK('Post Process Calc.'!F33),"",'Post Process Calc.'!F33)</f>
        <v>-4.2828443381643846E-3</v>
      </c>
      <c r="EP33" s="243">
        <f>IF(ISBLANK('Post Process Calc.'!G33),"",'Post Process Calc.'!G33)</f>
        <v>-1.7537725006085017E-4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13.334700448608398</v>
      </c>
      <c r="EL34" s="243">
        <f>IF(ISBLANK('Post Process Calc.'!C34),"",'Post Process Calc.'!C34)</f>
        <v>4.2577756219971813E-3</v>
      </c>
      <c r="EM34" s="243">
        <f>IF(ISBLANK('Post Process Calc.'!D34),"",'Post Process Calc.'!D34)</f>
        <v>-2.1238063735241455E-4</v>
      </c>
      <c r="EN34" s="243">
        <f>IF(ISBLANK('Post Process Calc.'!E34),"",'Post Process Calc.'!E34)</f>
        <v>-5.9460028686340663E-3</v>
      </c>
      <c r="EO34" s="243">
        <f>IF(ISBLANK('Post Process Calc.'!F34),"",'Post Process Calc.'!F34)</f>
        <v>2.0940473865251898E-3</v>
      </c>
      <c r="EP34" s="243">
        <f>IF(ISBLANK('Post Process Calc.'!G34),"",'Post Process Calc.'!G34)</f>
        <v>6.5457376246324042E-3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defaultColWidth="8.85546875" defaultRowHeight="12.75"/>
  <cols>
    <col min="1" max="1" width="7.42578125" style="238" bestFit="1" customWidth="1"/>
    <col min="2" max="2" width="4.28515625" style="238" customWidth="1"/>
    <col min="3" max="3" width="7.5703125" style="238" bestFit="1" customWidth="1"/>
    <col min="4" max="4" width="7.28515625" style="238" bestFit="1" customWidth="1"/>
    <col min="5" max="5" width="3.42578125" style="238" bestFit="1" customWidth="1"/>
    <col min="6" max="6" width="4.7109375" style="238" bestFit="1" customWidth="1"/>
    <col min="7" max="7" width="4.7109375" style="238" customWidth="1"/>
    <col min="8"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48" width="4.7109375" style="238" bestFit="1" customWidth="1"/>
    <col min="49" max="50" width="5.42578125" style="238" bestFit="1" customWidth="1"/>
    <col min="51" max="66" width="4.7109375" style="238" bestFit="1" customWidth="1"/>
    <col min="67" max="67" width="6.28515625" style="238" bestFit="1" customWidth="1"/>
    <col min="68" max="16384" width="8.85546875" style="239"/>
  </cols>
  <sheetData>
    <row r="1" spans="1:67" ht="79.900000000000006" customHeight="1"/>
    <row r="2" spans="1:67"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Yen-An Lu</cp:lastModifiedBy>
  <cp:lastPrinted>2006-08-02T19:57:49Z</cp:lastPrinted>
  <dcterms:created xsi:type="dcterms:W3CDTF">1997-10-09T22:13:12Z</dcterms:created>
  <dcterms:modified xsi:type="dcterms:W3CDTF">2022-07-01T03:59:15Z</dcterms:modified>
</cp:coreProperties>
</file>